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WORK\2025\1. Dinh muc KTKT\11. Bo Don gia\7. Quang Ngai\2. DON GIA DO DAC- CAP GIAY- Quang Ngai 25.6\"/>
    </mc:Choice>
  </mc:AlternateContent>
  <bookViews>
    <workbookView xWindow="-120" yWindow="-120" windowWidth="29040" windowHeight="15720" tabRatio="646" firstSheet="1" activeTab="1"/>
  </bookViews>
  <sheets>
    <sheet name="SGV" sheetId="32" state="veryHidden" r:id="rId1"/>
    <sheet name="DGSP_tonghop" sheetId="36" r:id="rId2"/>
    <sheet name="DGSP_chitiet" sheetId="11" r:id="rId3"/>
    <sheet name="DGSP_chitiet (truKH)" sheetId="35" r:id="rId4"/>
    <sheet name="NhanCong" sheetId="8" r:id="rId5"/>
    <sheet name="Dcu" sheetId="10" r:id="rId6"/>
    <sheet name="TBi" sheetId="13" r:id="rId7"/>
    <sheet name="VLieu" sheetId="22" r:id="rId8"/>
    <sheet name="GiaVL" sheetId="31" r:id="rId9"/>
    <sheet name="Chứng thư" sheetId="34" r:id="rId10"/>
    <sheet name="L_CBac" sheetId="1" r:id="rId11"/>
    <sheet name="HeSoKK" sheetId="25" r:id="rId12"/>
    <sheet name="L_CViec" sheetId="5" r:id="rId13"/>
    <sheet name="00000000" sheetId="12" state="veryHidden" r:id="rId14"/>
    <sheet name="10000000" sheetId="16" state="veryHidden" r:id="rId15"/>
    <sheet name="20000000" sheetId="17" state="veryHidden" r:id="rId16"/>
  </sheets>
  <definedNames>
    <definedName name="_Fill" localSheetId="3" hidden="1">#REF!</definedName>
    <definedName name="_Fill" localSheetId="1" hidden="1">#REF!</definedName>
    <definedName name="_Fill" hidden="1">#REF!</definedName>
    <definedName name="_xlnm._FilterDatabase" localSheetId="8" hidden="1">GiaVL!$A$3:$E$166</definedName>
    <definedName name="G0.7_Total" localSheetId="3">#REF!</definedName>
    <definedName name="G0.7_Total" localSheetId="1">#REF!</definedName>
    <definedName name="G0.7_Total">#REF!</definedName>
    <definedName name="HHTON" localSheetId="3">#REF!</definedName>
    <definedName name="HHTON" localSheetId="1">#REF!</definedName>
    <definedName name="HHTON">#REF!</definedName>
    <definedName name="_xlnm.Print_Area" localSheetId="5">Dcu!$A$1:$N$43</definedName>
    <definedName name="_xlnm.Print_Area" localSheetId="4">NhanCong!$A$57:$K$119</definedName>
    <definedName name="_xlnm.Print_Area" localSheetId="7">VLieu!$A$45:$P$181</definedName>
    <definedName name="_xlnm.Print_Titles" localSheetId="5">Dcu!$59:$60</definedName>
    <definedName name="_xlnm.Print_Titles" localSheetId="2">DGSP_chitiet!$4:$5</definedName>
    <definedName name="_xlnm.Print_Titles" localSheetId="3">'DGSP_chitiet (truKH)'!$4:$5</definedName>
    <definedName name="_xlnm.Print_Titles" localSheetId="1">DGSP_tonghop!$4:$5</definedName>
    <definedName name="_xlnm.Print_Titles" localSheetId="10">L_CBac!$8:$11</definedName>
    <definedName name="_xlnm.Print_Titles" localSheetId="6">TBi!$3:$4</definedName>
    <definedName name="_xlnm.Print_Titles" localSheetId="7">VLieu!$46:$47</definedName>
    <definedName name="TG" localSheetId="3">#REF!</definedName>
    <definedName name="TG" localSheetId="1">#REF!</definedName>
    <definedName name="TG">#REF!</definedName>
  </definedNames>
  <calcPr calcId="152511"/>
</workbook>
</file>

<file path=xl/calcChain.xml><?xml version="1.0" encoding="utf-8"?>
<calcChain xmlns="http://schemas.openxmlformats.org/spreadsheetml/2006/main">
  <c r="J11" i="8" l="1"/>
  <c r="D84" i="1"/>
  <c r="E5" i="31"/>
  <c r="E6" i="31"/>
  <c r="E7" i="31"/>
  <c r="E8" i="31"/>
  <c r="E9" i="31"/>
  <c r="E10" i="31"/>
  <c r="E11" i="31"/>
  <c r="E12" i="31"/>
  <c r="E13" i="31"/>
  <c r="E14" i="31"/>
  <c r="E15" i="31"/>
  <c r="E16" i="31"/>
  <c r="E17" i="31"/>
  <c r="E18" i="31"/>
  <c r="E19" i="31"/>
  <c r="E20" i="31"/>
  <c r="E21" i="31"/>
  <c r="E22" i="31"/>
  <c r="E23" i="31"/>
  <c r="E24" i="31"/>
  <c r="E25" i="31"/>
  <c r="E26" i="31"/>
  <c r="E27" i="31"/>
  <c r="E28" i="31"/>
  <c r="E29" i="31"/>
  <c r="E30" i="31"/>
  <c r="E31" i="31"/>
  <c r="E32" i="31"/>
  <c r="E33" i="31"/>
  <c r="E34" i="31"/>
  <c r="E35" i="31"/>
  <c r="E36" i="31"/>
  <c r="E37" i="31"/>
  <c r="E38" i="31"/>
  <c r="E39" i="31"/>
  <c r="E40" i="31"/>
  <c r="E41" i="31"/>
  <c r="E42" i="31"/>
  <c r="E43" i="31"/>
  <c r="E44" i="31"/>
  <c r="E45" i="31"/>
  <c r="E46" i="31"/>
  <c r="E47" i="31"/>
  <c r="E48" i="31"/>
  <c r="E49" i="31"/>
  <c r="E50" i="31"/>
  <c r="E51" i="31"/>
  <c r="E52" i="31"/>
  <c r="E53" i="31"/>
  <c r="E54" i="31"/>
  <c r="E55" i="31"/>
  <c r="E56" i="31"/>
  <c r="E57" i="31"/>
  <c r="E58" i="31"/>
  <c r="E59" i="31"/>
  <c r="E60" i="31"/>
  <c r="E61" i="31"/>
  <c r="E62" i="31"/>
  <c r="E63" i="31"/>
  <c r="E64" i="31"/>
  <c r="E65" i="31"/>
  <c r="E66" i="31"/>
  <c r="E67" i="31"/>
  <c r="E68" i="31"/>
  <c r="E69" i="31"/>
  <c r="E70" i="31"/>
  <c r="E71" i="31"/>
  <c r="E72" i="31"/>
  <c r="E73" i="31"/>
  <c r="E74" i="31"/>
  <c r="E75" i="31"/>
  <c r="E76" i="31"/>
  <c r="E77" i="31"/>
  <c r="E78" i="31"/>
  <c r="E79" i="31"/>
  <c r="E80" i="31"/>
  <c r="E81" i="31"/>
  <c r="E82" i="31"/>
  <c r="E83" i="31"/>
  <c r="E84" i="31"/>
  <c r="E85" i="31"/>
  <c r="E86" i="31"/>
  <c r="E87" i="31"/>
  <c r="E88" i="31"/>
  <c r="E89" i="31"/>
  <c r="E90" i="31"/>
  <c r="E91" i="31"/>
  <c r="E92" i="31"/>
  <c r="E93" i="31"/>
  <c r="E94" i="31"/>
  <c r="E95" i="31"/>
  <c r="E96" i="31"/>
  <c r="E97" i="31"/>
  <c r="E98" i="31"/>
  <c r="E99" i="31"/>
  <c r="E100" i="31"/>
  <c r="E101" i="31"/>
  <c r="E102" i="31"/>
  <c r="E103" i="31"/>
  <c r="E104" i="31"/>
  <c r="E105" i="31"/>
  <c r="E106" i="31"/>
  <c r="E107" i="31"/>
  <c r="E108" i="31"/>
  <c r="E109" i="31"/>
  <c r="E110" i="31"/>
  <c r="E111" i="31"/>
  <c r="E112" i="31"/>
  <c r="E113" i="31"/>
  <c r="E114" i="31"/>
  <c r="E115" i="31"/>
  <c r="E116" i="31"/>
  <c r="E117" i="31"/>
  <c r="E118" i="31"/>
  <c r="E119" i="31"/>
  <c r="E120" i="31"/>
  <c r="E121" i="31"/>
  <c r="E122" i="31"/>
  <c r="E123" i="31"/>
  <c r="E124" i="31"/>
  <c r="E125" i="31"/>
  <c r="E126" i="31"/>
  <c r="E127" i="31"/>
  <c r="E128" i="31"/>
  <c r="E129" i="31"/>
  <c r="E130" i="31"/>
  <c r="E131" i="31"/>
  <c r="E132" i="31"/>
  <c r="E133" i="31"/>
  <c r="E134" i="31"/>
  <c r="E135" i="31"/>
  <c r="E136" i="31"/>
  <c r="E137" i="31"/>
  <c r="E138" i="31"/>
  <c r="E139" i="31"/>
  <c r="E140" i="31"/>
  <c r="E141" i="31"/>
  <c r="E142" i="31"/>
  <c r="E143" i="31"/>
  <c r="E144" i="31"/>
  <c r="E145" i="31"/>
  <c r="E146" i="31"/>
  <c r="E147" i="31"/>
  <c r="E148" i="31"/>
  <c r="E149" i="31"/>
  <c r="E150" i="31"/>
  <c r="E151" i="31"/>
  <c r="E152" i="31"/>
  <c r="E153" i="31"/>
  <c r="E154" i="31"/>
  <c r="E155" i="31"/>
  <c r="E156" i="31"/>
  <c r="E157" i="31"/>
  <c r="E158" i="31"/>
  <c r="E159" i="31"/>
  <c r="E160" i="31"/>
  <c r="E161" i="31"/>
  <c r="E162" i="31"/>
  <c r="E163" i="31"/>
  <c r="E164" i="31"/>
  <c r="E165" i="31"/>
  <c r="E166" i="31"/>
  <c r="E4" i="31"/>
  <c r="D166" i="31"/>
  <c r="D163" i="31"/>
  <c r="D155" i="31"/>
  <c r="D153" i="31"/>
  <c r="D152" i="31"/>
  <c r="D149" i="31"/>
  <c r="D146" i="31"/>
  <c r="D144" i="31"/>
  <c r="D143" i="31"/>
  <c r="D142" i="31"/>
  <c r="D140" i="31"/>
  <c r="D139" i="31"/>
  <c r="D138" i="31"/>
  <c r="D137" i="31"/>
  <c r="D126" i="31"/>
  <c r="D125" i="31"/>
  <c r="D124" i="31"/>
  <c r="D109" i="31"/>
  <c r="D107" i="31"/>
  <c r="D104" i="31"/>
  <c r="D102" i="31"/>
  <c r="D101" i="31"/>
  <c r="D99" i="31"/>
  <c r="D93" i="31"/>
  <c r="D92" i="31"/>
  <c r="D86" i="31"/>
  <c r="D83" i="31"/>
  <c r="D82" i="31"/>
  <c r="D79" i="31"/>
  <c r="D78" i="31"/>
  <c r="D76" i="31" l="1"/>
  <c r="D73" i="31"/>
  <c r="D70" i="31"/>
  <c r="D68" i="31"/>
  <c r="D59" i="31"/>
  <c r="D50" i="31"/>
  <c r="D49" i="31"/>
  <c r="D47" i="31"/>
  <c r="D45" i="31"/>
  <c r="D44" i="31"/>
  <c r="D5" i="31"/>
  <c r="D6" i="31"/>
  <c r="D7" i="31"/>
  <c r="D8" i="31"/>
  <c r="D9" i="31"/>
  <c r="D10" i="31"/>
  <c r="D11" i="31"/>
  <c r="D12" i="31"/>
  <c r="D13" i="31"/>
  <c r="D15" i="31"/>
  <c r="D14" i="31" s="1"/>
  <c r="D16" i="31"/>
  <c r="D17" i="31"/>
  <c r="D18" i="31"/>
  <c r="D19" i="31"/>
  <c r="D20" i="31"/>
  <c r="D21" i="31"/>
  <c r="D22" i="31"/>
  <c r="D23" i="31"/>
  <c r="D24" i="31"/>
  <c r="D25" i="31"/>
  <c r="D26" i="31"/>
  <c r="D27" i="31"/>
  <c r="D28" i="31"/>
  <c r="D29" i="31"/>
  <c r="D30" i="31"/>
  <c r="D31" i="31"/>
  <c r="D32" i="31"/>
  <c r="D33" i="31"/>
  <c r="D34" i="31"/>
  <c r="D35" i="31"/>
  <c r="D36" i="31"/>
  <c r="D37" i="31"/>
  <c r="D38" i="31"/>
  <c r="D39" i="31"/>
  <c r="D40" i="31"/>
  <c r="D41" i="31"/>
  <c r="D42" i="31"/>
  <c r="D43" i="31"/>
  <c r="D46" i="31"/>
  <c r="D48" i="31"/>
  <c r="D51" i="31"/>
  <c r="D52" i="31"/>
  <c r="D53" i="31"/>
  <c r="D54" i="31"/>
  <c r="D55" i="31"/>
  <c r="D56" i="31"/>
  <c r="D57" i="31"/>
  <c r="D58" i="31"/>
  <c r="D61" i="31"/>
  <c r="D62" i="31"/>
  <c r="D63" i="31"/>
  <c r="D64" i="31"/>
  <c r="D65" i="31"/>
  <c r="D66" i="31"/>
  <c r="D67" i="31"/>
  <c r="D69" i="31"/>
  <c r="D71" i="31"/>
  <c r="D72" i="31"/>
  <c r="D74" i="31"/>
  <c r="D75" i="31"/>
  <c r="D77" i="31"/>
  <c r="D80" i="31"/>
  <c r="D81" i="31"/>
  <c r="D84" i="31"/>
  <c r="D85" i="31"/>
  <c r="D87" i="31"/>
  <c r="D88" i="31"/>
  <c r="D89" i="31"/>
  <c r="D90" i="31"/>
  <c r="D91" i="31"/>
  <c r="D94" i="31"/>
  <c r="D95" i="31"/>
  <c r="D96" i="31"/>
  <c r="D97" i="31"/>
  <c r="D98" i="31"/>
  <c r="D100" i="31"/>
  <c r="D103" i="31"/>
  <c r="D105" i="31"/>
  <c r="D106" i="31"/>
  <c r="D108" i="31"/>
  <c r="D110" i="31"/>
  <c r="D111" i="31"/>
  <c r="D112" i="31"/>
  <c r="D113" i="31"/>
  <c r="D114" i="31"/>
  <c r="D115" i="31"/>
  <c r="D116" i="31"/>
  <c r="D117" i="31"/>
  <c r="D118" i="31"/>
  <c r="D119" i="31"/>
  <c r="D120" i="31"/>
  <c r="D121" i="31"/>
  <c r="D122" i="31"/>
  <c r="D123" i="31"/>
  <c r="D127" i="31"/>
  <c r="D128" i="31"/>
  <c r="D129" i="31"/>
  <c r="D130" i="31"/>
  <c r="D131" i="31"/>
  <c r="D132" i="31"/>
  <c r="D133" i="31"/>
  <c r="D134" i="31"/>
  <c r="D135" i="31"/>
  <c r="D136" i="31"/>
  <c r="D141" i="31"/>
  <c r="D145" i="31"/>
  <c r="D147" i="31"/>
  <c r="D148" i="31"/>
  <c r="D150" i="31"/>
  <c r="D151" i="31"/>
  <c r="D154" i="31"/>
  <c r="D156" i="31"/>
  <c r="D157" i="31"/>
  <c r="D158" i="31"/>
  <c r="D159" i="31"/>
  <c r="D160" i="31"/>
  <c r="D161" i="31"/>
  <c r="D162" i="31"/>
  <c r="D164" i="31"/>
  <c r="D165" i="31"/>
  <c r="D4" i="31"/>
  <c r="E262" i="10" l="1"/>
  <c r="F96" i="13"/>
  <c r="G96" i="13" s="1"/>
  <c r="R12" i="36"/>
  <c r="R25" i="36"/>
  <c r="R26" i="36"/>
  <c r="R27" i="36"/>
  <c r="R28" i="36"/>
  <c r="R29" i="36"/>
  <c r="R30" i="36"/>
  <c r="R31" i="36"/>
  <c r="R32" i="36"/>
  <c r="R33" i="36"/>
  <c r="R34" i="36"/>
  <c r="R35" i="36"/>
  <c r="R36" i="36"/>
  <c r="R37" i="36"/>
  <c r="R38" i="36"/>
  <c r="R39" i="36"/>
  <c r="R40" i="36"/>
  <c r="R41" i="36"/>
  <c r="R42" i="36"/>
  <c r="R43" i="36"/>
  <c r="R44" i="36"/>
  <c r="R45" i="36"/>
  <c r="R46" i="36"/>
  <c r="R47" i="36"/>
  <c r="R48" i="36"/>
  <c r="R49" i="36"/>
  <c r="R50" i="36"/>
  <c r="R51" i="36"/>
  <c r="R52" i="36"/>
  <c r="R53" i="36"/>
  <c r="R54" i="36"/>
  <c r="R55" i="36"/>
  <c r="R56" i="36"/>
  <c r="R57" i="36"/>
  <c r="R58" i="36"/>
  <c r="R59" i="36"/>
  <c r="R60" i="36"/>
  <c r="R61" i="36"/>
  <c r="R62" i="36"/>
  <c r="R63" i="36"/>
  <c r="R64" i="36"/>
  <c r="R69" i="36"/>
  <c r="R70" i="36"/>
  <c r="R71" i="36"/>
  <c r="R72" i="36"/>
  <c r="R73" i="36"/>
  <c r="R74" i="36"/>
  <c r="R79" i="36"/>
  <c r="R80" i="36"/>
  <c r="R81" i="36"/>
  <c r="R82" i="36"/>
  <c r="R83" i="36"/>
  <c r="R88" i="36"/>
  <c r="R89" i="36"/>
  <c r="R90" i="36"/>
  <c r="R91" i="36"/>
  <c r="R92" i="36"/>
  <c r="R93" i="36"/>
  <c r="R94" i="36"/>
  <c r="R95" i="36"/>
  <c r="R96" i="36"/>
  <c r="R97" i="36"/>
  <c r="R98" i="36"/>
  <c r="R99" i="36"/>
  <c r="R100" i="36"/>
  <c r="R101" i="36"/>
  <c r="R102" i="36"/>
  <c r="R103" i="36"/>
  <c r="R104" i="36"/>
  <c r="R105" i="36"/>
  <c r="R106" i="36"/>
  <c r="R107" i="36"/>
  <c r="R108" i="36"/>
  <c r="R109" i="36"/>
  <c r="R110" i="36"/>
  <c r="R111" i="36"/>
  <c r="R112" i="36"/>
  <c r="R113" i="36"/>
  <c r="R114" i="36"/>
  <c r="R115" i="36"/>
  <c r="R116" i="36"/>
  <c r="R117" i="36"/>
  <c r="R118" i="36"/>
  <c r="R119" i="36"/>
  <c r="R120" i="36"/>
  <c r="R121" i="36"/>
  <c r="R122" i="36"/>
  <c r="R123" i="36"/>
  <c r="R124" i="36"/>
  <c r="R125" i="36"/>
  <c r="R126" i="36"/>
  <c r="R132" i="36"/>
  <c r="R133" i="36"/>
  <c r="R134" i="36"/>
  <c r="R135" i="36"/>
  <c r="R136" i="36"/>
  <c r="R137" i="36"/>
  <c r="R138" i="36"/>
  <c r="R144" i="36"/>
  <c r="R145" i="36"/>
  <c r="R146" i="36"/>
  <c r="R147" i="36"/>
  <c r="R148" i="36"/>
  <c r="R149" i="36"/>
  <c r="R155" i="36"/>
  <c r="R156" i="36"/>
  <c r="R157" i="36"/>
  <c r="R158" i="36"/>
  <c r="R159" i="36"/>
  <c r="R160" i="36"/>
  <c r="R161" i="36"/>
  <c r="R162" i="36"/>
  <c r="R163" i="36"/>
  <c r="R164" i="36"/>
  <c r="R165" i="36"/>
  <c r="R166" i="36"/>
  <c r="R167" i="36"/>
  <c r="R168" i="36"/>
  <c r="R169" i="36"/>
  <c r="R170" i="36"/>
  <c r="R171" i="36"/>
  <c r="R172" i="36"/>
  <c r="R173" i="36"/>
  <c r="R174" i="36"/>
  <c r="R175" i="36"/>
  <c r="R176" i="36"/>
  <c r="R177" i="36"/>
  <c r="R178" i="36"/>
  <c r="R179" i="36"/>
  <c r="R180" i="36"/>
  <c r="R181" i="36"/>
  <c r="R182" i="36"/>
  <c r="R183" i="36"/>
  <c r="R184" i="36"/>
  <c r="R185" i="36"/>
  <c r="R186" i="36"/>
  <c r="R187" i="36"/>
  <c r="R188" i="36"/>
  <c r="R189" i="36"/>
  <c r="R190" i="36"/>
  <c r="R191" i="36"/>
  <c r="R192" i="36"/>
  <c r="R193" i="36"/>
  <c r="R194" i="36"/>
  <c r="R195" i="36"/>
  <c r="R196" i="36"/>
  <c r="R197" i="36"/>
  <c r="R198" i="36"/>
  <c r="R199" i="36"/>
  <c r="R205" i="36"/>
  <c r="R206" i="36"/>
  <c r="R207" i="36"/>
  <c r="R208" i="36"/>
  <c r="R209" i="36"/>
  <c r="R210" i="36"/>
  <c r="R211" i="36"/>
  <c r="R217" i="36"/>
  <c r="R218" i="36"/>
  <c r="R219" i="36"/>
  <c r="R220" i="36"/>
  <c r="R221" i="36"/>
  <c r="R222" i="36"/>
  <c r="R228" i="36"/>
  <c r="R229" i="36"/>
  <c r="R230" i="36"/>
  <c r="R231" i="36"/>
  <c r="R232" i="36"/>
  <c r="R233" i="36"/>
  <c r="R234" i="36"/>
  <c r="R235" i="36"/>
  <c r="R236" i="36"/>
  <c r="R237" i="36"/>
  <c r="R238" i="36"/>
  <c r="R239" i="36"/>
  <c r="R240" i="36"/>
  <c r="R241" i="36"/>
  <c r="R242" i="36"/>
  <c r="R243" i="36"/>
  <c r="R244" i="36"/>
  <c r="R245" i="36"/>
  <c r="R246" i="36"/>
  <c r="R247" i="36"/>
  <c r="R248" i="36"/>
  <c r="R249" i="36"/>
  <c r="R250" i="36"/>
  <c r="R251" i="36"/>
  <c r="R252" i="36"/>
  <c r="R253" i="36"/>
  <c r="R254" i="36"/>
  <c r="R255" i="36"/>
  <c r="R256" i="36"/>
  <c r="R257" i="36"/>
  <c r="R258" i="36"/>
  <c r="R259" i="36"/>
  <c r="R260" i="36"/>
  <c r="R261" i="36"/>
  <c r="R262" i="36"/>
  <c r="R263" i="36"/>
  <c r="R264" i="36"/>
  <c r="R265" i="36"/>
  <c r="R266" i="36"/>
  <c r="R267" i="36"/>
  <c r="R268" i="36"/>
  <c r="R269" i="36"/>
  <c r="R270" i="36"/>
  <c r="R271" i="36"/>
  <c r="R272" i="36"/>
  <c r="R273" i="36"/>
  <c r="R279" i="36"/>
  <c r="R280" i="36"/>
  <c r="R281" i="36"/>
  <c r="R282" i="36"/>
  <c r="R283" i="36"/>
  <c r="R284" i="36"/>
  <c r="R285" i="36"/>
  <c r="R291" i="36"/>
  <c r="R292" i="36"/>
  <c r="R293" i="36"/>
  <c r="R294" i="36"/>
  <c r="R295" i="36"/>
  <c r="R296" i="36"/>
  <c r="R302" i="36"/>
  <c r="R303" i="36"/>
  <c r="R304" i="36"/>
  <c r="R305" i="36"/>
  <c r="R306" i="36"/>
  <c r="R307" i="36"/>
  <c r="R308" i="36"/>
  <c r="R309" i="36"/>
  <c r="R310" i="36"/>
  <c r="R311" i="36"/>
  <c r="R312" i="36"/>
  <c r="R313" i="36"/>
  <c r="R314" i="36"/>
  <c r="R315" i="36"/>
  <c r="R316" i="36"/>
  <c r="R317" i="36"/>
  <c r="R318" i="36"/>
  <c r="R319" i="36"/>
  <c r="R320" i="36"/>
  <c r="R321" i="36"/>
  <c r="R322" i="36"/>
  <c r="R323" i="36"/>
  <c r="R324" i="36"/>
  <c r="R325" i="36"/>
  <c r="R326" i="36"/>
  <c r="R327" i="36"/>
  <c r="R328" i="36"/>
  <c r="R329" i="36"/>
  <c r="R330" i="36"/>
  <c r="R331" i="36"/>
  <c r="R332" i="36"/>
  <c r="R333" i="36"/>
  <c r="R334" i="36"/>
  <c r="R335" i="36"/>
  <c r="R336" i="36"/>
  <c r="R337" i="36"/>
  <c r="R338" i="36"/>
  <c r="R339" i="36"/>
  <c r="R340" i="36"/>
  <c r="R341" i="36"/>
  <c r="R342" i="36"/>
  <c r="R343" i="36"/>
  <c r="R344" i="36"/>
  <c r="R345" i="36"/>
  <c r="R346" i="36"/>
  <c r="R347" i="36"/>
  <c r="R352" i="36"/>
  <c r="R353" i="36"/>
  <c r="R354" i="36"/>
  <c r="R355" i="36"/>
  <c r="R356" i="36"/>
  <c r="R357" i="36"/>
  <c r="R362" i="36"/>
  <c r="R363" i="36"/>
  <c r="R364" i="36"/>
  <c r="R365" i="36"/>
  <c r="R366" i="36"/>
  <c r="R371" i="36"/>
  <c r="R372" i="36"/>
  <c r="R373" i="36"/>
  <c r="R374" i="36"/>
  <c r="R375" i="36"/>
  <c r="R376" i="36"/>
  <c r="R377" i="36"/>
  <c r="R378" i="36"/>
  <c r="R379" i="36"/>
  <c r="R380" i="36"/>
  <c r="R381" i="36"/>
  <c r="R382" i="36"/>
  <c r="R383" i="36"/>
  <c r="R384" i="36"/>
  <c r="R385" i="36"/>
  <c r="R386" i="36"/>
  <c r="R387" i="36"/>
  <c r="R388" i="36"/>
  <c r="R389" i="36"/>
  <c r="R390" i="36"/>
  <c r="R391" i="36"/>
  <c r="R392" i="36"/>
  <c r="R393" i="36"/>
  <c r="R394" i="36"/>
  <c r="R395" i="36"/>
  <c r="R396" i="36"/>
  <c r="R397" i="36"/>
  <c r="R398" i="36"/>
  <c r="R399" i="36"/>
  <c r="R400" i="36"/>
  <c r="R401" i="36"/>
  <c r="R402" i="36"/>
  <c r="R403" i="36"/>
  <c r="R404" i="36"/>
  <c r="R405" i="36"/>
  <c r="R406" i="36"/>
  <c r="R407" i="36"/>
  <c r="R408" i="36"/>
  <c r="R413" i="36"/>
  <c r="R414" i="36"/>
  <c r="R415" i="36"/>
  <c r="R416" i="36"/>
  <c r="R417" i="36"/>
  <c r="R418" i="36"/>
  <c r="R423" i="36"/>
  <c r="R424" i="36"/>
  <c r="R425" i="36"/>
  <c r="R426" i="36"/>
  <c r="R427" i="36"/>
  <c r="R432" i="36"/>
  <c r="R433" i="36"/>
  <c r="R434" i="36"/>
  <c r="R435" i="36"/>
  <c r="R436" i="36"/>
  <c r="R437" i="36"/>
  <c r="R438" i="36"/>
  <c r="R439" i="36"/>
  <c r="R440" i="36"/>
  <c r="R441" i="36"/>
  <c r="R442" i="36"/>
  <c r="R443" i="36"/>
  <c r="R444" i="36"/>
  <c r="R445" i="36"/>
  <c r="R446" i="36"/>
  <c r="R447" i="36"/>
  <c r="R448" i="36"/>
  <c r="R449" i="36"/>
  <c r="R450" i="36"/>
  <c r="R451" i="36"/>
  <c r="R452" i="36"/>
  <c r="R453" i="36"/>
  <c r="R454" i="36"/>
  <c r="R455" i="36"/>
  <c r="R456" i="36"/>
  <c r="R457" i="36"/>
  <c r="R458" i="36"/>
  <c r="R459" i="36"/>
  <c r="R460" i="36"/>
  <c r="R461" i="36"/>
  <c r="R462" i="36"/>
  <c r="R463" i="36"/>
  <c r="R464" i="36"/>
  <c r="R465" i="36"/>
  <c r="R466" i="36"/>
  <c r="R467" i="36"/>
  <c r="R468" i="36"/>
  <c r="R469" i="36"/>
  <c r="R470" i="36"/>
  <c r="R471" i="36"/>
  <c r="R472" i="36"/>
  <c r="R473" i="36"/>
  <c r="R474" i="36"/>
  <c r="R475" i="36"/>
  <c r="R476" i="36"/>
  <c r="R477" i="36"/>
  <c r="R478" i="36"/>
  <c r="R479" i="36"/>
  <c r="R480" i="36"/>
  <c r="R481" i="36"/>
  <c r="R482" i="36"/>
  <c r="R483" i="36"/>
  <c r="R484" i="36"/>
  <c r="R485" i="36"/>
  <c r="R486" i="36"/>
  <c r="R487" i="36"/>
  <c r="R488" i="36"/>
  <c r="R489" i="36"/>
  <c r="R490" i="36"/>
  <c r="R491" i="36"/>
  <c r="R492" i="36"/>
  <c r="R493" i="36"/>
  <c r="R494" i="36"/>
  <c r="R495" i="36"/>
  <c r="R496" i="36"/>
  <c r="R497" i="36"/>
  <c r="R498" i="36"/>
  <c r="R499" i="36"/>
  <c r="R500" i="36"/>
  <c r="R501" i="36"/>
  <c r="R502" i="36"/>
  <c r="R503" i="36"/>
  <c r="R504" i="36"/>
  <c r="R505" i="36"/>
  <c r="R506" i="36"/>
  <c r="R507" i="36"/>
  <c r="R508" i="36"/>
  <c r="R509" i="36"/>
  <c r="R510" i="36"/>
  <c r="R511" i="36"/>
  <c r="R512" i="36"/>
  <c r="R513" i="36"/>
  <c r="R514" i="36"/>
  <c r="R515" i="36"/>
  <c r="R516" i="36"/>
  <c r="R517" i="36"/>
  <c r="R518" i="36"/>
  <c r="R519" i="36"/>
  <c r="R524" i="36"/>
  <c r="R525" i="36"/>
  <c r="R526" i="36"/>
  <c r="R527" i="36"/>
  <c r="R528" i="36"/>
  <c r="R529" i="36"/>
  <c r="R534" i="36"/>
  <c r="R535" i="36"/>
  <c r="R536" i="36"/>
  <c r="R537" i="36"/>
  <c r="R538" i="36"/>
  <c r="R543" i="36"/>
  <c r="R544" i="36"/>
  <c r="R545" i="36"/>
  <c r="R546" i="36"/>
  <c r="R547" i="36"/>
  <c r="R552" i="36"/>
  <c r="R553" i="36"/>
  <c r="R554" i="36"/>
  <c r="R555" i="36"/>
  <c r="R556" i="36"/>
  <c r="R561" i="36"/>
  <c r="R562" i="36"/>
  <c r="R563" i="36"/>
  <c r="R564" i="36"/>
  <c r="R565" i="36"/>
  <c r="R566" i="36"/>
  <c r="R567" i="36"/>
  <c r="R568" i="36"/>
  <c r="R569" i="36"/>
  <c r="R570" i="36"/>
  <c r="R571" i="36"/>
  <c r="R572" i="36"/>
  <c r="R573" i="36"/>
  <c r="R574" i="36"/>
  <c r="R580" i="36"/>
  <c r="R581" i="36"/>
  <c r="R582" i="36"/>
  <c r="R583" i="36"/>
  <c r="R584" i="36"/>
  <c r="R585" i="36"/>
  <c r="R586" i="36"/>
  <c r="R587" i="36"/>
  <c r="R588" i="36"/>
  <c r="R589" i="36"/>
  <c r="R595" i="36"/>
  <c r="R596" i="36"/>
  <c r="R597" i="36"/>
  <c r="R598" i="36"/>
  <c r="R599" i="36"/>
  <c r="R600" i="36"/>
  <c r="R601" i="36"/>
  <c r="R607" i="36"/>
  <c r="R608" i="36"/>
  <c r="R609" i="36"/>
  <c r="R610" i="36"/>
  <c r="R611" i="36"/>
  <c r="R612" i="36"/>
  <c r="R618" i="36"/>
  <c r="R619" i="36"/>
  <c r="R620" i="36"/>
  <c r="R621" i="36"/>
  <c r="R622" i="36"/>
  <c r="R623" i="36"/>
  <c r="R629" i="36"/>
  <c r="R630" i="36"/>
  <c r="R631" i="36"/>
  <c r="R632" i="36"/>
  <c r="R633" i="36"/>
  <c r="R634" i="36"/>
  <c r="R640" i="36"/>
  <c r="R641" i="36"/>
  <c r="R642" i="36"/>
  <c r="R643" i="36"/>
  <c r="R644" i="36"/>
  <c r="R645" i="36"/>
  <c r="R646" i="36"/>
  <c r="R647" i="36"/>
  <c r="R648" i="36"/>
  <c r="R649" i="36"/>
  <c r="R650" i="36"/>
  <c r="R651" i="36"/>
  <c r="R652" i="36"/>
  <c r="R653" i="36"/>
  <c r="R654" i="36"/>
  <c r="R655" i="36"/>
  <c r="R656" i="36"/>
  <c r="R662" i="36"/>
  <c r="R663" i="36"/>
  <c r="R664" i="36"/>
  <c r="R665" i="36"/>
  <c r="R666" i="36"/>
  <c r="R667" i="36"/>
  <c r="R668" i="36"/>
  <c r="R669" i="36"/>
  <c r="R670" i="36"/>
  <c r="R671" i="36"/>
  <c r="R672" i="36"/>
  <c r="R678" i="36"/>
  <c r="R679" i="36"/>
  <c r="R680" i="36"/>
  <c r="R681" i="36"/>
  <c r="R682" i="36"/>
  <c r="R683" i="36"/>
  <c r="R684" i="36"/>
  <c r="R690" i="36"/>
  <c r="R691" i="36"/>
  <c r="R692" i="36"/>
  <c r="R693" i="36"/>
  <c r="R694" i="36"/>
  <c r="R695" i="36"/>
  <c r="R701" i="36"/>
  <c r="R702" i="36"/>
  <c r="R703" i="36"/>
  <c r="R704" i="36"/>
  <c r="R705" i="36"/>
  <c r="R706" i="36"/>
  <c r="R712" i="36"/>
  <c r="R713" i="36"/>
  <c r="R714" i="36"/>
  <c r="R715" i="36"/>
  <c r="R716" i="36"/>
  <c r="R717" i="36"/>
  <c r="R723" i="36"/>
  <c r="R724" i="36"/>
  <c r="R725" i="36"/>
  <c r="R726" i="36"/>
  <c r="R727" i="36"/>
  <c r="R728" i="36"/>
  <c r="R729" i="36"/>
  <c r="R730" i="36"/>
  <c r="R731" i="36"/>
  <c r="R732" i="36"/>
  <c r="R733" i="36"/>
  <c r="R734" i="36"/>
  <c r="R735" i="36"/>
  <c r="R736" i="36"/>
  <c r="R737" i="36"/>
  <c r="R738" i="36"/>
  <c r="R739" i="36"/>
  <c r="R745" i="36"/>
  <c r="R746" i="36"/>
  <c r="R747" i="36"/>
  <c r="R748" i="36"/>
  <c r="R749" i="36"/>
  <c r="R750" i="36"/>
  <c r="R751" i="36"/>
  <c r="R752" i="36"/>
  <c r="R753" i="36"/>
  <c r="R754" i="36"/>
  <c r="R755" i="36"/>
  <c r="R761" i="36"/>
  <c r="R762" i="36"/>
  <c r="R763" i="36"/>
  <c r="R764" i="36"/>
  <c r="R765" i="36"/>
  <c r="R766" i="36"/>
  <c r="R767" i="36"/>
  <c r="R773" i="36"/>
  <c r="R774" i="36"/>
  <c r="R775" i="36"/>
  <c r="R776" i="36"/>
  <c r="R777" i="36"/>
  <c r="R778" i="36"/>
  <c r="R784" i="36"/>
  <c r="R785" i="36"/>
  <c r="R786" i="36"/>
  <c r="R787" i="36"/>
  <c r="R788" i="36"/>
  <c r="R789" i="36"/>
  <c r="R795" i="36"/>
  <c r="R796" i="36"/>
  <c r="R797" i="36"/>
  <c r="R798" i="36"/>
  <c r="R799" i="36"/>
  <c r="R800" i="36"/>
  <c r="R806" i="36"/>
  <c r="R807" i="36"/>
  <c r="R808" i="36"/>
  <c r="R809" i="36"/>
  <c r="R810" i="36"/>
  <c r="R811" i="36"/>
  <c r="R812" i="36"/>
  <c r="R813" i="36"/>
  <c r="R814" i="36"/>
  <c r="R815" i="36"/>
  <c r="R816" i="36"/>
  <c r="R817" i="36"/>
  <c r="R818" i="36"/>
  <c r="R819" i="36"/>
  <c r="R820" i="36"/>
  <c r="R821" i="36"/>
  <c r="R822" i="36"/>
  <c r="R828" i="36"/>
  <c r="R829" i="36"/>
  <c r="R830" i="36"/>
  <c r="R831" i="36"/>
  <c r="R832" i="36"/>
  <c r="R833" i="36"/>
  <c r="R834" i="36"/>
  <c r="R835" i="36"/>
  <c r="R836" i="36"/>
  <c r="R837" i="36"/>
  <c r="R838" i="36"/>
  <c r="R843" i="36"/>
  <c r="R844" i="36"/>
  <c r="R845" i="36"/>
  <c r="R846" i="36"/>
  <c r="R847" i="36"/>
  <c r="R848" i="36"/>
  <c r="R853" i="36"/>
  <c r="R854" i="36"/>
  <c r="R855" i="36"/>
  <c r="R856" i="36"/>
  <c r="R857" i="36"/>
  <c r="R862" i="36"/>
  <c r="R863" i="36"/>
  <c r="R864" i="36"/>
  <c r="R865" i="36"/>
  <c r="R866" i="36"/>
  <c r="R871" i="36"/>
  <c r="R872" i="36"/>
  <c r="R873" i="36"/>
  <c r="R874" i="36"/>
  <c r="R875" i="36"/>
  <c r="R880" i="36"/>
  <c r="R881" i="36"/>
  <c r="R882" i="36"/>
  <c r="R883" i="36"/>
  <c r="R884" i="36"/>
  <c r="R885" i="36"/>
  <c r="R886" i="36"/>
  <c r="R887" i="36"/>
  <c r="R888" i="36"/>
  <c r="R889" i="36"/>
  <c r="R890" i="36"/>
  <c r="R891" i="36"/>
  <c r="R892" i="36"/>
  <c r="R893" i="36"/>
  <c r="R894" i="36"/>
  <c r="R899" i="36"/>
  <c r="R900" i="36"/>
  <c r="R901" i="36"/>
  <c r="R902" i="36"/>
  <c r="R903" i="36"/>
  <c r="R904" i="36"/>
  <c r="R905" i="36"/>
  <c r="R906" i="36"/>
  <c r="R907" i="36"/>
  <c r="R908" i="36"/>
  <c r="R913" i="36"/>
  <c r="R914" i="36"/>
  <c r="R915" i="36"/>
  <c r="R916" i="36"/>
  <c r="R917" i="36"/>
  <c r="R918" i="36"/>
  <c r="R919" i="36"/>
  <c r="R924" i="36"/>
  <c r="R925" i="36"/>
  <c r="R926" i="36"/>
  <c r="R927" i="36"/>
  <c r="R928" i="36"/>
  <c r="R933" i="36"/>
  <c r="R934" i="36"/>
  <c r="R935" i="36"/>
  <c r="R936" i="36"/>
  <c r="R937" i="36"/>
  <c r="R942" i="36"/>
  <c r="R943" i="36"/>
  <c r="R944" i="36"/>
  <c r="R945" i="36"/>
  <c r="R946" i="36"/>
  <c r="R951" i="36"/>
  <c r="R952" i="36"/>
  <c r="R953" i="36"/>
  <c r="R954" i="36"/>
  <c r="R955" i="36"/>
  <c r="R956" i="36"/>
  <c r="R957" i="36"/>
  <c r="R958" i="36"/>
  <c r="R959" i="36"/>
  <c r="R960" i="36"/>
  <c r="R961" i="36"/>
  <c r="R962" i="36"/>
  <c r="R963" i="36"/>
  <c r="R964" i="36"/>
  <c r="R965" i="36"/>
  <c r="R969" i="36"/>
  <c r="R970" i="36"/>
  <c r="R971" i="36"/>
  <c r="R972" i="36"/>
  <c r="R973" i="36"/>
  <c r="R974" i="36"/>
  <c r="R975" i="36"/>
  <c r="R976" i="36"/>
  <c r="R977" i="36"/>
  <c r="R978" i="36"/>
  <c r="R979" i="36"/>
  <c r="R980" i="36"/>
  <c r="R981" i="36"/>
  <c r="R982" i="36"/>
  <c r="R983" i="36"/>
  <c r="R984" i="36"/>
  <c r="R985" i="36"/>
  <c r="R986" i="36"/>
  <c r="R987" i="36"/>
  <c r="R988" i="36"/>
  <c r="R989" i="36"/>
  <c r="R990" i="36"/>
  <c r="R991" i="36"/>
  <c r="R992" i="36"/>
  <c r="R993" i="36"/>
  <c r="R994" i="36"/>
  <c r="R995" i="36"/>
  <c r="R996" i="36"/>
  <c r="R997" i="36"/>
  <c r="R998" i="36"/>
  <c r="R999" i="36"/>
  <c r="R1000" i="36"/>
  <c r="R1001" i="36"/>
  <c r="Q25" i="36"/>
  <c r="Q63" i="36"/>
  <c r="Q64" i="36"/>
  <c r="Q73" i="36"/>
  <c r="Q74" i="36"/>
  <c r="Q83" i="36"/>
  <c r="Q92" i="36"/>
  <c r="Q114" i="36"/>
  <c r="Q125" i="36"/>
  <c r="Q126" i="36"/>
  <c r="Q137" i="36"/>
  <c r="Q138" i="36"/>
  <c r="Q149" i="36"/>
  <c r="Q160" i="36"/>
  <c r="Q187" i="36"/>
  <c r="Q199" i="36"/>
  <c r="Q210" i="36"/>
  <c r="Q211" i="36"/>
  <c r="Q222" i="36"/>
  <c r="Q233" i="36"/>
  <c r="Q260" i="36"/>
  <c r="Q261" i="36"/>
  <c r="Q273" i="36"/>
  <c r="Q284" i="36"/>
  <c r="Q285" i="36"/>
  <c r="Q296" i="36"/>
  <c r="Q307" i="36"/>
  <c r="Q334" i="36"/>
  <c r="Q346" i="36"/>
  <c r="Q347" i="36"/>
  <c r="Q356" i="36"/>
  <c r="Q357" i="36"/>
  <c r="Q366" i="36"/>
  <c r="Q375" i="36"/>
  <c r="Q397" i="36"/>
  <c r="Q408" i="36"/>
  <c r="Q417" i="36"/>
  <c r="Q418" i="36"/>
  <c r="Q427" i="36"/>
  <c r="Q436" i="36"/>
  <c r="Q458" i="36"/>
  <c r="Q469" i="36"/>
  <c r="Q470" i="36"/>
  <c r="Q471" i="36"/>
  <c r="Q477" i="36"/>
  <c r="Q483" i="36"/>
  <c r="Q489" i="36"/>
  <c r="Q494" i="36"/>
  <c r="Q495" i="36"/>
  <c r="Q501" i="36"/>
  <c r="Q507" i="36"/>
  <c r="Q513" i="36"/>
  <c r="Q518" i="36"/>
  <c r="Q519" i="36"/>
  <c r="Q528" i="36"/>
  <c r="Q529" i="36"/>
  <c r="Q538" i="36"/>
  <c r="Q547" i="36"/>
  <c r="Q556" i="36"/>
  <c r="Q561" i="36"/>
  <c r="Q574" i="36"/>
  <c r="Q589" i="36"/>
  <c r="Q600" i="36"/>
  <c r="Q601" i="36"/>
  <c r="Q612" i="36"/>
  <c r="Q623" i="36"/>
  <c r="Q634" i="36"/>
  <c r="Q640" i="36"/>
  <c r="Q656" i="36"/>
  <c r="Q672" i="36"/>
  <c r="Q683" i="36"/>
  <c r="Q684" i="36"/>
  <c r="Q695" i="36"/>
  <c r="Q706" i="36"/>
  <c r="Q717" i="36"/>
  <c r="Q723" i="36"/>
  <c r="Q739" i="36"/>
  <c r="Q755" i="36"/>
  <c r="Q766" i="36"/>
  <c r="Q767" i="36"/>
  <c r="Q778" i="36"/>
  <c r="Q789" i="36"/>
  <c r="Q800" i="36"/>
  <c r="Q806" i="36"/>
  <c r="Q822" i="36"/>
  <c r="Q838" i="36"/>
  <c r="Q847" i="36"/>
  <c r="Q848" i="36"/>
  <c r="Q857" i="36"/>
  <c r="Q866" i="36"/>
  <c r="Q875" i="36"/>
  <c r="Q880" i="36"/>
  <c r="Q881" i="36"/>
  <c r="Q894" i="36"/>
  <c r="Q908" i="36"/>
  <c r="Q917" i="36"/>
  <c r="Q918" i="36"/>
  <c r="Q919" i="36"/>
  <c r="Q928" i="36"/>
  <c r="Q937" i="36"/>
  <c r="Q946" i="36"/>
  <c r="Q951" i="36"/>
  <c r="Q964" i="36"/>
  <c r="Q978" i="36"/>
  <c r="Q979" i="36"/>
  <c r="Q982" i="36"/>
  <c r="Q983" i="36"/>
  <c r="Q986" i="36"/>
  <c r="Q987" i="36"/>
  <c r="Q990" i="36"/>
  <c r="Q991" i="36"/>
  <c r="Q994" i="36"/>
  <c r="Q995" i="36"/>
  <c r="Q998" i="36"/>
  <c r="Q999" i="36"/>
  <c r="P25" i="36"/>
  <c r="P63" i="36"/>
  <c r="P64" i="36"/>
  <c r="P73" i="36"/>
  <c r="P74" i="36"/>
  <c r="P83" i="36"/>
  <c r="P92" i="36"/>
  <c r="P114" i="36"/>
  <c r="P125" i="36"/>
  <c r="P126" i="36"/>
  <c r="P137" i="36"/>
  <c r="P138" i="36"/>
  <c r="P149" i="36"/>
  <c r="P160" i="36"/>
  <c r="P187" i="36"/>
  <c r="P199" i="36"/>
  <c r="P210" i="36"/>
  <c r="P211" i="36"/>
  <c r="P222" i="36"/>
  <c r="P233" i="36"/>
  <c r="P260" i="36"/>
  <c r="P261" i="36"/>
  <c r="P273" i="36"/>
  <c r="P284" i="36"/>
  <c r="P285" i="36"/>
  <c r="P296" i="36"/>
  <c r="P307" i="36"/>
  <c r="P334" i="36"/>
  <c r="P346" i="36"/>
  <c r="P347" i="36"/>
  <c r="P356" i="36"/>
  <c r="P357" i="36"/>
  <c r="P366" i="36"/>
  <c r="P375" i="36"/>
  <c r="P397" i="36"/>
  <c r="P408" i="36"/>
  <c r="P417" i="36"/>
  <c r="P418" i="36"/>
  <c r="P427" i="36"/>
  <c r="P436" i="36"/>
  <c r="P458" i="36"/>
  <c r="P469" i="36"/>
  <c r="P470" i="36"/>
  <c r="P471" i="36"/>
  <c r="P477" i="36"/>
  <c r="P483" i="36"/>
  <c r="P489" i="36"/>
  <c r="P494" i="36"/>
  <c r="P495" i="36"/>
  <c r="P501" i="36"/>
  <c r="P507" i="36"/>
  <c r="P513" i="36"/>
  <c r="P518" i="36"/>
  <c r="P519" i="36"/>
  <c r="P528" i="36"/>
  <c r="P529" i="36"/>
  <c r="P538" i="36"/>
  <c r="P547" i="36"/>
  <c r="P556" i="36"/>
  <c r="P561" i="36"/>
  <c r="P574" i="36"/>
  <c r="P589" i="36"/>
  <c r="P600" i="36"/>
  <c r="P601" i="36"/>
  <c r="P612" i="36"/>
  <c r="P623" i="36"/>
  <c r="P634" i="36"/>
  <c r="P640" i="36"/>
  <c r="P656" i="36"/>
  <c r="P672" i="36"/>
  <c r="P683" i="36"/>
  <c r="P684" i="36"/>
  <c r="P695" i="36"/>
  <c r="P706" i="36"/>
  <c r="P717" i="36"/>
  <c r="P723" i="36"/>
  <c r="P739" i="36"/>
  <c r="P755" i="36"/>
  <c r="P766" i="36"/>
  <c r="P767" i="36"/>
  <c r="P778" i="36"/>
  <c r="P789" i="36"/>
  <c r="P800" i="36"/>
  <c r="P806" i="36"/>
  <c r="P822" i="36"/>
  <c r="P838" i="36"/>
  <c r="P847" i="36"/>
  <c r="P848" i="36"/>
  <c r="P857" i="36"/>
  <c r="P866" i="36"/>
  <c r="P875" i="36"/>
  <c r="P880" i="36"/>
  <c r="P881" i="36"/>
  <c r="P894" i="36"/>
  <c r="P908" i="36"/>
  <c r="P917" i="36"/>
  <c r="P918" i="36"/>
  <c r="P919" i="36"/>
  <c r="P928" i="36"/>
  <c r="P937" i="36"/>
  <c r="P946" i="36"/>
  <c r="P951" i="36"/>
  <c r="P964" i="36"/>
  <c r="P978" i="36"/>
  <c r="P979" i="36"/>
  <c r="P982" i="36"/>
  <c r="P983" i="36"/>
  <c r="P986" i="36"/>
  <c r="P987" i="36"/>
  <c r="P990" i="36"/>
  <c r="P991" i="36"/>
  <c r="P994" i="36"/>
  <c r="P995" i="36"/>
  <c r="P998" i="36"/>
  <c r="P999" i="36"/>
  <c r="O25" i="36"/>
  <c r="O63" i="36"/>
  <c r="O64" i="36"/>
  <c r="O73" i="36"/>
  <c r="O74" i="36"/>
  <c r="O83" i="36"/>
  <c r="O92" i="36"/>
  <c r="O125" i="36"/>
  <c r="O126" i="36"/>
  <c r="O137" i="36"/>
  <c r="O138" i="36"/>
  <c r="O149" i="36"/>
  <c r="O160" i="36"/>
  <c r="O199" i="36"/>
  <c r="O210" i="36"/>
  <c r="O211" i="36"/>
  <c r="O222" i="36"/>
  <c r="O233" i="36"/>
  <c r="O260" i="36"/>
  <c r="O273" i="36"/>
  <c r="O284" i="36"/>
  <c r="O285" i="36"/>
  <c r="O296" i="36"/>
  <c r="O307" i="36"/>
  <c r="O346" i="36"/>
  <c r="O347" i="36"/>
  <c r="O356" i="36"/>
  <c r="O357" i="36"/>
  <c r="O366" i="36"/>
  <c r="O375" i="36"/>
  <c r="O408" i="36"/>
  <c r="O417" i="36"/>
  <c r="O418" i="36"/>
  <c r="O427" i="36"/>
  <c r="O436" i="36"/>
  <c r="O469" i="36"/>
  <c r="O470" i="36"/>
  <c r="O471" i="36"/>
  <c r="O477" i="36"/>
  <c r="O483" i="36"/>
  <c r="O489" i="36"/>
  <c r="O494" i="36"/>
  <c r="O495" i="36"/>
  <c r="O501" i="36"/>
  <c r="O507" i="36"/>
  <c r="O513" i="36"/>
  <c r="O518" i="36"/>
  <c r="O519" i="36"/>
  <c r="O528" i="36"/>
  <c r="O529" i="36"/>
  <c r="O538" i="36"/>
  <c r="O547" i="36"/>
  <c r="O556" i="36"/>
  <c r="O561" i="36"/>
  <c r="O574" i="36"/>
  <c r="O589" i="36"/>
  <c r="O600" i="36"/>
  <c r="O601" i="36"/>
  <c r="O612" i="36"/>
  <c r="O623" i="36"/>
  <c r="O634" i="36"/>
  <c r="O640" i="36"/>
  <c r="O656" i="36"/>
  <c r="O672" i="36"/>
  <c r="O683" i="36"/>
  <c r="O684" i="36"/>
  <c r="O695" i="36"/>
  <c r="O706" i="36"/>
  <c r="O717" i="36"/>
  <c r="O723" i="36"/>
  <c r="O739" i="36"/>
  <c r="O755" i="36"/>
  <c r="O766" i="36"/>
  <c r="O767" i="36"/>
  <c r="O778" i="36"/>
  <c r="O789" i="36"/>
  <c r="O800" i="36"/>
  <c r="O806" i="36"/>
  <c r="O822" i="36"/>
  <c r="O838" i="36"/>
  <c r="O847" i="36"/>
  <c r="O848" i="36"/>
  <c r="O857" i="36"/>
  <c r="O866" i="36"/>
  <c r="O875" i="36"/>
  <c r="O880" i="36"/>
  <c r="O881" i="36"/>
  <c r="O894" i="36"/>
  <c r="O908" i="36"/>
  <c r="O917" i="36"/>
  <c r="O918" i="36"/>
  <c r="O919" i="36"/>
  <c r="O928" i="36"/>
  <c r="O937" i="36"/>
  <c r="O946" i="36"/>
  <c r="O951" i="36"/>
  <c r="O964" i="36"/>
  <c r="O978" i="36"/>
  <c r="O979" i="36"/>
  <c r="O982" i="36"/>
  <c r="O983" i="36"/>
  <c r="O986" i="36"/>
  <c r="O987" i="36"/>
  <c r="O990" i="36"/>
  <c r="O991" i="36"/>
  <c r="O994" i="36"/>
  <c r="O995" i="36"/>
  <c r="O998" i="36"/>
  <c r="O999" i="36"/>
  <c r="N7" i="36"/>
  <c r="S1001" i="36"/>
  <c r="S1021" i="36" s="1"/>
  <c r="E1001" i="36"/>
  <c r="S1000" i="36"/>
  <c r="S1016" i="36" s="1"/>
  <c r="E1000" i="36"/>
  <c r="E1020" i="36" s="1"/>
  <c r="S997" i="36"/>
  <c r="E997" i="36"/>
  <c r="S996" i="36"/>
  <c r="E996" i="36"/>
  <c r="S993" i="36"/>
  <c r="E993" i="36"/>
  <c r="S992" i="36"/>
  <c r="E992" i="36"/>
  <c r="S989" i="36"/>
  <c r="E989" i="36"/>
  <c r="S988" i="36"/>
  <c r="E988" i="36"/>
  <c r="S985" i="36"/>
  <c r="E985" i="36"/>
  <c r="S984" i="36"/>
  <c r="E984" i="36"/>
  <c r="S981" i="36"/>
  <c r="E981" i="36"/>
  <c r="S980" i="36"/>
  <c r="E980" i="36"/>
  <c r="B978" i="36"/>
  <c r="A978" i="36"/>
  <c r="S977" i="36"/>
  <c r="E977" i="36"/>
  <c r="B977" i="36"/>
  <c r="S976" i="36"/>
  <c r="E976" i="36"/>
  <c r="B976" i="36"/>
  <c r="S975" i="36"/>
  <c r="E975" i="36"/>
  <c r="B975" i="36"/>
  <c r="S974" i="36"/>
  <c r="E974" i="36"/>
  <c r="B974" i="36"/>
  <c r="S973" i="36"/>
  <c r="E973" i="36"/>
  <c r="B973" i="36"/>
  <c r="S972" i="36"/>
  <c r="E972" i="36"/>
  <c r="S971" i="36"/>
  <c r="E971" i="36"/>
  <c r="S970" i="36"/>
  <c r="E970" i="36"/>
  <c r="S969" i="36"/>
  <c r="E969" i="36"/>
  <c r="B969" i="36"/>
  <c r="N968" i="36"/>
  <c r="F968" i="36"/>
  <c r="N967" i="36"/>
  <c r="F967" i="36"/>
  <c r="N966" i="36"/>
  <c r="F966" i="36"/>
  <c r="F965" i="36"/>
  <c r="B965" i="36"/>
  <c r="S963" i="36"/>
  <c r="F963" i="36"/>
  <c r="E963" i="36"/>
  <c r="S962" i="36"/>
  <c r="F962" i="36"/>
  <c r="E962" i="36"/>
  <c r="S961" i="36"/>
  <c r="F961" i="36"/>
  <c r="E961" i="36"/>
  <c r="S960" i="36"/>
  <c r="F960" i="36"/>
  <c r="E960" i="36"/>
  <c r="B960" i="36"/>
  <c r="S959" i="36"/>
  <c r="E959" i="36"/>
  <c r="S958" i="36"/>
  <c r="E958" i="36"/>
  <c r="S957" i="36"/>
  <c r="E957" i="36"/>
  <c r="S956" i="36"/>
  <c r="E956" i="36"/>
  <c r="B956" i="36"/>
  <c r="S955" i="36"/>
  <c r="E955" i="36"/>
  <c r="S954" i="36"/>
  <c r="E954" i="36"/>
  <c r="S953" i="36"/>
  <c r="E953" i="36"/>
  <c r="S952" i="36"/>
  <c r="E952" i="36"/>
  <c r="B952" i="36"/>
  <c r="C912" i="36"/>
  <c r="C911" i="36"/>
  <c r="C915" i="36" s="1"/>
  <c r="C910" i="36"/>
  <c r="C914" i="36" s="1"/>
  <c r="C909" i="36"/>
  <c r="S907" i="36"/>
  <c r="E907" i="36"/>
  <c r="B907" i="36"/>
  <c r="S906" i="36"/>
  <c r="E906" i="36"/>
  <c r="B906" i="36"/>
  <c r="S905" i="36"/>
  <c r="E905" i="36"/>
  <c r="B905" i="36"/>
  <c r="S904" i="36"/>
  <c r="E904" i="36"/>
  <c r="B904" i="36"/>
  <c r="S903" i="36"/>
  <c r="E903" i="36"/>
  <c r="B903" i="36"/>
  <c r="S902" i="36"/>
  <c r="E902" i="36"/>
  <c r="S901" i="36"/>
  <c r="E901" i="36"/>
  <c r="S900" i="36"/>
  <c r="E900" i="36"/>
  <c r="S899" i="36"/>
  <c r="E899" i="36"/>
  <c r="B899" i="36"/>
  <c r="N898" i="36"/>
  <c r="F898" i="36"/>
  <c r="N897" i="36"/>
  <c r="F897" i="36"/>
  <c r="N896" i="36"/>
  <c r="F896" i="36"/>
  <c r="N895" i="36"/>
  <c r="F895" i="36"/>
  <c r="B895" i="36"/>
  <c r="S893" i="36"/>
  <c r="F893" i="36"/>
  <c r="E893" i="36"/>
  <c r="S892" i="36"/>
  <c r="F892" i="36"/>
  <c r="E892" i="36"/>
  <c r="S891" i="36"/>
  <c r="F891" i="36"/>
  <c r="E891" i="36"/>
  <c r="S890" i="36"/>
  <c r="F890" i="36"/>
  <c r="E890" i="36"/>
  <c r="B890" i="36"/>
  <c r="S889" i="36"/>
  <c r="E889" i="36"/>
  <c r="S888" i="36"/>
  <c r="E888" i="36"/>
  <c r="S887" i="36"/>
  <c r="E887" i="36"/>
  <c r="S886" i="36"/>
  <c r="E886" i="36"/>
  <c r="B886" i="36"/>
  <c r="S885" i="36"/>
  <c r="E885" i="36"/>
  <c r="S884" i="36"/>
  <c r="E884" i="36"/>
  <c r="S883" i="36"/>
  <c r="E883" i="36"/>
  <c r="S882" i="36"/>
  <c r="E882" i="36"/>
  <c r="B882" i="36"/>
  <c r="C842" i="36"/>
  <c r="F842" i="36" s="1"/>
  <c r="C841" i="36"/>
  <c r="C840" i="36"/>
  <c r="C839" i="36"/>
  <c r="S837" i="36"/>
  <c r="E837" i="36"/>
  <c r="B837" i="36"/>
  <c r="S836" i="36"/>
  <c r="E836" i="36"/>
  <c r="B836" i="36"/>
  <c r="S835" i="36"/>
  <c r="E835" i="36"/>
  <c r="B835" i="36"/>
  <c r="S834" i="36"/>
  <c r="E834" i="36"/>
  <c r="B834" i="36"/>
  <c r="S833" i="36"/>
  <c r="E833" i="36"/>
  <c r="B833" i="36"/>
  <c r="S832" i="36"/>
  <c r="E832" i="36"/>
  <c r="S831" i="36"/>
  <c r="E831" i="36"/>
  <c r="S830" i="36"/>
  <c r="E830" i="36"/>
  <c r="S829" i="36"/>
  <c r="E829" i="36"/>
  <c r="S828" i="36"/>
  <c r="E828" i="36"/>
  <c r="B828" i="36"/>
  <c r="N827" i="36"/>
  <c r="F827" i="36"/>
  <c r="N826" i="36"/>
  <c r="F826" i="36"/>
  <c r="N825" i="36"/>
  <c r="F825" i="36"/>
  <c r="N824" i="36"/>
  <c r="F824" i="36"/>
  <c r="N823" i="36"/>
  <c r="F823" i="36"/>
  <c r="B823" i="36"/>
  <c r="S821" i="36"/>
  <c r="F821" i="36"/>
  <c r="E821" i="36"/>
  <c r="S820" i="36"/>
  <c r="F820" i="36"/>
  <c r="E820" i="36"/>
  <c r="S819" i="36"/>
  <c r="F819" i="36"/>
  <c r="E819" i="36"/>
  <c r="S818" i="36"/>
  <c r="F818" i="36"/>
  <c r="E818" i="36"/>
  <c r="S817" i="36"/>
  <c r="F817" i="36"/>
  <c r="E817" i="36"/>
  <c r="B817" i="36"/>
  <c r="S816" i="36"/>
  <c r="E816" i="36"/>
  <c r="S815" i="36"/>
  <c r="E815" i="36"/>
  <c r="S814" i="36"/>
  <c r="E814" i="36"/>
  <c r="S813" i="36"/>
  <c r="E813" i="36"/>
  <c r="S812" i="36"/>
  <c r="E812" i="36"/>
  <c r="B812" i="36"/>
  <c r="S811" i="36"/>
  <c r="E811" i="36"/>
  <c r="S810" i="36"/>
  <c r="E810" i="36"/>
  <c r="S809" i="36"/>
  <c r="E809" i="36"/>
  <c r="S808" i="36"/>
  <c r="E808" i="36"/>
  <c r="S807" i="36"/>
  <c r="E807" i="36"/>
  <c r="B807" i="36"/>
  <c r="C760" i="36"/>
  <c r="C759" i="36"/>
  <c r="C764" i="36" s="1"/>
  <c r="C758" i="36"/>
  <c r="C757" i="36"/>
  <c r="C756" i="36"/>
  <c r="S754" i="36"/>
  <c r="E754" i="36"/>
  <c r="B754" i="36"/>
  <c r="S753" i="36"/>
  <c r="E753" i="36"/>
  <c r="B753" i="36"/>
  <c r="S752" i="36"/>
  <c r="E752" i="36"/>
  <c r="B752" i="36"/>
  <c r="S751" i="36"/>
  <c r="E751" i="36"/>
  <c r="B751" i="36"/>
  <c r="S750" i="36"/>
  <c r="E750" i="36"/>
  <c r="B750" i="36"/>
  <c r="S749" i="36"/>
  <c r="E749" i="36"/>
  <c r="S748" i="36"/>
  <c r="E748" i="36"/>
  <c r="S747" i="36"/>
  <c r="E747" i="36"/>
  <c r="S746" i="36"/>
  <c r="E746" i="36"/>
  <c r="S745" i="36"/>
  <c r="E745" i="36"/>
  <c r="B745" i="36"/>
  <c r="N744" i="36"/>
  <c r="F744" i="36"/>
  <c r="N743" i="36"/>
  <c r="F743" i="36"/>
  <c r="N742" i="36"/>
  <c r="F742" i="36"/>
  <c r="N741" i="36"/>
  <c r="F741" i="36"/>
  <c r="N740" i="36"/>
  <c r="F740" i="36"/>
  <c r="B740" i="36"/>
  <c r="S738" i="36"/>
  <c r="F738" i="36"/>
  <c r="E738" i="36"/>
  <c r="S737" i="36"/>
  <c r="F737" i="36"/>
  <c r="E737" i="36"/>
  <c r="S736" i="36"/>
  <c r="F736" i="36"/>
  <c r="E736" i="36"/>
  <c r="S735" i="36"/>
  <c r="F735" i="36"/>
  <c r="E735" i="36"/>
  <c r="S734" i="36"/>
  <c r="F734" i="36"/>
  <c r="E734" i="36"/>
  <c r="B734" i="36"/>
  <c r="S733" i="36"/>
  <c r="E733" i="36"/>
  <c r="S732" i="36"/>
  <c r="E732" i="36"/>
  <c r="S731" i="36"/>
  <c r="E731" i="36"/>
  <c r="S730" i="36"/>
  <c r="E730" i="36"/>
  <c r="S729" i="36"/>
  <c r="E729" i="36"/>
  <c r="B729" i="36"/>
  <c r="S728" i="36"/>
  <c r="E728" i="36"/>
  <c r="S727" i="36"/>
  <c r="E727" i="36"/>
  <c r="S726" i="36"/>
  <c r="E726" i="36"/>
  <c r="S725" i="36"/>
  <c r="E725" i="36"/>
  <c r="S724" i="36"/>
  <c r="E724" i="36"/>
  <c r="B724" i="36"/>
  <c r="C677" i="36"/>
  <c r="C676" i="36"/>
  <c r="C681" i="36" s="1"/>
  <c r="C675" i="36"/>
  <c r="C680" i="36" s="1"/>
  <c r="F680" i="36" s="1"/>
  <c r="C674" i="36"/>
  <c r="C673" i="36"/>
  <c r="S671" i="36"/>
  <c r="E671" i="36"/>
  <c r="B671" i="36"/>
  <c r="S670" i="36"/>
  <c r="E670" i="36"/>
  <c r="B670" i="36"/>
  <c r="S669" i="36"/>
  <c r="E669" i="36"/>
  <c r="B669" i="36"/>
  <c r="S668" i="36"/>
  <c r="E668" i="36"/>
  <c r="B668" i="36"/>
  <c r="S667" i="36"/>
  <c r="E667" i="36"/>
  <c r="B667" i="36"/>
  <c r="S666" i="36"/>
  <c r="E666" i="36"/>
  <c r="S665" i="36"/>
  <c r="E665" i="36"/>
  <c r="S664" i="36"/>
  <c r="E664" i="36"/>
  <c r="S663" i="36"/>
  <c r="E663" i="36"/>
  <c r="S662" i="36"/>
  <c r="E662" i="36"/>
  <c r="B662" i="36"/>
  <c r="N661" i="36"/>
  <c r="F661" i="36"/>
  <c r="N660" i="36"/>
  <c r="F660" i="36"/>
  <c r="N659" i="36"/>
  <c r="F659" i="36"/>
  <c r="N658" i="36"/>
  <c r="F658" i="36"/>
  <c r="N657" i="36"/>
  <c r="F657" i="36"/>
  <c r="B657" i="36"/>
  <c r="S655" i="36"/>
  <c r="F655" i="36"/>
  <c r="E655" i="36"/>
  <c r="S654" i="36"/>
  <c r="F654" i="36"/>
  <c r="E654" i="36"/>
  <c r="S653" i="36"/>
  <c r="F653" i="36"/>
  <c r="E653" i="36"/>
  <c r="S652" i="36"/>
  <c r="F652" i="36"/>
  <c r="E652" i="36"/>
  <c r="S651" i="36"/>
  <c r="F651" i="36"/>
  <c r="E651" i="36"/>
  <c r="B651" i="36"/>
  <c r="S650" i="36"/>
  <c r="E650" i="36"/>
  <c r="S649" i="36"/>
  <c r="E649" i="36"/>
  <c r="S648" i="36"/>
  <c r="E648" i="36"/>
  <c r="S647" i="36"/>
  <c r="E647" i="36"/>
  <c r="S646" i="36"/>
  <c r="E646" i="36"/>
  <c r="B646" i="36"/>
  <c r="S645" i="36"/>
  <c r="E645" i="36"/>
  <c r="S644" i="36"/>
  <c r="E644" i="36"/>
  <c r="S643" i="36"/>
  <c r="E643" i="36"/>
  <c r="S642" i="36"/>
  <c r="E642" i="36"/>
  <c r="S641" i="36"/>
  <c r="E641" i="36"/>
  <c r="B641" i="36"/>
  <c r="C594" i="36"/>
  <c r="C593" i="36"/>
  <c r="C592" i="36"/>
  <c r="C591" i="36"/>
  <c r="C590" i="36"/>
  <c r="S588" i="36"/>
  <c r="E588" i="36"/>
  <c r="B588" i="36"/>
  <c r="S587" i="36"/>
  <c r="E587" i="36"/>
  <c r="B587" i="36"/>
  <c r="S586" i="36"/>
  <c r="E586" i="36"/>
  <c r="B586" i="36"/>
  <c r="S585" i="36"/>
  <c r="E585" i="36"/>
  <c r="B585" i="36"/>
  <c r="S584" i="36"/>
  <c r="E584" i="36"/>
  <c r="B584" i="36"/>
  <c r="S583" i="36"/>
  <c r="E583" i="36"/>
  <c r="S582" i="36"/>
  <c r="E582" i="36"/>
  <c r="S581" i="36"/>
  <c r="E581" i="36"/>
  <c r="S580" i="36"/>
  <c r="E580" i="36"/>
  <c r="B580" i="36"/>
  <c r="N579" i="36"/>
  <c r="F579" i="36"/>
  <c r="N578" i="36"/>
  <c r="F578" i="36"/>
  <c r="N577" i="36"/>
  <c r="F577" i="36"/>
  <c r="N576" i="36"/>
  <c r="F576" i="36"/>
  <c r="N575" i="36"/>
  <c r="F575" i="36"/>
  <c r="B575" i="36"/>
  <c r="S573" i="36"/>
  <c r="F573" i="36"/>
  <c r="E573" i="36"/>
  <c r="S572" i="36"/>
  <c r="F572" i="36"/>
  <c r="E572" i="36"/>
  <c r="S571" i="36"/>
  <c r="F571" i="36"/>
  <c r="E571" i="36"/>
  <c r="S570" i="36"/>
  <c r="F570" i="36"/>
  <c r="E570" i="36"/>
  <c r="B570" i="36"/>
  <c r="S569" i="36"/>
  <c r="E569" i="36"/>
  <c r="S568" i="36"/>
  <c r="E568" i="36"/>
  <c r="S567" i="36"/>
  <c r="E567" i="36"/>
  <c r="S566" i="36"/>
  <c r="E566" i="36"/>
  <c r="B566" i="36"/>
  <c r="S565" i="36"/>
  <c r="E565" i="36"/>
  <c r="S564" i="36"/>
  <c r="E564" i="36"/>
  <c r="S563" i="36"/>
  <c r="E563" i="36"/>
  <c r="S562" i="36"/>
  <c r="E562" i="36"/>
  <c r="B562" i="36"/>
  <c r="C523" i="36"/>
  <c r="C527" i="36" s="1"/>
  <c r="C522" i="36"/>
  <c r="C521" i="36"/>
  <c r="C520" i="36"/>
  <c r="B518" i="36"/>
  <c r="A518" i="36"/>
  <c r="S517" i="36"/>
  <c r="E517" i="36"/>
  <c r="S516" i="36"/>
  <c r="E516" i="36"/>
  <c r="S515" i="36"/>
  <c r="E515" i="36"/>
  <c r="S514" i="36"/>
  <c r="E514" i="36"/>
  <c r="S512" i="36"/>
  <c r="E512" i="36"/>
  <c r="S511" i="36"/>
  <c r="E511" i="36"/>
  <c r="S510" i="36"/>
  <c r="E510" i="36"/>
  <c r="S509" i="36"/>
  <c r="E509" i="36"/>
  <c r="S508" i="36"/>
  <c r="E508" i="36"/>
  <c r="S506" i="36"/>
  <c r="E506" i="36"/>
  <c r="S505" i="36"/>
  <c r="E505" i="36"/>
  <c r="S504" i="36"/>
  <c r="E504" i="36"/>
  <c r="S503" i="36"/>
  <c r="E503" i="36"/>
  <c r="S502" i="36"/>
  <c r="E502" i="36"/>
  <c r="S500" i="36"/>
  <c r="E500" i="36"/>
  <c r="S499" i="36"/>
  <c r="E499" i="36"/>
  <c r="S498" i="36"/>
  <c r="E498" i="36"/>
  <c r="S497" i="36"/>
  <c r="E497" i="36"/>
  <c r="S496" i="36"/>
  <c r="E496" i="36"/>
  <c r="B494" i="36"/>
  <c r="S493" i="36"/>
  <c r="E493" i="36"/>
  <c r="S492" i="36"/>
  <c r="E492" i="36"/>
  <c r="S491" i="36"/>
  <c r="E491" i="36"/>
  <c r="S490" i="36"/>
  <c r="E490" i="36"/>
  <c r="S488" i="36"/>
  <c r="S827" i="36" s="1"/>
  <c r="E488" i="36"/>
  <c r="E827" i="36" s="1"/>
  <c r="S487" i="36"/>
  <c r="S826" i="36" s="1"/>
  <c r="E487" i="36"/>
  <c r="S486" i="36"/>
  <c r="S825" i="36" s="1"/>
  <c r="E486" i="36"/>
  <c r="E825" i="36" s="1"/>
  <c r="S485" i="36"/>
  <c r="S824" i="36" s="1"/>
  <c r="E485" i="36"/>
  <c r="S484" i="36"/>
  <c r="S823" i="36" s="1"/>
  <c r="E484" i="36"/>
  <c r="E823" i="36" s="1"/>
  <c r="S482" i="36"/>
  <c r="S744" i="36" s="1"/>
  <c r="E482" i="36"/>
  <c r="S481" i="36"/>
  <c r="S743" i="36" s="1"/>
  <c r="E481" i="36"/>
  <c r="E743" i="36" s="1"/>
  <c r="S480" i="36"/>
  <c r="S742" i="36" s="1"/>
  <c r="E480" i="36"/>
  <c r="S479" i="36"/>
  <c r="S741" i="36" s="1"/>
  <c r="E479" i="36"/>
  <c r="S478" i="36"/>
  <c r="S740" i="36" s="1"/>
  <c r="E478" i="36"/>
  <c r="S476" i="36"/>
  <c r="S661" i="36" s="1"/>
  <c r="E476" i="36"/>
  <c r="S475" i="36"/>
  <c r="E475" i="36"/>
  <c r="S474" i="36"/>
  <c r="S659" i="36" s="1"/>
  <c r="E474" i="36"/>
  <c r="S473" i="36"/>
  <c r="E473" i="36"/>
  <c r="S472" i="36"/>
  <c r="S657" i="36" s="1"/>
  <c r="E472" i="36"/>
  <c r="B469" i="36"/>
  <c r="A469" i="36"/>
  <c r="S468" i="36"/>
  <c r="E468" i="36"/>
  <c r="B468" i="36"/>
  <c r="A468" i="36"/>
  <c r="S467" i="36"/>
  <c r="E467" i="36"/>
  <c r="B467" i="36"/>
  <c r="A467" i="36"/>
  <c r="S466" i="36"/>
  <c r="E466" i="36"/>
  <c r="B466" i="36"/>
  <c r="A466" i="36"/>
  <c r="S465" i="36"/>
  <c r="E465" i="36"/>
  <c r="B465" i="36"/>
  <c r="A465" i="36"/>
  <c r="S464" i="36"/>
  <c r="E464" i="36"/>
  <c r="B464" i="36"/>
  <c r="S463" i="36"/>
  <c r="E463" i="36"/>
  <c r="B463" i="36"/>
  <c r="S462" i="36"/>
  <c r="E462" i="36"/>
  <c r="S461" i="36"/>
  <c r="E461" i="36"/>
  <c r="S460" i="36"/>
  <c r="E460" i="36"/>
  <c r="S459" i="36"/>
  <c r="E459" i="36"/>
  <c r="B459" i="36"/>
  <c r="E458" i="36"/>
  <c r="K458" i="36" s="1"/>
  <c r="S457" i="36"/>
  <c r="F457" i="36"/>
  <c r="E457" i="36"/>
  <c r="S456" i="36"/>
  <c r="F456" i="36"/>
  <c r="E456" i="36"/>
  <c r="S455" i="36"/>
  <c r="F455" i="36"/>
  <c r="E455" i="36"/>
  <c r="S454" i="36"/>
  <c r="F454" i="36"/>
  <c r="E454" i="36"/>
  <c r="B454" i="36"/>
  <c r="S453" i="36"/>
  <c r="F453" i="36"/>
  <c r="E453" i="36"/>
  <c r="S452" i="36"/>
  <c r="F452" i="36"/>
  <c r="E452" i="36"/>
  <c r="S451" i="36"/>
  <c r="F451" i="36"/>
  <c r="E451" i="36"/>
  <c r="S450" i="36"/>
  <c r="F450" i="36"/>
  <c r="E450" i="36"/>
  <c r="B450" i="36"/>
  <c r="S449" i="36"/>
  <c r="F449" i="36"/>
  <c r="E449" i="36"/>
  <c r="S448" i="36"/>
  <c r="F448" i="36"/>
  <c r="E448" i="36"/>
  <c r="S447" i="36"/>
  <c r="F447" i="36"/>
  <c r="E447" i="36"/>
  <c r="S446" i="36"/>
  <c r="F446" i="36"/>
  <c r="E446" i="36"/>
  <c r="B446" i="36"/>
  <c r="S445" i="36"/>
  <c r="F445" i="36"/>
  <c r="E445" i="36"/>
  <c r="S444" i="36"/>
  <c r="F444" i="36"/>
  <c r="E444" i="36"/>
  <c r="S443" i="36"/>
  <c r="F443" i="36"/>
  <c r="E443" i="36"/>
  <c r="S442" i="36"/>
  <c r="F442" i="36"/>
  <c r="E442" i="36"/>
  <c r="B442" i="36"/>
  <c r="S441" i="36"/>
  <c r="E441" i="36"/>
  <c r="S440" i="36"/>
  <c r="E440" i="36"/>
  <c r="S439" i="36"/>
  <c r="E439" i="36"/>
  <c r="S438" i="36"/>
  <c r="E438" i="36"/>
  <c r="B438" i="36"/>
  <c r="S437" i="36"/>
  <c r="F437" i="36"/>
  <c r="E437" i="36"/>
  <c r="B437" i="36"/>
  <c r="J422" i="36"/>
  <c r="J421" i="36"/>
  <c r="J420" i="36"/>
  <c r="J419" i="36"/>
  <c r="F416" i="36"/>
  <c r="F435" i="36" s="1"/>
  <c r="F415" i="36"/>
  <c r="F425" i="36" s="1"/>
  <c r="F414" i="36"/>
  <c r="F433" i="36" s="1"/>
  <c r="F413" i="36"/>
  <c r="F432" i="36" s="1"/>
  <c r="S407" i="36"/>
  <c r="E407" i="36"/>
  <c r="B407" i="36"/>
  <c r="S406" i="36"/>
  <c r="E406" i="36"/>
  <c r="B406" i="36"/>
  <c r="S405" i="36"/>
  <c r="E405" i="36"/>
  <c r="B405" i="36"/>
  <c r="S404" i="36"/>
  <c r="E404" i="36"/>
  <c r="B404" i="36"/>
  <c r="S403" i="36"/>
  <c r="E403" i="36"/>
  <c r="B403" i="36"/>
  <c r="S402" i="36"/>
  <c r="E402" i="36"/>
  <c r="B402" i="36"/>
  <c r="S401" i="36"/>
  <c r="E401" i="36"/>
  <c r="S400" i="36"/>
  <c r="E400" i="36"/>
  <c r="S399" i="36"/>
  <c r="E399" i="36"/>
  <c r="S398" i="36"/>
  <c r="E398" i="36"/>
  <c r="B398" i="36"/>
  <c r="E397" i="36"/>
  <c r="K397" i="36" s="1"/>
  <c r="S396" i="36"/>
  <c r="F396" i="36"/>
  <c r="E396" i="36"/>
  <c r="S395" i="36"/>
  <c r="F395" i="36"/>
  <c r="E395" i="36"/>
  <c r="S394" i="36"/>
  <c r="F394" i="36"/>
  <c r="E394" i="36"/>
  <c r="S393" i="36"/>
  <c r="F393" i="36"/>
  <c r="E393" i="36"/>
  <c r="B393" i="36"/>
  <c r="S392" i="36"/>
  <c r="F392" i="36"/>
  <c r="E392" i="36"/>
  <c r="S391" i="36"/>
  <c r="F391" i="36"/>
  <c r="E391" i="36"/>
  <c r="S390" i="36"/>
  <c r="F390" i="36"/>
  <c r="E390" i="36"/>
  <c r="S389" i="36"/>
  <c r="F389" i="36"/>
  <c r="E389" i="36"/>
  <c r="B389" i="36"/>
  <c r="S388" i="36"/>
  <c r="F388" i="36"/>
  <c r="E388" i="36"/>
  <c r="S387" i="36"/>
  <c r="F387" i="36"/>
  <c r="E387" i="36"/>
  <c r="S386" i="36"/>
  <c r="F386" i="36"/>
  <c r="E386" i="36"/>
  <c r="S385" i="36"/>
  <c r="F385" i="36"/>
  <c r="E385" i="36"/>
  <c r="B385" i="36"/>
  <c r="S384" i="36"/>
  <c r="F384" i="36"/>
  <c r="E384" i="36"/>
  <c r="S383" i="36"/>
  <c r="F383" i="36"/>
  <c r="E383" i="36"/>
  <c r="S382" i="36"/>
  <c r="F382" i="36"/>
  <c r="E382" i="36"/>
  <c r="S381" i="36"/>
  <c r="F381" i="36"/>
  <c r="E381" i="36"/>
  <c r="B381" i="36"/>
  <c r="S380" i="36"/>
  <c r="E380" i="36"/>
  <c r="S379" i="36"/>
  <c r="E379" i="36"/>
  <c r="S378" i="36"/>
  <c r="E378" i="36"/>
  <c r="S377" i="36"/>
  <c r="E377" i="36"/>
  <c r="B377" i="36"/>
  <c r="S376" i="36"/>
  <c r="F376" i="36"/>
  <c r="E376" i="36"/>
  <c r="B376" i="36"/>
  <c r="J361" i="36"/>
  <c r="J360" i="36"/>
  <c r="J359" i="36"/>
  <c r="J358" i="36"/>
  <c r="F355" i="36"/>
  <c r="F365" i="36" s="1"/>
  <c r="F354" i="36"/>
  <c r="F353" i="36"/>
  <c r="F363" i="36" s="1"/>
  <c r="F352" i="36"/>
  <c r="F362" i="36" s="1"/>
  <c r="S345" i="36"/>
  <c r="E345" i="36"/>
  <c r="B345" i="36"/>
  <c r="S344" i="36"/>
  <c r="E344" i="36"/>
  <c r="B344" i="36"/>
  <c r="S343" i="36"/>
  <c r="E343" i="36"/>
  <c r="B343" i="36"/>
  <c r="S342" i="36"/>
  <c r="E342" i="36"/>
  <c r="B342" i="36"/>
  <c r="S341" i="36"/>
  <c r="E341" i="36"/>
  <c r="B341" i="36"/>
  <c r="S340" i="36"/>
  <c r="E340" i="36"/>
  <c r="B340" i="36"/>
  <c r="S339" i="36"/>
  <c r="E339" i="36"/>
  <c r="S338" i="36"/>
  <c r="E338" i="36"/>
  <c r="S337" i="36"/>
  <c r="E337" i="36"/>
  <c r="S336" i="36"/>
  <c r="E336" i="36"/>
  <c r="S335" i="36"/>
  <c r="E335" i="36"/>
  <c r="B335" i="36"/>
  <c r="E334" i="36"/>
  <c r="K334" i="36" s="1"/>
  <c r="S333" i="36"/>
  <c r="F333" i="36"/>
  <c r="E333" i="36"/>
  <c r="S332" i="36"/>
  <c r="F332" i="36"/>
  <c r="E332" i="36"/>
  <c r="S331" i="36"/>
  <c r="F331" i="36"/>
  <c r="E331" i="36"/>
  <c r="S330" i="36"/>
  <c r="F330" i="36"/>
  <c r="E330" i="36"/>
  <c r="S329" i="36"/>
  <c r="F329" i="36"/>
  <c r="E329" i="36"/>
  <c r="B329" i="36"/>
  <c r="S328" i="36"/>
  <c r="F328" i="36"/>
  <c r="E328" i="36"/>
  <c r="S327" i="36"/>
  <c r="F327" i="36"/>
  <c r="E327" i="36"/>
  <c r="S326" i="36"/>
  <c r="F326" i="36"/>
  <c r="E326" i="36"/>
  <c r="S325" i="36"/>
  <c r="F325" i="36"/>
  <c r="E325" i="36"/>
  <c r="S324" i="36"/>
  <c r="F324" i="36"/>
  <c r="E324" i="36"/>
  <c r="B324" i="36"/>
  <c r="S323" i="36"/>
  <c r="F323" i="36"/>
  <c r="E323" i="36"/>
  <c r="S322" i="36"/>
  <c r="F322" i="36"/>
  <c r="E322" i="36"/>
  <c r="S321" i="36"/>
  <c r="F321" i="36"/>
  <c r="E321" i="36"/>
  <c r="S320" i="36"/>
  <c r="F320" i="36"/>
  <c r="E320" i="36"/>
  <c r="S319" i="36"/>
  <c r="F319" i="36"/>
  <c r="E319" i="36"/>
  <c r="B319" i="36"/>
  <c r="S318" i="36"/>
  <c r="F318" i="36"/>
  <c r="E318" i="36"/>
  <c r="S317" i="36"/>
  <c r="F317" i="36"/>
  <c r="E317" i="36"/>
  <c r="S316" i="36"/>
  <c r="F316" i="36"/>
  <c r="E316" i="36"/>
  <c r="S315" i="36"/>
  <c r="F315" i="36"/>
  <c r="E315" i="36"/>
  <c r="S314" i="36"/>
  <c r="F314" i="36"/>
  <c r="E314" i="36"/>
  <c r="B314" i="36"/>
  <c r="S313" i="36"/>
  <c r="E313" i="36"/>
  <c r="S312" i="36"/>
  <c r="E312" i="36"/>
  <c r="S311" i="36"/>
  <c r="E311" i="36"/>
  <c r="S310" i="36"/>
  <c r="E310" i="36"/>
  <c r="S309" i="36"/>
  <c r="E309" i="36"/>
  <c r="B309" i="36"/>
  <c r="S308" i="36"/>
  <c r="F308" i="36"/>
  <c r="E308" i="36"/>
  <c r="B308" i="36"/>
  <c r="J290" i="36"/>
  <c r="J289" i="36"/>
  <c r="J288" i="36"/>
  <c r="J287" i="36"/>
  <c r="J286" i="36"/>
  <c r="F283" i="36"/>
  <c r="F295" i="36" s="1"/>
  <c r="F282" i="36"/>
  <c r="F305" i="36" s="1"/>
  <c r="F281" i="36"/>
  <c r="F293" i="36" s="1"/>
  <c r="F280" i="36"/>
  <c r="F303" i="36" s="1"/>
  <c r="F279" i="36"/>
  <c r="F302" i="36" s="1"/>
  <c r="S272" i="36"/>
  <c r="E272" i="36"/>
  <c r="B272" i="36"/>
  <c r="S271" i="36"/>
  <c r="E271" i="36"/>
  <c r="B271" i="36"/>
  <c r="S270" i="36"/>
  <c r="E270" i="36"/>
  <c r="B270" i="36"/>
  <c r="S269" i="36"/>
  <c r="E269" i="36"/>
  <c r="B269" i="36"/>
  <c r="S268" i="36"/>
  <c r="E268" i="36"/>
  <c r="B268" i="36"/>
  <c r="S267" i="36"/>
  <c r="E267" i="36"/>
  <c r="B267" i="36"/>
  <c r="S266" i="36"/>
  <c r="E266" i="36"/>
  <c r="S265" i="36"/>
  <c r="E265" i="36"/>
  <c r="S264" i="36"/>
  <c r="E264" i="36"/>
  <c r="S263" i="36"/>
  <c r="E263" i="36"/>
  <c r="S262" i="36"/>
  <c r="E262" i="36"/>
  <c r="B262" i="36"/>
  <c r="E261" i="36"/>
  <c r="K261" i="36" s="1"/>
  <c r="S259" i="36"/>
  <c r="F259" i="36"/>
  <c r="E259" i="36"/>
  <c r="S258" i="36"/>
  <c r="F258" i="36"/>
  <c r="E258" i="36"/>
  <c r="S257" i="36"/>
  <c r="F257" i="36"/>
  <c r="E257" i="36"/>
  <c r="S256" i="36"/>
  <c r="F256" i="36"/>
  <c r="E256" i="36"/>
  <c r="S255" i="36"/>
  <c r="F255" i="36"/>
  <c r="E255" i="36"/>
  <c r="B255" i="36"/>
  <c r="S254" i="36"/>
  <c r="F254" i="36"/>
  <c r="E254" i="36"/>
  <c r="S253" i="36"/>
  <c r="F253" i="36"/>
  <c r="E253" i="36"/>
  <c r="S252" i="36"/>
  <c r="F252" i="36"/>
  <c r="E252" i="36"/>
  <c r="S251" i="36"/>
  <c r="F251" i="36"/>
  <c r="E251" i="36"/>
  <c r="S250" i="36"/>
  <c r="F250" i="36"/>
  <c r="E250" i="36"/>
  <c r="B250" i="36"/>
  <c r="S249" i="36"/>
  <c r="F249" i="36"/>
  <c r="E249" i="36"/>
  <c r="S248" i="36"/>
  <c r="F248" i="36"/>
  <c r="E248" i="36"/>
  <c r="S247" i="36"/>
  <c r="F247" i="36"/>
  <c r="E247" i="36"/>
  <c r="S246" i="36"/>
  <c r="F246" i="36"/>
  <c r="E246" i="36"/>
  <c r="S245" i="36"/>
  <c r="F245" i="36"/>
  <c r="E245" i="36"/>
  <c r="B245" i="36"/>
  <c r="S244" i="36"/>
  <c r="F244" i="36"/>
  <c r="E244" i="36"/>
  <c r="S243" i="36"/>
  <c r="F243" i="36"/>
  <c r="E243" i="36"/>
  <c r="S242" i="36"/>
  <c r="F242" i="36"/>
  <c r="E242" i="36"/>
  <c r="S241" i="36"/>
  <c r="F241" i="36"/>
  <c r="E241" i="36"/>
  <c r="S240" i="36"/>
  <c r="F240" i="36"/>
  <c r="E240" i="36"/>
  <c r="B240" i="36"/>
  <c r="S239" i="36"/>
  <c r="E239" i="36"/>
  <c r="S238" i="36"/>
  <c r="E238" i="36"/>
  <c r="S237" i="36"/>
  <c r="E237" i="36"/>
  <c r="S236" i="36"/>
  <c r="E236" i="36"/>
  <c r="S235" i="36"/>
  <c r="E235" i="36"/>
  <c r="B235" i="36"/>
  <c r="S234" i="36"/>
  <c r="F234" i="36"/>
  <c r="E234" i="36"/>
  <c r="B234" i="36"/>
  <c r="J216" i="36"/>
  <c r="J215" i="36"/>
  <c r="J214" i="36"/>
  <c r="J213" i="36"/>
  <c r="J212" i="36"/>
  <c r="F209" i="36"/>
  <c r="F221" i="36" s="1"/>
  <c r="F208" i="36"/>
  <c r="F231" i="36" s="1"/>
  <c r="F207" i="36"/>
  <c r="F230" i="36" s="1"/>
  <c r="F206" i="36"/>
  <c r="F218" i="36" s="1"/>
  <c r="F205" i="36"/>
  <c r="F228" i="36" s="1"/>
  <c r="S198" i="36"/>
  <c r="E198" i="36"/>
  <c r="B198" i="36"/>
  <c r="S197" i="36"/>
  <c r="E197" i="36"/>
  <c r="B197" i="36"/>
  <c r="S196" i="36"/>
  <c r="E196" i="36"/>
  <c r="B196" i="36"/>
  <c r="S195" i="36"/>
  <c r="E195" i="36"/>
  <c r="B195" i="36"/>
  <c r="S194" i="36"/>
  <c r="E194" i="36"/>
  <c r="B194" i="36"/>
  <c r="S193" i="36"/>
  <c r="E193" i="36"/>
  <c r="B193" i="36"/>
  <c r="S192" i="36"/>
  <c r="E192" i="36"/>
  <c r="S191" i="36"/>
  <c r="E191" i="36"/>
  <c r="S190" i="36"/>
  <c r="E190" i="36"/>
  <c r="S189" i="36"/>
  <c r="E189" i="36"/>
  <c r="S188" i="36"/>
  <c r="E188" i="36"/>
  <c r="B188" i="36"/>
  <c r="E187" i="36"/>
  <c r="K187" i="36" s="1"/>
  <c r="S186" i="36"/>
  <c r="F186" i="36"/>
  <c r="E186" i="36"/>
  <c r="S185" i="36"/>
  <c r="F185" i="36"/>
  <c r="E185" i="36"/>
  <c r="S184" i="36"/>
  <c r="F184" i="36"/>
  <c r="E184" i="36"/>
  <c r="S183" i="36"/>
  <c r="F183" i="36"/>
  <c r="E183" i="36"/>
  <c r="S182" i="36"/>
  <c r="F182" i="36"/>
  <c r="E182" i="36"/>
  <c r="B182" i="36"/>
  <c r="S181" i="36"/>
  <c r="F181" i="36"/>
  <c r="E181" i="36"/>
  <c r="S180" i="36"/>
  <c r="F180" i="36"/>
  <c r="E180" i="36"/>
  <c r="S179" i="36"/>
  <c r="F179" i="36"/>
  <c r="E179" i="36"/>
  <c r="S178" i="36"/>
  <c r="F178" i="36"/>
  <c r="E178" i="36"/>
  <c r="S177" i="36"/>
  <c r="F177" i="36"/>
  <c r="E177" i="36"/>
  <c r="B177" i="36"/>
  <c r="S176" i="36"/>
  <c r="F176" i="36"/>
  <c r="E176" i="36"/>
  <c r="S175" i="36"/>
  <c r="F175" i="36"/>
  <c r="E175" i="36"/>
  <c r="S174" i="36"/>
  <c r="F174" i="36"/>
  <c r="E174" i="36"/>
  <c r="S173" i="36"/>
  <c r="F173" i="36"/>
  <c r="E173" i="36"/>
  <c r="S172" i="36"/>
  <c r="F172" i="36"/>
  <c r="E172" i="36"/>
  <c r="B172" i="36"/>
  <c r="S171" i="36"/>
  <c r="F171" i="36"/>
  <c r="E171" i="36"/>
  <c r="S170" i="36"/>
  <c r="F170" i="36"/>
  <c r="E170" i="36"/>
  <c r="S169" i="36"/>
  <c r="F169" i="36"/>
  <c r="E169" i="36"/>
  <c r="S168" i="36"/>
  <c r="F168" i="36"/>
  <c r="E168" i="36"/>
  <c r="S167" i="36"/>
  <c r="F167" i="36"/>
  <c r="E167" i="36"/>
  <c r="B167" i="36"/>
  <c r="S166" i="36"/>
  <c r="E166" i="36"/>
  <c r="S165" i="36"/>
  <c r="E165" i="36"/>
  <c r="S164" i="36"/>
  <c r="E164" i="36"/>
  <c r="S163" i="36"/>
  <c r="E163" i="36"/>
  <c r="S162" i="36"/>
  <c r="E162" i="36"/>
  <c r="B162" i="36"/>
  <c r="S161" i="36"/>
  <c r="F161" i="36"/>
  <c r="E161" i="36"/>
  <c r="B161" i="36"/>
  <c r="J143" i="36"/>
  <c r="J142" i="36"/>
  <c r="J141" i="36"/>
  <c r="J140" i="36"/>
  <c r="J139" i="36"/>
  <c r="F136" i="36"/>
  <c r="F135" i="36"/>
  <c r="F147" i="36" s="1"/>
  <c r="F134" i="36"/>
  <c r="F146" i="36" s="1"/>
  <c r="F133" i="36"/>
  <c r="F156" i="36" s="1"/>
  <c r="F132" i="36"/>
  <c r="F155" i="36" s="1"/>
  <c r="S124" i="36"/>
  <c r="E124" i="36"/>
  <c r="B124" i="36"/>
  <c r="S123" i="36"/>
  <c r="E123" i="36"/>
  <c r="B123" i="36"/>
  <c r="S122" i="36"/>
  <c r="E122" i="36"/>
  <c r="B122" i="36"/>
  <c r="S121" i="36"/>
  <c r="E121" i="36"/>
  <c r="B121" i="36"/>
  <c r="S120" i="36"/>
  <c r="E120" i="36"/>
  <c r="B120" i="36"/>
  <c r="S119" i="36"/>
  <c r="E119" i="36"/>
  <c r="B119" i="36"/>
  <c r="S118" i="36"/>
  <c r="E118" i="36"/>
  <c r="S117" i="36"/>
  <c r="E117" i="36"/>
  <c r="S116" i="36"/>
  <c r="E116" i="36"/>
  <c r="S115" i="36"/>
  <c r="E115" i="36"/>
  <c r="B115" i="36"/>
  <c r="E114" i="36"/>
  <c r="K114" i="36" s="1"/>
  <c r="S113" i="36"/>
  <c r="F113" i="36"/>
  <c r="E113" i="36"/>
  <c r="S112" i="36"/>
  <c r="F112" i="36"/>
  <c r="E112" i="36"/>
  <c r="S111" i="36"/>
  <c r="F111" i="36"/>
  <c r="E111" i="36"/>
  <c r="S110" i="36"/>
  <c r="F110" i="36"/>
  <c r="E110" i="36"/>
  <c r="B110" i="36"/>
  <c r="S109" i="36"/>
  <c r="F109" i="36"/>
  <c r="E109" i="36"/>
  <c r="S108" i="36"/>
  <c r="F108" i="36"/>
  <c r="E108" i="36"/>
  <c r="S107" i="36"/>
  <c r="F107" i="36"/>
  <c r="E107" i="36"/>
  <c r="S106" i="36"/>
  <c r="F106" i="36"/>
  <c r="E106" i="36"/>
  <c r="B106" i="36"/>
  <c r="S105" i="36"/>
  <c r="F105" i="36"/>
  <c r="E105" i="36"/>
  <c r="S104" i="36"/>
  <c r="F104" i="36"/>
  <c r="E104" i="36"/>
  <c r="S103" i="36"/>
  <c r="F103" i="36"/>
  <c r="E103" i="36"/>
  <c r="S102" i="36"/>
  <c r="F102" i="36"/>
  <c r="E102" i="36"/>
  <c r="B102" i="36"/>
  <c r="S101" i="36"/>
  <c r="F101" i="36"/>
  <c r="E101" i="36"/>
  <c r="S100" i="36"/>
  <c r="F100" i="36"/>
  <c r="E100" i="36"/>
  <c r="S99" i="36"/>
  <c r="F99" i="36"/>
  <c r="E99" i="36"/>
  <c r="S98" i="36"/>
  <c r="F98" i="36"/>
  <c r="E98" i="36"/>
  <c r="B98" i="36"/>
  <c r="S97" i="36"/>
  <c r="E97" i="36"/>
  <c r="S96" i="36"/>
  <c r="E96" i="36"/>
  <c r="S95" i="36"/>
  <c r="E95" i="36"/>
  <c r="S94" i="36"/>
  <c r="E94" i="36"/>
  <c r="B94" i="36"/>
  <c r="S93" i="36"/>
  <c r="F93" i="36"/>
  <c r="E93" i="36"/>
  <c r="B93" i="36"/>
  <c r="J78" i="36"/>
  <c r="J77" i="36"/>
  <c r="J76" i="36"/>
  <c r="J75" i="36"/>
  <c r="F72" i="36"/>
  <c r="F71" i="36"/>
  <c r="F90" i="36" s="1"/>
  <c r="F70" i="36"/>
  <c r="F89" i="36" s="1"/>
  <c r="F69" i="36"/>
  <c r="F79" i="36" s="1"/>
  <c r="A63" i="36"/>
  <c r="F62" i="36"/>
  <c r="E62" i="36"/>
  <c r="S61" i="36"/>
  <c r="S62" i="36" s="1"/>
  <c r="E61" i="36"/>
  <c r="C61" i="36"/>
  <c r="B61" i="36"/>
  <c r="A61" i="36"/>
  <c r="S55" i="36"/>
  <c r="S60" i="36" s="1"/>
  <c r="F55" i="36"/>
  <c r="F60" i="36" s="1"/>
  <c r="E55" i="36"/>
  <c r="S54" i="36"/>
  <c r="S59" i="36" s="1"/>
  <c r="F54" i="36"/>
  <c r="F59" i="36" s="1"/>
  <c r="E54" i="36"/>
  <c r="E59" i="36" s="1"/>
  <c r="S53" i="36"/>
  <c r="S58" i="36" s="1"/>
  <c r="F53" i="36"/>
  <c r="F58" i="36" s="1"/>
  <c r="E53" i="36"/>
  <c r="S52" i="36"/>
  <c r="S57" i="36" s="1"/>
  <c r="F52" i="36"/>
  <c r="F57" i="36" s="1"/>
  <c r="E52" i="36"/>
  <c r="E57" i="36" s="1"/>
  <c r="S51" i="36"/>
  <c r="S56" i="36" s="1"/>
  <c r="F51" i="36"/>
  <c r="F56" i="36" s="1"/>
  <c r="E51" i="36"/>
  <c r="E56" i="36" s="1"/>
  <c r="C51" i="36"/>
  <c r="B51" i="36"/>
  <c r="A51" i="36"/>
  <c r="S45" i="36"/>
  <c r="S50" i="36" s="1"/>
  <c r="F45" i="36"/>
  <c r="F50" i="36" s="1"/>
  <c r="E45" i="36"/>
  <c r="E50" i="36" s="1"/>
  <c r="S44" i="36"/>
  <c r="S49" i="36" s="1"/>
  <c r="F44" i="36"/>
  <c r="F49" i="36" s="1"/>
  <c r="E44" i="36"/>
  <c r="E49" i="36" s="1"/>
  <c r="S43" i="36"/>
  <c r="S48" i="36" s="1"/>
  <c r="F43" i="36"/>
  <c r="F48" i="36" s="1"/>
  <c r="E43" i="36"/>
  <c r="E48" i="36" s="1"/>
  <c r="S42" i="36"/>
  <c r="S47" i="36" s="1"/>
  <c r="F42" i="36"/>
  <c r="F47" i="36" s="1"/>
  <c r="E42" i="36"/>
  <c r="E47" i="36" s="1"/>
  <c r="S41" i="36"/>
  <c r="S46" i="36" s="1"/>
  <c r="F41" i="36"/>
  <c r="F46" i="36" s="1"/>
  <c r="E41" i="36"/>
  <c r="E46" i="36" s="1"/>
  <c r="C41" i="36"/>
  <c r="B41" i="36"/>
  <c r="A41" i="36"/>
  <c r="S40" i="36"/>
  <c r="F40" i="36"/>
  <c r="E40" i="36"/>
  <c r="S39" i="36"/>
  <c r="F39" i="36"/>
  <c r="E39" i="36"/>
  <c r="S38" i="36"/>
  <c r="F38" i="36"/>
  <c r="E38" i="36"/>
  <c r="S37" i="36"/>
  <c r="F37" i="36"/>
  <c r="E37" i="36"/>
  <c r="S36" i="36"/>
  <c r="F36" i="36"/>
  <c r="E36" i="36"/>
  <c r="C36" i="36"/>
  <c r="B36" i="36"/>
  <c r="A36" i="36"/>
  <c r="C31" i="36"/>
  <c r="S30" i="36"/>
  <c r="S35" i="36" s="1"/>
  <c r="F30" i="36"/>
  <c r="F35" i="36" s="1"/>
  <c r="E30" i="36"/>
  <c r="S29" i="36"/>
  <c r="S34" i="36" s="1"/>
  <c r="F29" i="36"/>
  <c r="F34" i="36" s="1"/>
  <c r="E29" i="36"/>
  <c r="E34" i="36" s="1"/>
  <c r="S28" i="36"/>
  <c r="S33" i="36" s="1"/>
  <c r="F28" i="36"/>
  <c r="F33" i="36" s="1"/>
  <c r="E28" i="36"/>
  <c r="E33" i="36" s="1"/>
  <c r="S27" i="36"/>
  <c r="S32" i="36" s="1"/>
  <c r="F27" i="36"/>
  <c r="F32" i="36" s="1"/>
  <c r="E27" i="36"/>
  <c r="S26" i="36"/>
  <c r="S31" i="36" s="1"/>
  <c r="F26" i="36"/>
  <c r="E26" i="36"/>
  <c r="C26" i="36"/>
  <c r="B26" i="36"/>
  <c r="A26" i="36"/>
  <c r="N24" i="36"/>
  <c r="N19" i="36" s="1"/>
  <c r="N23" i="36"/>
  <c r="J23" i="36"/>
  <c r="N22" i="36"/>
  <c r="J22" i="36"/>
  <c r="N21" i="36"/>
  <c r="J21" i="36"/>
  <c r="N20" i="36"/>
  <c r="J20" i="36"/>
  <c r="N18" i="36"/>
  <c r="N14" i="36" s="1"/>
  <c r="J12" i="36"/>
  <c r="J24" i="36" s="1"/>
  <c r="J19" i="36" s="1"/>
  <c r="F12" i="36"/>
  <c r="F18" i="36" s="1"/>
  <c r="N11" i="36"/>
  <c r="N10" i="36"/>
  <c r="N9" i="36"/>
  <c r="N8" i="36"/>
  <c r="B6" i="36"/>
  <c r="A6" i="36"/>
  <c r="S5" i="36"/>
  <c r="O1001" i="35"/>
  <c r="O1021" i="35" s="1"/>
  <c r="E1001" i="35"/>
  <c r="O1000" i="35"/>
  <c r="O1016" i="35" s="1"/>
  <c r="E1000" i="35"/>
  <c r="E1020" i="35" s="1"/>
  <c r="O997" i="35"/>
  <c r="E997" i="35"/>
  <c r="O996" i="35"/>
  <c r="E996" i="35"/>
  <c r="O993" i="35"/>
  <c r="E993" i="35"/>
  <c r="O992" i="35"/>
  <c r="E992" i="35"/>
  <c r="O989" i="35"/>
  <c r="E989" i="35"/>
  <c r="O988" i="35"/>
  <c r="E988" i="35"/>
  <c r="O985" i="35"/>
  <c r="E985" i="35"/>
  <c r="O984" i="35"/>
  <c r="E984" i="35"/>
  <c r="O981" i="35"/>
  <c r="E981" i="35"/>
  <c r="O980" i="35"/>
  <c r="E980" i="35"/>
  <c r="B978" i="35"/>
  <c r="A978" i="35"/>
  <c r="O977" i="35"/>
  <c r="E977" i="35"/>
  <c r="B977" i="35"/>
  <c r="O976" i="35"/>
  <c r="E976" i="35"/>
  <c r="B976" i="35"/>
  <c r="O975" i="35"/>
  <c r="E975" i="35"/>
  <c r="B975" i="35"/>
  <c r="O974" i="35"/>
  <c r="E974" i="35"/>
  <c r="B974" i="35"/>
  <c r="O973" i="35"/>
  <c r="E973" i="35"/>
  <c r="B973" i="35"/>
  <c r="O972" i="35"/>
  <c r="E972" i="35"/>
  <c r="O971" i="35"/>
  <c r="E971" i="35"/>
  <c r="O970" i="35"/>
  <c r="E970" i="35"/>
  <c r="O969" i="35"/>
  <c r="E969" i="35"/>
  <c r="B969" i="35"/>
  <c r="N968" i="35"/>
  <c r="R968" i="36" s="1"/>
  <c r="F968" i="35"/>
  <c r="N967" i="35"/>
  <c r="R967" i="36" s="1"/>
  <c r="F967" i="35"/>
  <c r="N966" i="35"/>
  <c r="R966" i="36" s="1"/>
  <c r="F966" i="35"/>
  <c r="F965" i="35"/>
  <c r="B965" i="35"/>
  <c r="O963" i="35"/>
  <c r="F963" i="35"/>
  <c r="E963" i="35"/>
  <c r="O962" i="35"/>
  <c r="F962" i="35"/>
  <c r="E962" i="35"/>
  <c r="O961" i="35"/>
  <c r="F961" i="35"/>
  <c r="E961" i="35"/>
  <c r="O960" i="35"/>
  <c r="F960" i="35"/>
  <c r="E960" i="35"/>
  <c r="B960" i="35"/>
  <c r="O959" i="35"/>
  <c r="E959" i="35"/>
  <c r="O958" i="35"/>
  <c r="E958" i="35"/>
  <c r="O957" i="35"/>
  <c r="E957" i="35"/>
  <c r="O956" i="35"/>
  <c r="E956" i="35"/>
  <c r="B956" i="35"/>
  <c r="O955" i="35"/>
  <c r="E955" i="35"/>
  <c r="O954" i="35"/>
  <c r="E954" i="35"/>
  <c r="O953" i="35"/>
  <c r="E953" i="35"/>
  <c r="O952" i="35"/>
  <c r="E952" i="35"/>
  <c r="B952" i="35"/>
  <c r="C912" i="35"/>
  <c r="C911" i="35"/>
  <c r="C910" i="35"/>
  <c r="C909" i="35"/>
  <c r="O907" i="35"/>
  <c r="E907" i="35"/>
  <c r="B907" i="35"/>
  <c r="O906" i="35"/>
  <c r="E906" i="35"/>
  <c r="B906" i="35"/>
  <c r="O905" i="35"/>
  <c r="E905" i="35"/>
  <c r="B905" i="35"/>
  <c r="O904" i="35"/>
  <c r="E904" i="35"/>
  <c r="B904" i="35"/>
  <c r="O903" i="35"/>
  <c r="E903" i="35"/>
  <c r="B903" i="35"/>
  <c r="O902" i="35"/>
  <c r="E902" i="35"/>
  <c r="O901" i="35"/>
  <c r="E901" i="35"/>
  <c r="O900" i="35"/>
  <c r="E900" i="35"/>
  <c r="O899" i="35"/>
  <c r="E899" i="35"/>
  <c r="B899" i="35"/>
  <c r="N898" i="35"/>
  <c r="R898" i="36" s="1"/>
  <c r="F898" i="35"/>
  <c r="N897" i="35"/>
  <c r="R897" i="36" s="1"/>
  <c r="F897" i="35"/>
  <c r="N896" i="35"/>
  <c r="R896" i="36" s="1"/>
  <c r="F896" i="35"/>
  <c r="N895" i="35"/>
  <c r="R895" i="36" s="1"/>
  <c r="F895" i="35"/>
  <c r="B895" i="35"/>
  <c r="O893" i="35"/>
  <c r="F893" i="35"/>
  <c r="E893" i="35"/>
  <c r="O892" i="35"/>
  <c r="F892" i="35"/>
  <c r="E892" i="35"/>
  <c r="O891" i="35"/>
  <c r="F891" i="35"/>
  <c r="E891" i="35"/>
  <c r="O890" i="35"/>
  <c r="F890" i="35"/>
  <c r="E890" i="35"/>
  <c r="B890" i="35"/>
  <c r="O889" i="35"/>
  <c r="E889" i="35"/>
  <c r="O888" i="35"/>
  <c r="E888" i="35"/>
  <c r="O887" i="35"/>
  <c r="E887" i="35"/>
  <c r="O886" i="35"/>
  <c r="E886" i="35"/>
  <c r="B886" i="35"/>
  <c r="O885" i="35"/>
  <c r="E885" i="35"/>
  <c r="O884" i="35"/>
  <c r="E884" i="35"/>
  <c r="O883" i="35"/>
  <c r="E883" i="35"/>
  <c r="O882" i="35"/>
  <c r="E882" i="35"/>
  <c r="B882" i="35"/>
  <c r="C842" i="35"/>
  <c r="C841" i="35"/>
  <c r="C840" i="35"/>
  <c r="C839" i="35"/>
  <c r="O837" i="35"/>
  <c r="E837" i="35"/>
  <c r="B837" i="35"/>
  <c r="O836" i="35"/>
  <c r="E836" i="35"/>
  <c r="B836" i="35"/>
  <c r="O835" i="35"/>
  <c r="E835" i="35"/>
  <c r="B835" i="35"/>
  <c r="O834" i="35"/>
  <c r="E834" i="35"/>
  <c r="B834" i="35"/>
  <c r="O833" i="35"/>
  <c r="E833" i="35"/>
  <c r="B833" i="35"/>
  <c r="O832" i="35"/>
  <c r="E832" i="35"/>
  <c r="O831" i="35"/>
  <c r="E831" i="35"/>
  <c r="O830" i="35"/>
  <c r="E830" i="35"/>
  <c r="O829" i="35"/>
  <c r="E829" i="35"/>
  <c r="O828" i="35"/>
  <c r="E828" i="35"/>
  <c r="B828" i="35"/>
  <c r="N827" i="35"/>
  <c r="R827" i="36" s="1"/>
  <c r="F827" i="35"/>
  <c r="N826" i="35"/>
  <c r="R826" i="36" s="1"/>
  <c r="F826" i="35"/>
  <c r="N825" i="35"/>
  <c r="R825" i="36" s="1"/>
  <c r="F825" i="35"/>
  <c r="N824" i="35"/>
  <c r="R824" i="36" s="1"/>
  <c r="F824" i="35"/>
  <c r="N823" i="35"/>
  <c r="R823" i="36" s="1"/>
  <c r="F823" i="35"/>
  <c r="B823" i="35"/>
  <c r="O821" i="35"/>
  <c r="F821" i="35"/>
  <c r="E821" i="35"/>
  <c r="O820" i="35"/>
  <c r="F820" i="35"/>
  <c r="E820" i="35"/>
  <c r="O819" i="35"/>
  <c r="F819" i="35"/>
  <c r="E819" i="35"/>
  <c r="O818" i="35"/>
  <c r="F818" i="35"/>
  <c r="E818" i="35"/>
  <c r="O817" i="35"/>
  <c r="F817" i="35"/>
  <c r="E817" i="35"/>
  <c r="B817" i="35"/>
  <c r="O816" i="35"/>
  <c r="E816" i="35"/>
  <c r="O815" i="35"/>
  <c r="E815" i="35"/>
  <c r="O814" i="35"/>
  <c r="E814" i="35"/>
  <c r="O813" i="35"/>
  <c r="E813" i="35"/>
  <c r="O812" i="35"/>
  <c r="E812" i="35"/>
  <c r="B812" i="35"/>
  <c r="O811" i="35"/>
  <c r="E811" i="35"/>
  <c r="O810" i="35"/>
  <c r="E810" i="35"/>
  <c r="O809" i="35"/>
  <c r="E809" i="35"/>
  <c r="O808" i="35"/>
  <c r="E808" i="35"/>
  <c r="O807" i="35"/>
  <c r="E807" i="35"/>
  <c r="B807" i="35"/>
  <c r="C760" i="35"/>
  <c r="C759" i="35"/>
  <c r="C758" i="35"/>
  <c r="C757" i="35"/>
  <c r="C756" i="35"/>
  <c r="O754" i="35"/>
  <c r="E754" i="35"/>
  <c r="B754" i="35"/>
  <c r="O753" i="35"/>
  <c r="E753" i="35"/>
  <c r="B753" i="35"/>
  <c r="O752" i="35"/>
  <c r="E752" i="35"/>
  <c r="B752" i="35"/>
  <c r="O751" i="35"/>
  <c r="E751" i="35"/>
  <c r="B751" i="35"/>
  <c r="O750" i="35"/>
  <c r="E750" i="35"/>
  <c r="B750" i="35"/>
  <c r="O749" i="35"/>
  <c r="E749" i="35"/>
  <c r="O748" i="35"/>
  <c r="E748" i="35"/>
  <c r="O747" i="35"/>
  <c r="E747" i="35"/>
  <c r="O746" i="35"/>
  <c r="E746" i="35"/>
  <c r="O745" i="35"/>
  <c r="E745" i="35"/>
  <c r="B745" i="35"/>
  <c r="N744" i="35"/>
  <c r="R744" i="36" s="1"/>
  <c r="F744" i="35"/>
  <c r="N743" i="35"/>
  <c r="R743" i="36" s="1"/>
  <c r="F743" i="35"/>
  <c r="N742" i="35"/>
  <c r="R742" i="36" s="1"/>
  <c r="F742" i="35"/>
  <c r="N741" i="35"/>
  <c r="R741" i="36" s="1"/>
  <c r="F741" i="35"/>
  <c r="N740" i="35"/>
  <c r="R740" i="36" s="1"/>
  <c r="F740" i="35"/>
  <c r="B740" i="35"/>
  <c r="O738" i="35"/>
  <c r="F738" i="35"/>
  <c r="E738" i="35"/>
  <c r="O737" i="35"/>
  <c r="F737" i="35"/>
  <c r="E737" i="35"/>
  <c r="O736" i="35"/>
  <c r="F736" i="35"/>
  <c r="E736" i="35"/>
  <c r="O735" i="35"/>
  <c r="F735" i="35"/>
  <c r="E735" i="35"/>
  <c r="O734" i="35"/>
  <c r="F734" i="35"/>
  <c r="E734" i="35"/>
  <c r="B734" i="35"/>
  <c r="O733" i="35"/>
  <c r="E733" i="35"/>
  <c r="O732" i="35"/>
  <c r="E732" i="35"/>
  <c r="O731" i="35"/>
  <c r="E731" i="35"/>
  <c r="O730" i="35"/>
  <c r="E730" i="35"/>
  <c r="O729" i="35"/>
  <c r="E729" i="35"/>
  <c r="B729" i="35"/>
  <c r="O728" i="35"/>
  <c r="E728" i="35"/>
  <c r="O727" i="35"/>
  <c r="E727" i="35"/>
  <c r="O726" i="35"/>
  <c r="E726" i="35"/>
  <c r="O725" i="35"/>
  <c r="E725" i="35"/>
  <c r="O724" i="35"/>
  <c r="E724" i="35"/>
  <c r="B724" i="35"/>
  <c r="C677" i="35"/>
  <c r="C676" i="35"/>
  <c r="C675" i="35"/>
  <c r="C674" i="35"/>
  <c r="C673" i="35"/>
  <c r="C678" i="35" s="1"/>
  <c r="O671" i="35"/>
  <c r="E671" i="35"/>
  <c r="B671" i="35"/>
  <c r="O670" i="35"/>
  <c r="E670" i="35"/>
  <c r="B670" i="35"/>
  <c r="O669" i="35"/>
  <c r="E669" i="35"/>
  <c r="B669" i="35"/>
  <c r="O668" i="35"/>
  <c r="E668" i="35"/>
  <c r="B668" i="35"/>
  <c r="O667" i="35"/>
  <c r="E667" i="35"/>
  <c r="B667" i="35"/>
  <c r="O666" i="35"/>
  <c r="E666" i="35"/>
  <c r="O665" i="35"/>
  <c r="E665" i="35"/>
  <c r="O664" i="35"/>
  <c r="E664" i="35"/>
  <c r="O663" i="35"/>
  <c r="E663" i="35"/>
  <c r="O662" i="35"/>
  <c r="E662" i="35"/>
  <c r="B662" i="35"/>
  <c r="N661" i="35"/>
  <c r="R661" i="36" s="1"/>
  <c r="F661" i="35"/>
  <c r="N660" i="35"/>
  <c r="R660" i="36" s="1"/>
  <c r="F660" i="35"/>
  <c r="N659" i="35"/>
  <c r="R659" i="36" s="1"/>
  <c r="F659" i="35"/>
  <c r="N658" i="35"/>
  <c r="R658" i="36" s="1"/>
  <c r="F658" i="35"/>
  <c r="N657" i="35"/>
  <c r="R657" i="36" s="1"/>
  <c r="F657" i="35"/>
  <c r="B657" i="35"/>
  <c r="O655" i="35"/>
  <c r="F655" i="35"/>
  <c r="E655" i="35"/>
  <c r="O654" i="35"/>
  <c r="F654" i="35"/>
  <c r="E654" i="35"/>
  <c r="O653" i="35"/>
  <c r="F653" i="35"/>
  <c r="E653" i="35"/>
  <c r="O652" i="35"/>
  <c r="F652" i="35"/>
  <c r="E652" i="35"/>
  <c r="O651" i="35"/>
  <c r="F651" i="35"/>
  <c r="E651" i="35"/>
  <c r="B651" i="35"/>
  <c r="O650" i="35"/>
  <c r="E650" i="35"/>
  <c r="O649" i="35"/>
  <c r="E649" i="35"/>
  <c r="O648" i="35"/>
  <c r="E648" i="35"/>
  <c r="O647" i="35"/>
  <c r="E647" i="35"/>
  <c r="O646" i="35"/>
  <c r="E646" i="35"/>
  <c r="B646" i="35"/>
  <c r="O645" i="35"/>
  <c r="E645" i="35"/>
  <c r="O644" i="35"/>
  <c r="E644" i="35"/>
  <c r="O643" i="35"/>
  <c r="E643" i="35"/>
  <c r="O642" i="35"/>
  <c r="E642" i="35"/>
  <c r="O641" i="35"/>
  <c r="E641" i="35"/>
  <c r="B641" i="35"/>
  <c r="C594" i="35"/>
  <c r="C593" i="35"/>
  <c r="F593" i="35" s="1"/>
  <c r="C592" i="35"/>
  <c r="C591" i="35"/>
  <c r="C596" i="35" s="1"/>
  <c r="C590" i="35"/>
  <c r="O588" i="35"/>
  <c r="E588" i="35"/>
  <c r="B588" i="35"/>
  <c r="O587" i="35"/>
  <c r="E587" i="35"/>
  <c r="B587" i="35"/>
  <c r="O586" i="35"/>
  <c r="E586" i="35"/>
  <c r="B586" i="35"/>
  <c r="O585" i="35"/>
  <c r="E585" i="35"/>
  <c r="B585" i="35"/>
  <c r="O584" i="35"/>
  <c r="E584" i="35"/>
  <c r="B584" i="35"/>
  <c r="O583" i="35"/>
  <c r="E583" i="35"/>
  <c r="O582" i="35"/>
  <c r="E582" i="35"/>
  <c r="O581" i="35"/>
  <c r="E581" i="35"/>
  <c r="O580" i="35"/>
  <c r="E580" i="35"/>
  <c r="B580" i="35"/>
  <c r="N579" i="35"/>
  <c r="R579" i="36" s="1"/>
  <c r="F579" i="35"/>
  <c r="N578" i="35"/>
  <c r="R578" i="36" s="1"/>
  <c r="F578" i="35"/>
  <c r="N577" i="35"/>
  <c r="R577" i="36" s="1"/>
  <c r="F577" i="35"/>
  <c r="N576" i="35"/>
  <c r="R576" i="36" s="1"/>
  <c r="F576" i="35"/>
  <c r="N575" i="35"/>
  <c r="R575" i="36" s="1"/>
  <c r="F575" i="35"/>
  <c r="B575" i="35"/>
  <c r="O573" i="35"/>
  <c r="F573" i="35"/>
  <c r="E573" i="35"/>
  <c r="O572" i="35"/>
  <c r="F572" i="35"/>
  <c r="E572" i="35"/>
  <c r="O571" i="35"/>
  <c r="F571" i="35"/>
  <c r="E571" i="35"/>
  <c r="O570" i="35"/>
  <c r="F570" i="35"/>
  <c r="E570" i="35"/>
  <c r="B570" i="35"/>
  <c r="O569" i="35"/>
  <c r="E569" i="35"/>
  <c r="O568" i="35"/>
  <c r="E568" i="35"/>
  <c r="O567" i="35"/>
  <c r="E567" i="35"/>
  <c r="O566" i="35"/>
  <c r="E566" i="35"/>
  <c r="B566" i="35"/>
  <c r="O565" i="35"/>
  <c r="E565" i="35"/>
  <c r="O564" i="35"/>
  <c r="E564" i="35"/>
  <c r="O563" i="35"/>
  <c r="E563" i="35"/>
  <c r="O562" i="35"/>
  <c r="E562" i="35"/>
  <c r="B562" i="35"/>
  <c r="C523" i="35"/>
  <c r="C522" i="35"/>
  <c r="C521" i="35"/>
  <c r="C520" i="35"/>
  <c r="B518" i="35"/>
  <c r="A518" i="35"/>
  <c r="O517" i="35"/>
  <c r="E517" i="35"/>
  <c r="O516" i="35"/>
  <c r="E516" i="35"/>
  <c r="O515" i="35"/>
  <c r="E515" i="35"/>
  <c r="O514" i="35"/>
  <c r="E514" i="35"/>
  <c r="O512" i="35"/>
  <c r="E512" i="35"/>
  <c r="O511" i="35"/>
  <c r="E511" i="35"/>
  <c r="O510" i="35"/>
  <c r="E510" i="35"/>
  <c r="O509" i="35"/>
  <c r="E509" i="35"/>
  <c r="O508" i="35"/>
  <c r="E508" i="35"/>
  <c r="O506" i="35"/>
  <c r="E506" i="35"/>
  <c r="O505" i="35"/>
  <c r="E505" i="35"/>
  <c r="O504" i="35"/>
  <c r="E504" i="35"/>
  <c r="O503" i="35"/>
  <c r="E503" i="35"/>
  <c r="O502" i="35"/>
  <c r="E502" i="35"/>
  <c r="O500" i="35"/>
  <c r="E500" i="35"/>
  <c r="O499" i="35"/>
  <c r="E499" i="35"/>
  <c r="O498" i="35"/>
  <c r="E498" i="35"/>
  <c r="O497" i="35"/>
  <c r="E497" i="35"/>
  <c r="O496" i="35"/>
  <c r="E496" i="35"/>
  <c r="B494" i="35"/>
  <c r="O493" i="35"/>
  <c r="E493" i="35"/>
  <c r="O492" i="35"/>
  <c r="E492" i="35"/>
  <c r="O491" i="35"/>
  <c r="E491" i="35"/>
  <c r="O490" i="35"/>
  <c r="E490" i="35"/>
  <c r="O488" i="35"/>
  <c r="O827" i="35" s="1"/>
  <c r="E488" i="35"/>
  <c r="O487" i="35"/>
  <c r="O826" i="35" s="1"/>
  <c r="E487" i="35"/>
  <c r="E826" i="35" s="1"/>
  <c r="O486" i="35"/>
  <c r="O825" i="35" s="1"/>
  <c r="E486" i="35"/>
  <c r="O485" i="35"/>
  <c r="O824" i="35" s="1"/>
  <c r="E485" i="35"/>
  <c r="O484" i="35"/>
  <c r="O823" i="35" s="1"/>
  <c r="E484" i="35"/>
  <c r="E823" i="35" s="1"/>
  <c r="O482" i="35"/>
  <c r="O744" i="35" s="1"/>
  <c r="E482" i="35"/>
  <c r="E744" i="35" s="1"/>
  <c r="O481" i="35"/>
  <c r="O743" i="35" s="1"/>
  <c r="E481" i="35"/>
  <c r="O480" i="35"/>
  <c r="O742" i="35" s="1"/>
  <c r="E480" i="35"/>
  <c r="O479" i="35"/>
  <c r="O741" i="35" s="1"/>
  <c r="E479" i="35"/>
  <c r="O478" i="35"/>
  <c r="O740" i="35" s="1"/>
  <c r="O678" i="35" s="1"/>
  <c r="E478" i="35"/>
  <c r="E740" i="35" s="1"/>
  <c r="O476" i="35"/>
  <c r="O661" i="35" s="1"/>
  <c r="E476" i="35"/>
  <c r="O475" i="35"/>
  <c r="E475" i="35"/>
  <c r="O474" i="35"/>
  <c r="O577" i="35" s="1"/>
  <c r="E474" i="35"/>
  <c r="O473" i="35"/>
  <c r="E473" i="35"/>
  <c r="E658" i="35" s="1"/>
  <c r="O472" i="35"/>
  <c r="O657" i="35" s="1"/>
  <c r="E472" i="35"/>
  <c r="B469" i="35"/>
  <c r="A469" i="35"/>
  <c r="O468" i="35"/>
  <c r="E468" i="35"/>
  <c r="B468" i="35"/>
  <c r="A468" i="35"/>
  <c r="O467" i="35"/>
  <c r="E467" i="35"/>
  <c r="B467" i="35"/>
  <c r="A467" i="35"/>
  <c r="O466" i="35"/>
  <c r="E466" i="35"/>
  <c r="B466" i="35"/>
  <c r="A466" i="35"/>
  <c r="O465" i="35"/>
  <c r="E465" i="35"/>
  <c r="B465" i="35"/>
  <c r="A465" i="35"/>
  <c r="O464" i="35"/>
  <c r="E464" i="35"/>
  <c r="B464" i="35"/>
  <c r="O463" i="35"/>
  <c r="E463" i="35"/>
  <c r="B463" i="35"/>
  <c r="O462" i="35"/>
  <c r="E462" i="35"/>
  <c r="O461" i="35"/>
  <c r="E461" i="35"/>
  <c r="O460" i="35"/>
  <c r="E460" i="35"/>
  <c r="O459" i="35"/>
  <c r="E459" i="35"/>
  <c r="B459" i="35"/>
  <c r="E458" i="35"/>
  <c r="K458" i="35" s="1"/>
  <c r="O458" i="36" s="1"/>
  <c r="O457" i="35"/>
  <c r="F457" i="35"/>
  <c r="E457" i="35"/>
  <c r="O456" i="35"/>
  <c r="F456" i="35"/>
  <c r="E456" i="35"/>
  <c r="O455" i="35"/>
  <c r="F455" i="35"/>
  <c r="E455" i="35"/>
  <c r="O454" i="35"/>
  <c r="F454" i="35"/>
  <c r="E454" i="35"/>
  <c r="B454" i="35"/>
  <c r="O453" i="35"/>
  <c r="F453" i="35"/>
  <c r="E453" i="35"/>
  <c r="O452" i="35"/>
  <c r="F452" i="35"/>
  <c r="E452" i="35"/>
  <c r="O451" i="35"/>
  <c r="F451" i="35"/>
  <c r="E451" i="35"/>
  <c r="O450" i="35"/>
  <c r="F450" i="35"/>
  <c r="E450" i="35"/>
  <c r="B450" i="35"/>
  <c r="O449" i="35"/>
  <c r="F449" i="35"/>
  <c r="E449" i="35"/>
  <c r="O448" i="35"/>
  <c r="F448" i="35"/>
  <c r="E448" i="35"/>
  <c r="O447" i="35"/>
  <c r="F447" i="35"/>
  <c r="E447" i="35"/>
  <c r="O446" i="35"/>
  <c r="F446" i="35"/>
  <c r="E446" i="35"/>
  <c r="B446" i="35"/>
  <c r="O445" i="35"/>
  <c r="F445" i="35"/>
  <c r="E445" i="35"/>
  <c r="O444" i="35"/>
  <c r="F444" i="35"/>
  <c r="E444" i="35"/>
  <c r="O443" i="35"/>
  <c r="F443" i="35"/>
  <c r="E443" i="35"/>
  <c r="O442" i="35"/>
  <c r="F442" i="35"/>
  <c r="E442" i="35"/>
  <c r="B442" i="35"/>
  <c r="O441" i="35"/>
  <c r="E441" i="35"/>
  <c r="O440" i="35"/>
  <c r="E440" i="35"/>
  <c r="O439" i="35"/>
  <c r="E439" i="35"/>
  <c r="O438" i="35"/>
  <c r="E438" i="35"/>
  <c r="B438" i="35"/>
  <c r="O437" i="35"/>
  <c r="F437" i="35"/>
  <c r="E437" i="35"/>
  <c r="B437" i="35"/>
  <c r="J422" i="35"/>
  <c r="J421" i="35"/>
  <c r="J420" i="35"/>
  <c r="J419" i="35"/>
  <c r="F416" i="35"/>
  <c r="F426" i="35" s="1"/>
  <c r="F415" i="35"/>
  <c r="F425" i="35" s="1"/>
  <c r="F414" i="35"/>
  <c r="F424" i="35" s="1"/>
  <c r="F413" i="35"/>
  <c r="F432" i="35" s="1"/>
  <c r="O407" i="35"/>
  <c r="E407" i="35"/>
  <c r="B407" i="35"/>
  <c r="O406" i="35"/>
  <c r="E406" i="35"/>
  <c r="B406" i="35"/>
  <c r="O405" i="35"/>
  <c r="E405" i="35"/>
  <c r="B405" i="35"/>
  <c r="O404" i="35"/>
  <c r="E404" i="35"/>
  <c r="B404" i="35"/>
  <c r="O403" i="35"/>
  <c r="E403" i="35"/>
  <c r="B403" i="35"/>
  <c r="O402" i="35"/>
  <c r="E402" i="35"/>
  <c r="B402" i="35"/>
  <c r="O401" i="35"/>
  <c r="E401" i="35"/>
  <c r="O400" i="35"/>
  <c r="E400" i="35"/>
  <c r="O399" i="35"/>
  <c r="E399" i="35"/>
  <c r="O398" i="35"/>
  <c r="E398" i="35"/>
  <c r="B398" i="35"/>
  <c r="E397" i="35"/>
  <c r="K397" i="35" s="1"/>
  <c r="O397" i="36" s="1"/>
  <c r="O396" i="35"/>
  <c r="F396" i="35"/>
  <c r="E396" i="35"/>
  <c r="O395" i="35"/>
  <c r="F395" i="35"/>
  <c r="E395" i="35"/>
  <c r="O394" i="35"/>
  <c r="F394" i="35"/>
  <c r="E394" i="35"/>
  <c r="O393" i="35"/>
  <c r="F393" i="35"/>
  <c r="E393" i="35"/>
  <c r="B393" i="35"/>
  <c r="O392" i="35"/>
  <c r="F392" i="35"/>
  <c r="E392" i="35"/>
  <c r="O391" i="35"/>
  <c r="F391" i="35"/>
  <c r="E391" i="35"/>
  <c r="O390" i="35"/>
  <c r="F390" i="35"/>
  <c r="E390" i="35"/>
  <c r="O389" i="35"/>
  <c r="F389" i="35"/>
  <c r="E389" i="35"/>
  <c r="B389" i="35"/>
  <c r="O388" i="35"/>
  <c r="F388" i="35"/>
  <c r="E388" i="35"/>
  <c r="O387" i="35"/>
  <c r="F387" i="35"/>
  <c r="E387" i="35"/>
  <c r="O386" i="35"/>
  <c r="F386" i="35"/>
  <c r="E386" i="35"/>
  <c r="O385" i="35"/>
  <c r="F385" i="35"/>
  <c r="E385" i="35"/>
  <c r="B385" i="35"/>
  <c r="O384" i="35"/>
  <c r="F384" i="35"/>
  <c r="E384" i="35"/>
  <c r="O383" i="35"/>
  <c r="F383" i="35"/>
  <c r="E383" i="35"/>
  <c r="O382" i="35"/>
  <c r="F382" i="35"/>
  <c r="E382" i="35"/>
  <c r="O381" i="35"/>
  <c r="F381" i="35"/>
  <c r="E381" i="35"/>
  <c r="B381" i="35"/>
  <c r="O380" i="35"/>
  <c r="E380" i="35"/>
  <c r="O379" i="35"/>
  <c r="E379" i="35"/>
  <c r="O378" i="35"/>
  <c r="E378" i="35"/>
  <c r="O377" i="35"/>
  <c r="E377" i="35"/>
  <c r="B377" i="35"/>
  <c r="O376" i="35"/>
  <c r="F376" i="35"/>
  <c r="E376" i="35"/>
  <c r="B376" i="35"/>
  <c r="J361" i="35"/>
  <c r="J360" i="35"/>
  <c r="J359" i="35"/>
  <c r="J358" i="35"/>
  <c r="F355" i="35"/>
  <c r="F365" i="35" s="1"/>
  <c r="F354" i="35"/>
  <c r="F373" i="35" s="1"/>
  <c r="F353" i="35"/>
  <c r="F363" i="35" s="1"/>
  <c r="F352" i="35"/>
  <c r="F362" i="35" s="1"/>
  <c r="O345" i="35"/>
  <c r="E345" i="35"/>
  <c r="B345" i="35"/>
  <c r="O344" i="35"/>
  <c r="E344" i="35"/>
  <c r="B344" i="35"/>
  <c r="O343" i="35"/>
  <c r="E343" i="35"/>
  <c r="B343" i="35"/>
  <c r="O342" i="35"/>
  <c r="E342" i="35"/>
  <c r="B342" i="35"/>
  <c r="O341" i="35"/>
  <c r="I303" i="35"/>
  <c r="E341" i="35"/>
  <c r="B341" i="35"/>
  <c r="O340" i="35"/>
  <c r="E340" i="35"/>
  <c r="B340" i="35"/>
  <c r="O339" i="35"/>
  <c r="E339" i="35"/>
  <c r="O338" i="35"/>
  <c r="E338" i="35"/>
  <c r="O337" i="35"/>
  <c r="E337" i="35"/>
  <c r="O336" i="35"/>
  <c r="E336" i="35"/>
  <c r="O335" i="35"/>
  <c r="I302" i="35"/>
  <c r="E335" i="35"/>
  <c r="B335" i="35"/>
  <c r="E334" i="35"/>
  <c r="K334" i="35" s="1"/>
  <c r="O334" i="36" s="1"/>
  <c r="O333" i="35"/>
  <c r="F333" i="35"/>
  <c r="E333" i="35"/>
  <c r="O332" i="35"/>
  <c r="F332" i="35"/>
  <c r="E332" i="35"/>
  <c r="O331" i="35"/>
  <c r="F331" i="35"/>
  <c r="E331" i="35"/>
  <c r="O330" i="35"/>
  <c r="F330" i="35"/>
  <c r="E330" i="35"/>
  <c r="O329" i="35"/>
  <c r="F329" i="35"/>
  <c r="E329" i="35"/>
  <c r="B329" i="35"/>
  <c r="O328" i="35"/>
  <c r="F328" i="35"/>
  <c r="E328" i="35"/>
  <c r="O327" i="35"/>
  <c r="F327" i="35"/>
  <c r="E327" i="35"/>
  <c r="O326" i="35"/>
  <c r="F326" i="35"/>
  <c r="E326" i="35"/>
  <c r="O325" i="35"/>
  <c r="F325" i="35"/>
  <c r="E325" i="35"/>
  <c r="O324" i="35"/>
  <c r="F324" i="35"/>
  <c r="E324" i="35"/>
  <c r="B324" i="35"/>
  <c r="O323" i="35"/>
  <c r="F323" i="35"/>
  <c r="E323" i="35"/>
  <c r="O322" i="35"/>
  <c r="F322" i="35"/>
  <c r="E322" i="35"/>
  <c r="O321" i="35"/>
  <c r="F321" i="35"/>
  <c r="E321" i="35"/>
  <c r="O320" i="35"/>
  <c r="F320" i="35"/>
  <c r="E320" i="35"/>
  <c r="O319" i="35"/>
  <c r="F319" i="35"/>
  <c r="E319" i="35"/>
  <c r="B319" i="35"/>
  <c r="O318" i="35"/>
  <c r="F318" i="35"/>
  <c r="E318" i="35"/>
  <c r="O317" i="35"/>
  <c r="F317" i="35"/>
  <c r="E317" i="35"/>
  <c r="O316" i="35"/>
  <c r="F316" i="35"/>
  <c r="E316" i="35"/>
  <c r="O315" i="35"/>
  <c r="F315" i="35"/>
  <c r="E315" i="35"/>
  <c r="O314" i="35"/>
  <c r="F314" i="35"/>
  <c r="E314" i="35"/>
  <c r="B314" i="35"/>
  <c r="O313" i="35"/>
  <c r="E313" i="35"/>
  <c r="O312" i="35"/>
  <c r="E312" i="35"/>
  <c r="O311" i="35"/>
  <c r="E311" i="35"/>
  <c r="O310" i="35"/>
  <c r="E310" i="35"/>
  <c r="O309" i="35"/>
  <c r="E309" i="35"/>
  <c r="B309" i="35"/>
  <c r="O308" i="35"/>
  <c r="F308" i="35"/>
  <c r="E308" i="35"/>
  <c r="B308" i="35"/>
  <c r="J290" i="35"/>
  <c r="J289" i="35"/>
  <c r="J288" i="35"/>
  <c r="J287" i="35"/>
  <c r="J286" i="35"/>
  <c r="I286" i="35"/>
  <c r="I306" i="35"/>
  <c r="F283" i="35"/>
  <c r="F306" i="35" s="1"/>
  <c r="F282" i="35"/>
  <c r="I304" i="35"/>
  <c r="F281" i="35"/>
  <c r="F293" i="35" s="1"/>
  <c r="F280" i="35"/>
  <c r="F303" i="35" s="1"/>
  <c r="F279" i="35"/>
  <c r="F291" i="35" s="1"/>
  <c r="I301" i="35"/>
  <c r="I300" i="35"/>
  <c r="I299" i="35"/>
  <c r="I297" i="35"/>
  <c r="O272" i="35"/>
  <c r="E272" i="35"/>
  <c r="B272" i="35"/>
  <c r="O271" i="35"/>
  <c r="E271" i="35"/>
  <c r="B271" i="35"/>
  <c r="O270" i="35"/>
  <c r="E270" i="35"/>
  <c r="B270" i="35"/>
  <c r="O269" i="35"/>
  <c r="E269" i="35"/>
  <c r="B269" i="35"/>
  <c r="O268" i="35"/>
  <c r="E268" i="35"/>
  <c r="B268" i="35"/>
  <c r="O267" i="35"/>
  <c r="E267" i="35"/>
  <c r="B267" i="35"/>
  <c r="O266" i="35"/>
  <c r="E266" i="35"/>
  <c r="O265" i="35"/>
  <c r="E265" i="35"/>
  <c r="O264" i="35"/>
  <c r="E264" i="35"/>
  <c r="O263" i="35"/>
  <c r="E263" i="35"/>
  <c r="O262" i="35"/>
  <c r="E262" i="35"/>
  <c r="B262" i="35"/>
  <c r="E261" i="35"/>
  <c r="K261" i="35" s="1"/>
  <c r="O261" i="36" s="1"/>
  <c r="O259" i="35"/>
  <c r="F259" i="35"/>
  <c r="E259" i="35"/>
  <c r="O258" i="35"/>
  <c r="F258" i="35"/>
  <c r="E258" i="35"/>
  <c r="O257" i="35"/>
  <c r="F257" i="35"/>
  <c r="E257" i="35"/>
  <c r="O256" i="35"/>
  <c r="F256" i="35"/>
  <c r="E256" i="35"/>
  <c r="O255" i="35"/>
  <c r="F255" i="35"/>
  <c r="E255" i="35"/>
  <c r="B255" i="35"/>
  <c r="O254" i="35"/>
  <c r="F254" i="35"/>
  <c r="E254" i="35"/>
  <c r="O253" i="35"/>
  <c r="F253" i="35"/>
  <c r="E253" i="35"/>
  <c r="O252" i="35"/>
  <c r="F252" i="35"/>
  <c r="E252" i="35"/>
  <c r="O251" i="35"/>
  <c r="F251" i="35"/>
  <c r="E251" i="35"/>
  <c r="O250" i="35"/>
  <c r="F250" i="35"/>
  <c r="E250" i="35"/>
  <c r="B250" i="35"/>
  <c r="O249" i="35"/>
  <c r="F249" i="35"/>
  <c r="E249" i="35"/>
  <c r="O248" i="35"/>
  <c r="F248" i="35"/>
  <c r="E248" i="35"/>
  <c r="O247" i="35"/>
  <c r="F247" i="35"/>
  <c r="E247" i="35"/>
  <c r="O246" i="35"/>
  <c r="F246" i="35"/>
  <c r="E246" i="35"/>
  <c r="O245" i="35"/>
  <c r="F245" i="35"/>
  <c r="E245" i="35"/>
  <c r="B245" i="35"/>
  <c r="O244" i="35"/>
  <c r="F244" i="35"/>
  <c r="E244" i="35"/>
  <c r="O243" i="35"/>
  <c r="F243" i="35"/>
  <c r="E243" i="35"/>
  <c r="O242" i="35"/>
  <c r="F242" i="35"/>
  <c r="E242" i="35"/>
  <c r="O241" i="35"/>
  <c r="F241" i="35"/>
  <c r="E241" i="35"/>
  <c r="O240" i="35"/>
  <c r="F240" i="35"/>
  <c r="E240" i="35"/>
  <c r="B240" i="35"/>
  <c r="O239" i="35"/>
  <c r="E239" i="35"/>
  <c r="O238" i="35"/>
  <c r="E238" i="35"/>
  <c r="O237" i="35"/>
  <c r="E237" i="35"/>
  <c r="O236" i="35"/>
  <c r="E236" i="35"/>
  <c r="O235" i="35"/>
  <c r="E235" i="35"/>
  <c r="B235" i="35"/>
  <c r="O234" i="35"/>
  <c r="F234" i="35"/>
  <c r="F204" i="35" s="1"/>
  <c r="F216" i="35" s="1"/>
  <c r="E234" i="35"/>
  <c r="B234" i="35"/>
  <c r="J216" i="35"/>
  <c r="J215" i="35"/>
  <c r="J214" i="35"/>
  <c r="J213" i="35"/>
  <c r="J212" i="35"/>
  <c r="F209" i="35"/>
  <c r="F208" i="35"/>
  <c r="F231" i="35" s="1"/>
  <c r="F207" i="35"/>
  <c r="F230" i="35" s="1"/>
  <c r="F206" i="35"/>
  <c r="F218" i="35" s="1"/>
  <c r="F205" i="35"/>
  <c r="F217" i="35" s="1"/>
  <c r="O198" i="35"/>
  <c r="E198" i="35"/>
  <c r="B198" i="35"/>
  <c r="O197" i="35"/>
  <c r="E197" i="35"/>
  <c r="B197" i="35"/>
  <c r="O196" i="35"/>
  <c r="E196" i="35"/>
  <c r="B196" i="35"/>
  <c r="O195" i="35"/>
  <c r="E195" i="35"/>
  <c r="B195" i="35"/>
  <c r="O194" i="35"/>
  <c r="E194" i="35"/>
  <c r="B194" i="35"/>
  <c r="O193" i="35"/>
  <c r="E193" i="35"/>
  <c r="B193" i="35"/>
  <c r="O192" i="35"/>
  <c r="E192" i="35"/>
  <c r="O191" i="35"/>
  <c r="E191" i="35"/>
  <c r="O190" i="35"/>
  <c r="E190" i="35"/>
  <c r="O189" i="35"/>
  <c r="E189" i="35"/>
  <c r="O188" i="35"/>
  <c r="E188" i="35"/>
  <c r="B188" i="35"/>
  <c r="E187" i="35"/>
  <c r="K187" i="35" s="1"/>
  <c r="O187" i="36" s="1"/>
  <c r="O186" i="35"/>
  <c r="F186" i="35"/>
  <c r="E186" i="35"/>
  <c r="O185" i="35"/>
  <c r="F185" i="35"/>
  <c r="E185" i="35"/>
  <c r="O184" i="35"/>
  <c r="F184" i="35"/>
  <c r="E184" i="35"/>
  <c r="O183" i="35"/>
  <c r="F183" i="35"/>
  <c r="E183" i="35"/>
  <c r="O182" i="35"/>
  <c r="F182" i="35"/>
  <c r="E182" i="35"/>
  <c r="B182" i="35"/>
  <c r="O181" i="35"/>
  <c r="F181" i="35"/>
  <c r="E181" i="35"/>
  <c r="O180" i="35"/>
  <c r="F180" i="35"/>
  <c r="E180" i="35"/>
  <c r="O179" i="35"/>
  <c r="F179" i="35"/>
  <c r="E179" i="35"/>
  <c r="O178" i="35"/>
  <c r="F178" i="35"/>
  <c r="E178" i="35"/>
  <c r="O177" i="35"/>
  <c r="F177" i="35"/>
  <c r="E177" i="35"/>
  <c r="B177" i="35"/>
  <c r="O176" i="35"/>
  <c r="F176" i="35"/>
  <c r="E176" i="35"/>
  <c r="O175" i="35"/>
  <c r="F175" i="35"/>
  <c r="E175" i="35"/>
  <c r="O174" i="35"/>
  <c r="F174" i="35"/>
  <c r="E174" i="35"/>
  <c r="O173" i="35"/>
  <c r="F173" i="35"/>
  <c r="E173" i="35"/>
  <c r="O172" i="35"/>
  <c r="F172" i="35"/>
  <c r="E172" i="35"/>
  <c r="B172" i="35"/>
  <c r="O171" i="35"/>
  <c r="F171" i="35"/>
  <c r="E171" i="35"/>
  <c r="O170" i="35"/>
  <c r="F170" i="35"/>
  <c r="E170" i="35"/>
  <c r="O169" i="35"/>
  <c r="F169" i="35"/>
  <c r="E169" i="35"/>
  <c r="O168" i="35"/>
  <c r="F168" i="35"/>
  <c r="E168" i="35"/>
  <c r="O167" i="35"/>
  <c r="F167" i="35"/>
  <c r="E167" i="35"/>
  <c r="B167" i="35"/>
  <c r="O166" i="35"/>
  <c r="E166" i="35"/>
  <c r="O165" i="35"/>
  <c r="E165" i="35"/>
  <c r="O164" i="35"/>
  <c r="E164" i="35"/>
  <c r="O163" i="35"/>
  <c r="E163" i="35"/>
  <c r="O162" i="35"/>
  <c r="E162" i="35"/>
  <c r="B162" i="35"/>
  <c r="O161" i="35"/>
  <c r="F161" i="35"/>
  <c r="F131" i="35" s="1"/>
  <c r="F154" i="35" s="1"/>
  <c r="E161" i="35"/>
  <c r="B161" i="35"/>
  <c r="J143" i="35"/>
  <c r="J142" i="35"/>
  <c r="J141" i="35"/>
  <c r="J140" i="35"/>
  <c r="J139" i="35"/>
  <c r="F136" i="35"/>
  <c r="F148" i="35" s="1"/>
  <c r="F135" i="35"/>
  <c r="F147" i="35" s="1"/>
  <c r="F134" i="35"/>
  <c r="F157" i="35" s="1"/>
  <c r="F133" i="35"/>
  <c r="F145" i="35" s="1"/>
  <c r="F132" i="35"/>
  <c r="F144" i="35" s="1"/>
  <c r="O124" i="35"/>
  <c r="E124" i="35"/>
  <c r="B124" i="35"/>
  <c r="O123" i="35"/>
  <c r="E123" i="35"/>
  <c r="B123" i="35"/>
  <c r="O122" i="35"/>
  <c r="E122" i="35"/>
  <c r="B122" i="35"/>
  <c r="O121" i="35"/>
  <c r="E121" i="35"/>
  <c r="B121" i="35"/>
  <c r="O120" i="35"/>
  <c r="E120" i="35"/>
  <c r="B120" i="35"/>
  <c r="O119" i="35"/>
  <c r="E119" i="35"/>
  <c r="B119" i="35"/>
  <c r="O118" i="35"/>
  <c r="E118" i="35"/>
  <c r="O117" i="35"/>
  <c r="I90" i="35"/>
  <c r="E117" i="35"/>
  <c r="O116" i="35"/>
  <c r="E116" i="35"/>
  <c r="O115" i="35"/>
  <c r="E115" i="35"/>
  <c r="B115" i="35"/>
  <c r="E114" i="35"/>
  <c r="K114" i="35" s="1"/>
  <c r="O114" i="36" s="1"/>
  <c r="O113" i="35"/>
  <c r="F113" i="35"/>
  <c r="E113" i="35"/>
  <c r="O112" i="35"/>
  <c r="F112" i="35"/>
  <c r="E112" i="35"/>
  <c r="O111" i="35"/>
  <c r="F111" i="35"/>
  <c r="E111" i="35"/>
  <c r="O110" i="35"/>
  <c r="F110" i="35"/>
  <c r="E110" i="35"/>
  <c r="B110" i="35"/>
  <c r="O109" i="35"/>
  <c r="F109" i="35"/>
  <c r="E109" i="35"/>
  <c r="O108" i="35"/>
  <c r="F108" i="35"/>
  <c r="E108" i="35"/>
  <c r="O107" i="35"/>
  <c r="F107" i="35"/>
  <c r="E107" i="35"/>
  <c r="O106" i="35"/>
  <c r="F106" i="35"/>
  <c r="E106" i="35"/>
  <c r="B106" i="35"/>
  <c r="O105" i="35"/>
  <c r="I78" i="35"/>
  <c r="F105" i="35"/>
  <c r="E105" i="35"/>
  <c r="O104" i="35"/>
  <c r="F104" i="35"/>
  <c r="E104" i="35"/>
  <c r="O103" i="35"/>
  <c r="F103" i="35"/>
  <c r="E103" i="35"/>
  <c r="O102" i="35"/>
  <c r="F102" i="35"/>
  <c r="E102" i="35"/>
  <c r="B102" i="35"/>
  <c r="O101" i="35"/>
  <c r="F101" i="35"/>
  <c r="E101" i="35"/>
  <c r="O100" i="35"/>
  <c r="F100" i="35"/>
  <c r="E100" i="35"/>
  <c r="O99" i="35"/>
  <c r="F99" i="35"/>
  <c r="E99" i="35"/>
  <c r="O98" i="35"/>
  <c r="F98" i="35"/>
  <c r="E98" i="35"/>
  <c r="B98" i="35"/>
  <c r="O97" i="35"/>
  <c r="E97" i="35"/>
  <c r="O96" i="35"/>
  <c r="E96" i="35"/>
  <c r="O95" i="35"/>
  <c r="E95" i="35"/>
  <c r="O94" i="35"/>
  <c r="E94" i="35"/>
  <c r="B94" i="35"/>
  <c r="O93" i="35"/>
  <c r="F93" i="35"/>
  <c r="E93" i="35"/>
  <c r="B93" i="35"/>
  <c r="I86" i="35"/>
  <c r="I85" i="35"/>
  <c r="J78" i="35"/>
  <c r="J77" i="35"/>
  <c r="J76" i="35"/>
  <c r="J75" i="35"/>
  <c r="I91" i="35"/>
  <c r="F72" i="35"/>
  <c r="F82" i="35" s="1"/>
  <c r="F71" i="35"/>
  <c r="F70" i="35"/>
  <c r="F89" i="35" s="1"/>
  <c r="I88" i="35"/>
  <c r="F69" i="35"/>
  <c r="F88" i="35" s="1"/>
  <c r="I77" i="35"/>
  <c r="I76" i="35"/>
  <c r="A63" i="35"/>
  <c r="I62" i="35"/>
  <c r="F62" i="35"/>
  <c r="E62" i="35"/>
  <c r="O61" i="35"/>
  <c r="O62" i="35" s="1"/>
  <c r="E61" i="35"/>
  <c r="C61" i="35"/>
  <c r="B61" i="35"/>
  <c r="A61" i="35"/>
  <c r="O55" i="35"/>
  <c r="O60" i="35" s="1"/>
  <c r="F55" i="35"/>
  <c r="F60" i="35" s="1"/>
  <c r="E55" i="35"/>
  <c r="E60" i="35" s="1"/>
  <c r="O54" i="35"/>
  <c r="O59" i="35" s="1"/>
  <c r="F54" i="35"/>
  <c r="F59" i="35" s="1"/>
  <c r="E54" i="35"/>
  <c r="E59" i="35" s="1"/>
  <c r="O53" i="35"/>
  <c r="O58" i="35" s="1"/>
  <c r="F53" i="35"/>
  <c r="F58" i="35" s="1"/>
  <c r="E53" i="35"/>
  <c r="E58" i="35" s="1"/>
  <c r="O52" i="35"/>
  <c r="O57" i="35" s="1"/>
  <c r="F52" i="35"/>
  <c r="F57" i="35" s="1"/>
  <c r="E52" i="35"/>
  <c r="O51" i="35"/>
  <c r="O56" i="35" s="1"/>
  <c r="F51" i="35"/>
  <c r="F56" i="35" s="1"/>
  <c r="E51" i="35"/>
  <c r="E56" i="35" s="1"/>
  <c r="C51" i="35"/>
  <c r="B51" i="35"/>
  <c r="A51" i="35"/>
  <c r="I48" i="35"/>
  <c r="O45" i="35"/>
  <c r="O50" i="35" s="1"/>
  <c r="I50" i="35"/>
  <c r="F45" i="35"/>
  <c r="F50" i="35" s="1"/>
  <c r="E45" i="35"/>
  <c r="E50" i="35" s="1"/>
  <c r="O44" i="35"/>
  <c r="O49" i="35" s="1"/>
  <c r="I49" i="35"/>
  <c r="F44" i="35"/>
  <c r="F49" i="35" s="1"/>
  <c r="E44" i="35"/>
  <c r="E49" i="35" s="1"/>
  <c r="O43" i="35"/>
  <c r="O48" i="35" s="1"/>
  <c r="F43" i="35"/>
  <c r="F48" i="35" s="1"/>
  <c r="E43" i="35"/>
  <c r="O42" i="35"/>
  <c r="O47" i="35" s="1"/>
  <c r="I47" i="35"/>
  <c r="F42" i="35"/>
  <c r="F47" i="35" s="1"/>
  <c r="E42" i="35"/>
  <c r="E47" i="35" s="1"/>
  <c r="O41" i="35"/>
  <c r="O46" i="35" s="1"/>
  <c r="F41" i="35"/>
  <c r="F46" i="35" s="1"/>
  <c r="E41" i="35"/>
  <c r="E46" i="35" s="1"/>
  <c r="C41" i="35"/>
  <c r="B41" i="35"/>
  <c r="A41" i="35"/>
  <c r="O40" i="35"/>
  <c r="F40" i="35"/>
  <c r="E40" i="35"/>
  <c r="O39" i="35"/>
  <c r="F39" i="35"/>
  <c r="E39" i="35"/>
  <c r="O38" i="35"/>
  <c r="F38" i="35"/>
  <c r="E38" i="35"/>
  <c r="O37" i="35"/>
  <c r="F37" i="35"/>
  <c r="E37" i="35"/>
  <c r="O36" i="35"/>
  <c r="F36" i="35"/>
  <c r="E36" i="35"/>
  <c r="C36" i="35"/>
  <c r="B36" i="35"/>
  <c r="A36" i="35"/>
  <c r="I34" i="35"/>
  <c r="I32" i="35"/>
  <c r="C31" i="35"/>
  <c r="O30" i="35"/>
  <c r="O35" i="35" s="1"/>
  <c r="I35" i="35"/>
  <c r="F30" i="35"/>
  <c r="F35" i="35" s="1"/>
  <c r="E30" i="35"/>
  <c r="E35" i="35" s="1"/>
  <c r="O29" i="35"/>
  <c r="O34" i="35" s="1"/>
  <c r="F29" i="35"/>
  <c r="F34" i="35" s="1"/>
  <c r="E29" i="35"/>
  <c r="E34" i="35" s="1"/>
  <c r="O28" i="35"/>
  <c r="O33" i="35" s="1"/>
  <c r="I33" i="35"/>
  <c r="F28" i="35"/>
  <c r="F33" i="35" s="1"/>
  <c r="E28" i="35"/>
  <c r="E33" i="35" s="1"/>
  <c r="O27" i="35"/>
  <c r="O32" i="35" s="1"/>
  <c r="F27" i="35"/>
  <c r="F32" i="35" s="1"/>
  <c r="E27" i="35"/>
  <c r="O26" i="35"/>
  <c r="O31" i="35" s="1"/>
  <c r="I31" i="35"/>
  <c r="F26" i="35"/>
  <c r="F31" i="35" s="1"/>
  <c r="E26" i="35"/>
  <c r="E31" i="35" s="1"/>
  <c r="C26" i="35"/>
  <c r="B26" i="35"/>
  <c r="A26" i="35"/>
  <c r="N24" i="35"/>
  <c r="R24" i="36" s="1"/>
  <c r="N23" i="35"/>
  <c r="R23" i="36" s="1"/>
  <c r="J23" i="35"/>
  <c r="N22" i="35"/>
  <c r="R22" i="36" s="1"/>
  <c r="J22" i="35"/>
  <c r="N21" i="35"/>
  <c r="R21" i="36" s="1"/>
  <c r="J21" i="35"/>
  <c r="N20" i="35"/>
  <c r="R20" i="36" s="1"/>
  <c r="J20" i="35"/>
  <c r="N19" i="35"/>
  <c r="R19" i="36" s="1"/>
  <c r="N18" i="35"/>
  <c r="N16" i="35" s="1"/>
  <c r="R16" i="36" s="1"/>
  <c r="J12" i="35"/>
  <c r="J18" i="35" s="1"/>
  <c r="F12" i="35"/>
  <c r="E12" i="35"/>
  <c r="N11" i="35"/>
  <c r="R11" i="36" s="1"/>
  <c r="N10" i="35"/>
  <c r="R10" i="36" s="1"/>
  <c r="N9" i="35"/>
  <c r="R9" i="36" s="1"/>
  <c r="N8" i="35"/>
  <c r="R8" i="36" s="1"/>
  <c r="N7" i="35"/>
  <c r="R7" i="36" s="1"/>
  <c r="B6" i="35"/>
  <c r="A6" i="35"/>
  <c r="O5" i="35"/>
  <c r="D168" i="22"/>
  <c r="J168" i="22" s="1"/>
  <c r="D158" i="22"/>
  <c r="P158" i="22" s="1"/>
  <c r="D156" i="22"/>
  <c r="K156" i="22" s="1"/>
  <c r="D153" i="22"/>
  <c r="P153" i="22" s="1"/>
  <c r="D142" i="22"/>
  <c r="K142" i="22" s="1"/>
  <c r="D129" i="22"/>
  <c r="F129" i="22" s="1"/>
  <c r="D112" i="22"/>
  <c r="M112" i="22" s="1"/>
  <c r="D111" i="22"/>
  <c r="L111" i="22" s="1"/>
  <c r="D110" i="22"/>
  <c r="L110" i="22" s="1"/>
  <c r="D84" i="22"/>
  <c r="K84" i="22" s="1"/>
  <c r="D58" i="22"/>
  <c r="L58" i="22" s="1"/>
  <c r="D53" i="22"/>
  <c r="L53" i="22" s="1"/>
  <c r="J7" i="36" l="1"/>
  <c r="F521" i="36"/>
  <c r="F349" i="36"/>
  <c r="F359" i="36" s="1"/>
  <c r="S205" i="36"/>
  <c r="S228" i="36" s="1"/>
  <c r="S207" i="36"/>
  <c r="S219" i="36" s="1"/>
  <c r="S209" i="36"/>
  <c r="S232" i="36" s="1"/>
  <c r="S410" i="36"/>
  <c r="J8" i="36"/>
  <c r="N17" i="36"/>
  <c r="J9" i="36"/>
  <c r="S206" i="36"/>
  <c r="S229" i="36" s="1"/>
  <c r="S208" i="36"/>
  <c r="S220" i="36" s="1"/>
  <c r="J11" i="36"/>
  <c r="F128" i="36"/>
  <c r="F151" i="36" s="1"/>
  <c r="F412" i="36"/>
  <c r="F422" i="36" s="1"/>
  <c r="S348" i="36"/>
  <c r="S367" i="36" s="1"/>
  <c r="S70" i="36"/>
  <c r="F65" i="36"/>
  <c r="F217" i="36"/>
  <c r="S282" i="36"/>
  <c r="S305" i="36" s="1"/>
  <c r="E352" i="35"/>
  <c r="F9" i="35"/>
  <c r="E206" i="35"/>
  <c r="E229" i="35" s="1"/>
  <c r="O274" i="35"/>
  <c r="O297" i="35" s="1"/>
  <c r="E274" i="35"/>
  <c r="E286" i="35" s="1"/>
  <c r="J10" i="35"/>
  <c r="O134" i="35"/>
  <c r="O157" i="35" s="1"/>
  <c r="J9" i="35"/>
  <c r="E353" i="35"/>
  <c r="E757" i="35"/>
  <c r="E769" i="35" s="1"/>
  <c r="O202" i="35"/>
  <c r="O214" i="35" s="1"/>
  <c r="E133" i="35"/>
  <c r="E156" i="35" s="1"/>
  <c r="J11" i="35"/>
  <c r="E70" i="35"/>
  <c r="O592" i="35"/>
  <c r="J7" i="35"/>
  <c r="O201" i="35"/>
  <c r="O213" i="35" s="1"/>
  <c r="O277" i="35"/>
  <c r="O300" i="35" s="1"/>
  <c r="E281" i="35"/>
  <c r="E304" i="35" s="1"/>
  <c r="E134" i="35"/>
  <c r="E157" i="35" s="1"/>
  <c r="E282" i="35"/>
  <c r="E305" i="35" s="1"/>
  <c r="E204" i="35"/>
  <c r="E216" i="35" s="1"/>
  <c r="E276" i="35"/>
  <c r="O68" i="35"/>
  <c r="O87" i="35" s="1"/>
  <c r="E203" i="35"/>
  <c r="E215" i="35" s="1"/>
  <c r="F364" i="35"/>
  <c r="O411" i="35"/>
  <c r="O421" i="35" s="1"/>
  <c r="E411" i="35"/>
  <c r="E421" i="35" s="1"/>
  <c r="F409" i="35"/>
  <c r="F419" i="35" s="1"/>
  <c r="F274" i="35"/>
  <c r="F297" i="35" s="1"/>
  <c r="O281" i="35"/>
  <c r="O304" i="35" s="1"/>
  <c r="E521" i="35"/>
  <c r="O410" i="35"/>
  <c r="O429" i="35" s="1"/>
  <c r="F756" i="35"/>
  <c r="F790" i="35" s="1"/>
  <c r="O350" i="35"/>
  <c r="O360" i="35" s="1"/>
  <c r="O280" i="35"/>
  <c r="O303" i="35" s="1"/>
  <c r="F350" i="35"/>
  <c r="F369" i="35" s="1"/>
  <c r="E130" i="35"/>
  <c r="E153" i="35" s="1"/>
  <c r="F410" i="35"/>
  <c r="O591" i="35"/>
  <c r="O614" i="35" s="1"/>
  <c r="E592" i="35"/>
  <c r="E604" i="35" s="1"/>
  <c r="F760" i="35"/>
  <c r="E8" i="35"/>
  <c r="F7" i="35"/>
  <c r="E355" i="35"/>
  <c r="E523" i="35"/>
  <c r="O12" i="35"/>
  <c r="O9" i="35" s="1"/>
  <c r="E135" i="35"/>
  <c r="E279" i="35"/>
  <c r="E291" i="35" s="1"/>
  <c r="E65" i="35"/>
  <c r="F349" i="35"/>
  <c r="F368" i="35" s="1"/>
  <c r="E72" i="35"/>
  <c r="O203" i="35"/>
  <c r="O215" i="35" s="1"/>
  <c r="O208" i="35"/>
  <c r="O231" i="35" s="1"/>
  <c r="F292" i="35"/>
  <c r="F521" i="35"/>
  <c r="F531" i="35" s="1"/>
  <c r="F523" i="35"/>
  <c r="E756" i="35"/>
  <c r="E768" i="35" s="1"/>
  <c r="F91" i="35"/>
  <c r="O286" i="35"/>
  <c r="O133" i="35"/>
  <c r="O156" i="35" s="1"/>
  <c r="F275" i="35"/>
  <c r="F298" i="35" s="1"/>
  <c r="J24" i="35"/>
  <c r="J19" i="35" s="1"/>
  <c r="O409" i="35"/>
  <c r="O428" i="35" s="1"/>
  <c r="O412" i="35"/>
  <c r="F219" i="35"/>
  <c r="O276" i="35"/>
  <c r="O299" i="35" s="1"/>
  <c r="E349" i="35"/>
  <c r="E368" i="35" s="1"/>
  <c r="F304" i="35"/>
  <c r="F80" i="35"/>
  <c r="F156" i="35"/>
  <c r="E208" i="35"/>
  <c r="F590" i="35"/>
  <c r="F602" i="35" s="1"/>
  <c r="C764" i="35"/>
  <c r="F764" i="35" s="1"/>
  <c r="F798" i="35" s="1"/>
  <c r="F229" i="35"/>
  <c r="F433" i="35"/>
  <c r="O676" i="35"/>
  <c r="C765" i="35"/>
  <c r="F765" i="35" s="1"/>
  <c r="O70" i="35"/>
  <c r="O416" i="35"/>
  <c r="F128" i="35"/>
  <c r="E673" i="35"/>
  <c r="E696" i="35" s="1"/>
  <c r="F551" i="35"/>
  <c r="F542" i="35"/>
  <c r="N14" i="35"/>
  <c r="R14" i="36" s="1"/>
  <c r="E413" i="35"/>
  <c r="E432" i="35" s="1"/>
  <c r="E416" i="35"/>
  <c r="E435" i="35" s="1"/>
  <c r="F10" i="35"/>
  <c r="O413" i="35"/>
  <c r="O354" i="35"/>
  <c r="O364" i="35" s="1"/>
  <c r="O352" i="35"/>
  <c r="O414" i="35"/>
  <c r="O433" i="35" s="1"/>
  <c r="O355" i="35"/>
  <c r="F18" i="35"/>
  <c r="O69" i="35"/>
  <c r="O128" i="35"/>
  <c r="O151" i="35" s="1"/>
  <c r="F758" i="35"/>
  <c r="C763" i="35"/>
  <c r="F24" i="35"/>
  <c r="F21" i="35" s="1"/>
  <c r="F596" i="35"/>
  <c r="E636" i="35"/>
  <c r="E759" i="35"/>
  <c r="F65" i="35"/>
  <c r="F66" i="35"/>
  <c r="N17" i="35"/>
  <c r="R17" i="36" s="1"/>
  <c r="R18" i="36"/>
  <c r="E299" i="35"/>
  <c r="E288" i="35"/>
  <c r="E412" i="35"/>
  <c r="E431" i="35" s="1"/>
  <c r="F221" i="35"/>
  <c r="F232" i="35"/>
  <c r="E677" i="35"/>
  <c r="E32" i="35"/>
  <c r="E84" i="35"/>
  <c r="E75" i="35"/>
  <c r="O67" i="35"/>
  <c r="O77" i="35" s="1"/>
  <c r="E205" i="35"/>
  <c r="E217" i="35" s="1"/>
  <c r="F605" i="35"/>
  <c r="F627" i="35"/>
  <c r="N13" i="35"/>
  <c r="R13" i="36" s="1"/>
  <c r="E129" i="35"/>
  <c r="E141" i="35" s="1"/>
  <c r="O127" i="35"/>
  <c r="F768" i="35"/>
  <c r="E911" i="35"/>
  <c r="O1004" i="35"/>
  <c r="O209" i="35"/>
  <c r="O221" i="35" s="1"/>
  <c r="O204" i="35"/>
  <c r="F302" i="35"/>
  <c r="F348" i="35"/>
  <c r="F591" i="35"/>
  <c r="F603" i="35" s="1"/>
  <c r="O1012" i="35"/>
  <c r="E127" i="35"/>
  <c r="O136" i="35"/>
  <c r="O200" i="35"/>
  <c r="O212" i="35" s="1"/>
  <c r="O205" i="35"/>
  <c r="O283" i="35"/>
  <c r="O415" i="35"/>
  <c r="O673" i="35"/>
  <c r="F909" i="35"/>
  <c r="O1020" i="35"/>
  <c r="E207" i="35"/>
  <c r="E293" i="35"/>
  <c r="E348" i="35"/>
  <c r="E354" i="35"/>
  <c r="E364" i="35" s="1"/>
  <c r="F434" i="35"/>
  <c r="E594" i="35"/>
  <c r="O804" i="35"/>
  <c r="O135" i="35"/>
  <c r="O206" i="35"/>
  <c r="O229" i="35" s="1"/>
  <c r="E277" i="35"/>
  <c r="O279" i="35"/>
  <c r="F412" i="35"/>
  <c r="E520" i="35"/>
  <c r="E522" i="35"/>
  <c r="F594" i="35"/>
  <c r="F155" i="35"/>
  <c r="O129" i="35"/>
  <c r="E136" i="35"/>
  <c r="E202" i="35"/>
  <c r="F276" i="35"/>
  <c r="F520" i="35"/>
  <c r="F522" i="35"/>
  <c r="F550" i="35" s="1"/>
  <c r="O594" i="35"/>
  <c r="E615" i="35"/>
  <c r="O131" i="35"/>
  <c r="E278" i="35"/>
  <c r="O278" i="35"/>
  <c r="F371" i="35"/>
  <c r="E675" i="35"/>
  <c r="O677" i="35"/>
  <c r="O689" i="35" s="1"/>
  <c r="E69" i="35"/>
  <c r="E88" i="35" s="1"/>
  <c r="O132" i="35"/>
  <c r="O155" i="35" s="1"/>
  <c r="O275" i="35"/>
  <c r="F372" i="35"/>
  <c r="E414" i="35"/>
  <c r="F592" i="35"/>
  <c r="F615" i="35" s="1"/>
  <c r="C597" i="35"/>
  <c r="F597" i="35" s="1"/>
  <c r="E626" i="35"/>
  <c r="O593" i="35"/>
  <c r="F757" i="35"/>
  <c r="F769" i="35" s="1"/>
  <c r="O909" i="35"/>
  <c r="O938" i="35" s="1"/>
  <c r="O282" i="35"/>
  <c r="O348" i="35"/>
  <c r="O575" i="35"/>
  <c r="C598" i="35"/>
  <c r="O636" i="35"/>
  <c r="F678" i="35"/>
  <c r="F787" i="35"/>
  <c r="O521" i="35"/>
  <c r="E590" i="35"/>
  <c r="C599" i="35"/>
  <c r="E639" i="35" s="1"/>
  <c r="E66" i="35"/>
  <c r="E85" i="35" s="1"/>
  <c r="O130" i="35"/>
  <c r="S200" i="36"/>
  <c r="S212" i="36" s="1"/>
  <c r="E275" i="36"/>
  <c r="E298" i="36" s="1"/>
  <c r="F409" i="36"/>
  <c r="F428" i="36" s="1"/>
  <c r="F410" i="36"/>
  <c r="F420" i="36" s="1"/>
  <c r="E912" i="36"/>
  <c r="E941" i="36" s="1"/>
  <c r="E69" i="36"/>
  <c r="E79" i="36" s="1"/>
  <c r="S12" i="36"/>
  <c r="S18" i="36" s="1"/>
  <c r="S15" i="36" s="1"/>
  <c r="E757" i="36"/>
  <c r="S594" i="36"/>
  <c r="E354" i="36"/>
  <c r="E364" i="36" s="1"/>
  <c r="F527" i="36"/>
  <c r="F555" i="36" s="1"/>
  <c r="E127" i="36"/>
  <c r="S127" i="36"/>
  <c r="S139" i="36" s="1"/>
  <c r="E410" i="36"/>
  <c r="E420" i="36" s="1"/>
  <c r="F759" i="36"/>
  <c r="F771" i="36" s="1"/>
  <c r="E206" i="36"/>
  <c r="E218" i="36" s="1"/>
  <c r="J10" i="36"/>
  <c r="F157" i="36"/>
  <c r="F201" i="36"/>
  <c r="F213" i="36" s="1"/>
  <c r="F434" i="36"/>
  <c r="F590" i="36"/>
  <c r="F613" i="36" s="1"/>
  <c r="E281" i="36"/>
  <c r="E293" i="36" s="1"/>
  <c r="F274" i="36"/>
  <c r="F286" i="36" s="1"/>
  <c r="S349" i="36"/>
  <c r="F129" i="36"/>
  <c r="F141" i="36" s="1"/>
  <c r="E208" i="36"/>
  <c r="E220" i="36" s="1"/>
  <c r="E280" i="36"/>
  <c r="E303" i="36" s="1"/>
  <c r="S591" i="36"/>
  <c r="S603" i="36" s="1"/>
  <c r="C916" i="36"/>
  <c r="E950" i="36" s="1"/>
  <c r="F10" i="36"/>
  <c r="S71" i="36"/>
  <c r="S81" i="36" s="1"/>
  <c r="S520" i="36"/>
  <c r="S134" i="36"/>
  <c r="S157" i="36" s="1"/>
  <c r="S281" i="36"/>
  <c r="S304" i="36" s="1"/>
  <c r="F411" i="36"/>
  <c r="C595" i="36"/>
  <c r="E635" i="36" s="1"/>
  <c r="E839" i="36"/>
  <c r="F7" i="36"/>
  <c r="F200" i="36"/>
  <c r="S592" i="36"/>
  <c r="S615" i="36" s="1"/>
  <c r="F839" i="36"/>
  <c r="F867" i="36" s="1"/>
  <c r="E72" i="36"/>
  <c r="S135" i="36"/>
  <c r="S147" i="36" s="1"/>
  <c r="E521" i="36"/>
  <c r="E549" i="36" s="1"/>
  <c r="C679" i="36"/>
  <c r="E719" i="36" s="1"/>
  <c r="F909" i="36"/>
  <c r="F938" i="36" s="1"/>
  <c r="S841" i="36"/>
  <c r="S869" i="36" s="1"/>
  <c r="E412" i="36"/>
  <c r="E422" i="36" s="1"/>
  <c r="S415" i="36"/>
  <c r="S425" i="36" s="1"/>
  <c r="C761" i="36"/>
  <c r="S761" i="36" s="1"/>
  <c r="E414" i="36"/>
  <c r="E424" i="36" s="1"/>
  <c r="E416" i="36"/>
  <c r="E435" i="36" s="1"/>
  <c r="S352" i="36"/>
  <c r="S764" i="36"/>
  <c r="S787" i="36" s="1"/>
  <c r="F522" i="36"/>
  <c r="F550" i="36" s="1"/>
  <c r="S579" i="36"/>
  <c r="S590" i="36"/>
  <c r="S624" i="36" s="1"/>
  <c r="S420" i="36"/>
  <c r="S429" i="36"/>
  <c r="F81" i="36"/>
  <c r="F204" i="36"/>
  <c r="S280" i="36"/>
  <c r="E352" i="36"/>
  <c r="E371" i="36" s="1"/>
  <c r="E522" i="36"/>
  <c r="E532" i="36" s="1"/>
  <c r="S575" i="36"/>
  <c r="S674" i="36"/>
  <c r="S708" i="36" s="1"/>
  <c r="E70" i="36"/>
  <c r="E80" i="36" s="1"/>
  <c r="E130" i="36"/>
  <c r="E142" i="36" s="1"/>
  <c r="E200" i="36"/>
  <c r="E212" i="36" s="1"/>
  <c r="E355" i="36"/>
  <c r="F592" i="36"/>
  <c r="F615" i="36" s="1"/>
  <c r="S756" i="36"/>
  <c r="S790" i="36" s="1"/>
  <c r="E840" i="36"/>
  <c r="E868" i="36" s="1"/>
  <c r="E58" i="36"/>
  <c r="F130" i="36"/>
  <c r="F144" i="36"/>
  <c r="F158" i="36"/>
  <c r="E207" i="36"/>
  <c r="E230" i="36" s="1"/>
  <c r="F220" i="36"/>
  <c r="S204" i="36"/>
  <c r="S227" i="36" s="1"/>
  <c r="F202" i="36"/>
  <c r="F214" i="36" s="1"/>
  <c r="E276" i="36"/>
  <c r="E299" i="36" s="1"/>
  <c r="E523" i="36"/>
  <c r="E533" i="36" s="1"/>
  <c r="C597" i="36"/>
  <c r="E637" i="36" s="1"/>
  <c r="F840" i="36"/>
  <c r="F859" i="36" s="1"/>
  <c r="S911" i="36"/>
  <c r="S931" i="36" s="1"/>
  <c r="F11" i="36"/>
  <c r="E67" i="36"/>
  <c r="E77" i="36" s="1"/>
  <c r="S133" i="36"/>
  <c r="S145" i="36" s="1"/>
  <c r="F374" i="36"/>
  <c r="E520" i="36"/>
  <c r="E548" i="36" s="1"/>
  <c r="F523" i="36"/>
  <c r="F551" i="36" s="1"/>
  <c r="S130" i="36"/>
  <c r="S142" i="36" s="1"/>
  <c r="S129" i="36"/>
  <c r="S141" i="36" s="1"/>
  <c r="S201" i="36"/>
  <c r="S213" i="36" s="1"/>
  <c r="S203" i="36"/>
  <c r="S215" i="36" s="1"/>
  <c r="E203" i="36"/>
  <c r="E226" i="36" s="1"/>
  <c r="E277" i="36"/>
  <c r="E289" i="36" s="1"/>
  <c r="S279" i="36"/>
  <c r="S302" i="36" s="1"/>
  <c r="S283" i="36"/>
  <c r="S306" i="36" s="1"/>
  <c r="S680" i="36"/>
  <c r="S692" i="36" s="1"/>
  <c r="F520" i="36"/>
  <c r="C599" i="36"/>
  <c r="S639" i="36" s="1"/>
  <c r="F841" i="36"/>
  <c r="F869" i="36" s="1"/>
  <c r="J18" i="36"/>
  <c r="J13" i="36" s="1"/>
  <c r="F88" i="36"/>
  <c r="F131" i="36"/>
  <c r="F143" i="36" s="1"/>
  <c r="S131" i="36"/>
  <c r="S143" i="36" s="1"/>
  <c r="F203" i="36"/>
  <c r="F215" i="36" s="1"/>
  <c r="F292" i="36"/>
  <c r="S276" i="36"/>
  <c r="S288" i="36" s="1"/>
  <c r="E353" i="36"/>
  <c r="E842" i="36"/>
  <c r="E861" i="36" s="1"/>
  <c r="F229" i="36"/>
  <c r="E274" i="36"/>
  <c r="F350" i="36"/>
  <c r="F369" i="36" s="1"/>
  <c r="S350" i="36"/>
  <c r="S369" i="36" s="1"/>
  <c r="S577" i="36"/>
  <c r="F911" i="36"/>
  <c r="F940" i="36" s="1"/>
  <c r="E910" i="36"/>
  <c r="E930" i="36" s="1"/>
  <c r="E66" i="36"/>
  <c r="E85" i="36" s="1"/>
  <c r="E413" i="36"/>
  <c r="E32" i="36"/>
  <c r="S65" i="36"/>
  <c r="S84" i="36" s="1"/>
  <c r="S67" i="36"/>
  <c r="S77" i="36" s="1"/>
  <c r="E278" i="36"/>
  <c r="E301" i="36" s="1"/>
  <c r="F371" i="36"/>
  <c r="E674" i="36"/>
  <c r="E686" i="36" s="1"/>
  <c r="S128" i="36"/>
  <c r="S151" i="36" s="1"/>
  <c r="S132" i="36"/>
  <c r="S144" i="36" s="1"/>
  <c r="S411" i="36"/>
  <c r="S421" i="36" s="1"/>
  <c r="S910" i="36"/>
  <c r="S930" i="36" s="1"/>
  <c r="E135" i="36"/>
  <c r="E158" i="36" s="1"/>
  <c r="S136" i="36"/>
  <c r="S148" i="36" s="1"/>
  <c r="E201" i="36"/>
  <c r="S202" i="36"/>
  <c r="S225" i="36" s="1"/>
  <c r="E209" i="36"/>
  <c r="E221" i="36" s="1"/>
  <c r="E283" i="36"/>
  <c r="F306" i="36"/>
  <c r="S351" i="36"/>
  <c r="S370" i="36" s="1"/>
  <c r="F368" i="36"/>
  <c r="S412" i="36"/>
  <c r="S431" i="36" s="1"/>
  <c r="S679" i="36"/>
  <c r="S691" i="36" s="1"/>
  <c r="S523" i="36"/>
  <c r="S533" i="36" s="1"/>
  <c r="F912" i="36"/>
  <c r="E948" i="36"/>
  <c r="E911" i="36"/>
  <c r="E922" i="36" s="1"/>
  <c r="F16" i="36"/>
  <c r="F13" i="36"/>
  <c r="F14" i="36"/>
  <c r="F15" i="36"/>
  <c r="F17" i="36"/>
  <c r="S16" i="36"/>
  <c r="S17" i="36"/>
  <c r="S14" i="36"/>
  <c r="S86" i="36"/>
  <c r="F84" i="36"/>
  <c r="F75" i="36"/>
  <c r="N13" i="36"/>
  <c r="F68" i="36"/>
  <c r="E136" i="36"/>
  <c r="E132" i="36"/>
  <c r="E133" i="36"/>
  <c r="E134" i="36"/>
  <c r="S216" i="36"/>
  <c r="E204" i="36"/>
  <c r="S368" i="36"/>
  <c r="S359" i="36"/>
  <c r="S362" i="36"/>
  <c r="S371" i="36"/>
  <c r="E60" i="36"/>
  <c r="E65" i="36"/>
  <c r="S11" i="36"/>
  <c r="E31" i="36"/>
  <c r="E35" i="36"/>
  <c r="F82" i="36"/>
  <c r="F91" i="36"/>
  <c r="E82" i="36"/>
  <c r="E89" i="36"/>
  <c r="E91" i="36"/>
  <c r="E139" i="36"/>
  <c r="E150" i="36"/>
  <c r="F159" i="36"/>
  <c r="F148" i="36"/>
  <c r="E129" i="36"/>
  <c r="S10" i="36"/>
  <c r="E12" i="36"/>
  <c r="F24" i="36"/>
  <c r="F31" i="36"/>
  <c r="S66" i="36"/>
  <c r="S68" i="36"/>
  <c r="S69" i="36"/>
  <c r="S80" i="36"/>
  <c r="S89" i="36"/>
  <c r="F297" i="36"/>
  <c r="F9" i="36"/>
  <c r="N16" i="36"/>
  <c r="E128" i="36"/>
  <c r="E202" i="36"/>
  <c r="F67" i="36"/>
  <c r="F8" i="36"/>
  <c r="N15" i="36"/>
  <c r="E88" i="36"/>
  <c r="E68" i="36"/>
  <c r="E71" i="36"/>
  <c r="S72" i="36"/>
  <c r="E411" i="36"/>
  <c r="F66" i="36"/>
  <c r="F212" i="36"/>
  <c r="F223" i="36"/>
  <c r="F275" i="36"/>
  <c r="F276" i="36"/>
  <c r="F277" i="36"/>
  <c r="F278" i="36"/>
  <c r="F127" i="36"/>
  <c r="F145" i="36"/>
  <c r="S231" i="36"/>
  <c r="E279" i="36"/>
  <c r="S355" i="36"/>
  <c r="F80" i="36"/>
  <c r="E205" i="36"/>
  <c r="S221" i="36"/>
  <c r="S277" i="36"/>
  <c r="F294" i="36"/>
  <c r="E578" i="36"/>
  <c r="E660" i="36"/>
  <c r="E223" i="36"/>
  <c r="S230" i="36"/>
  <c r="F232" i="36"/>
  <c r="F348" i="36"/>
  <c r="S353" i="36"/>
  <c r="S416" i="36"/>
  <c r="S354" i="36"/>
  <c r="S413" i="36"/>
  <c r="S414" i="36"/>
  <c r="F219" i="36"/>
  <c r="F291" i="36"/>
  <c r="E304" i="36"/>
  <c r="E348" i="36"/>
  <c r="E349" i="36"/>
  <c r="E350" i="36"/>
  <c r="E351" i="36"/>
  <c r="E290" i="36"/>
  <c r="F304" i="36"/>
  <c r="S278" i="36"/>
  <c r="E373" i="36"/>
  <c r="S217" i="36"/>
  <c r="S275" i="36"/>
  <c r="E282" i="36"/>
  <c r="F364" i="36"/>
  <c r="F373" i="36"/>
  <c r="S409" i="36"/>
  <c r="F152" i="36"/>
  <c r="F351" i="36"/>
  <c r="F421" i="36"/>
  <c r="F430" i="36"/>
  <c r="E131" i="36"/>
  <c r="S274" i="36"/>
  <c r="E741" i="36"/>
  <c r="E432" i="36"/>
  <c r="E423" i="36"/>
  <c r="E415" i="36"/>
  <c r="E292" i="36"/>
  <c r="E409" i="36"/>
  <c r="S625" i="36"/>
  <c r="S614" i="36"/>
  <c r="S617" i="36"/>
  <c r="S606" i="36"/>
  <c r="S628" i="36"/>
  <c r="F431" i="36"/>
  <c r="E744" i="36"/>
  <c r="F692" i="36"/>
  <c r="F703" i="36"/>
  <c r="F714" i="36"/>
  <c r="S576" i="36"/>
  <c r="S658" i="36"/>
  <c r="S897" i="36"/>
  <c r="S967" i="36"/>
  <c r="S915" i="36" s="1"/>
  <c r="F549" i="36"/>
  <c r="F540" i="36"/>
  <c r="F531" i="36"/>
  <c r="E721" i="36"/>
  <c r="F681" i="36"/>
  <c r="E659" i="36"/>
  <c r="E577" i="36"/>
  <c r="E895" i="36"/>
  <c r="E965" i="36"/>
  <c r="E898" i="36"/>
  <c r="E968" i="36"/>
  <c r="S560" i="36"/>
  <c r="E560" i="36"/>
  <c r="F424" i="36"/>
  <c r="E740" i="36"/>
  <c r="E681" i="36"/>
  <c r="E824" i="36"/>
  <c r="F541" i="36"/>
  <c r="F532" i="36"/>
  <c r="F372" i="36"/>
  <c r="E658" i="36"/>
  <c r="E576" i="36"/>
  <c r="S660" i="36"/>
  <c r="S578" i="36"/>
  <c r="S527" i="36" s="1"/>
  <c r="E897" i="36"/>
  <c r="E967" i="36"/>
  <c r="F423" i="36"/>
  <c r="F426" i="36"/>
  <c r="E661" i="36"/>
  <c r="E579" i="36"/>
  <c r="S548" i="36"/>
  <c r="S539" i="36"/>
  <c r="S530" i="36"/>
  <c r="E742" i="36"/>
  <c r="E826" i="36"/>
  <c r="S895" i="36"/>
  <c r="S965" i="36"/>
  <c r="F548" i="36"/>
  <c r="F539" i="36"/>
  <c r="F530" i="36"/>
  <c r="E657" i="36"/>
  <c r="E575" i="36"/>
  <c r="E896" i="36"/>
  <c r="E966" i="36"/>
  <c r="S898" i="36"/>
  <c r="S968" i="36"/>
  <c r="S916" i="36" s="1"/>
  <c r="F674" i="36"/>
  <c r="F604" i="36"/>
  <c r="S686" i="36"/>
  <c r="E531" i="36"/>
  <c r="E540" i="36"/>
  <c r="S602" i="36"/>
  <c r="S613" i="36"/>
  <c r="F757" i="36"/>
  <c r="C762" i="36"/>
  <c r="S757" i="36"/>
  <c r="C596" i="36"/>
  <c r="E591" i="36"/>
  <c r="E593" i="36"/>
  <c r="E780" i="36"/>
  <c r="E791" i="36"/>
  <c r="E769" i="36"/>
  <c r="F591" i="36"/>
  <c r="S593" i="36"/>
  <c r="F675" i="36"/>
  <c r="C763" i="36"/>
  <c r="S758" i="36"/>
  <c r="F758" i="36"/>
  <c r="E758" i="36"/>
  <c r="C526" i="36"/>
  <c r="E559" i="36" s="1"/>
  <c r="F594" i="36"/>
  <c r="F599" i="36"/>
  <c r="S675" i="36"/>
  <c r="S599" i="36"/>
  <c r="S681" i="36"/>
  <c r="S896" i="36"/>
  <c r="S966" i="36"/>
  <c r="S914" i="36" s="1"/>
  <c r="S521" i="36"/>
  <c r="S522" i="36"/>
  <c r="C525" i="36"/>
  <c r="F525" i="36" s="1"/>
  <c r="E590" i="36"/>
  <c r="E594" i="36"/>
  <c r="S626" i="36"/>
  <c r="E639" i="36"/>
  <c r="E676" i="36"/>
  <c r="C524" i="36"/>
  <c r="S604" i="36"/>
  <c r="S804" i="36"/>
  <c r="F764" i="36"/>
  <c r="F676" i="36"/>
  <c r="F782" i="36"/>
  <c r="F793" i="36"/>
  <c r="C598" i="36"/>
  <c r="E638" i="36" s="1"/>
  <c r="E592" i="36"/>
  <c r="S676" i="36"/>
  <c r="F679" i="36"/>
  <c r="E720" i="36"/>
  <c r="F760" i="36"/>
  <c r="E760" i="36"/>
  <c r="C765" i="36"/>
  <c r="S805" i="36" s="1"/>
  <c r="F593" i="36"/>
  <c r="E673" i="36"/>
  <c r="C678" i="36"/>
  <c r="F678" i="36" s="1"/>
  <c r="S673" i="36"/>
  <c r="F673" i="36"/>
  <c r="C682" i="36"/>
  <c r="S682" i="36" s="1"/>
  <c r="F677" i="36"/>
  <c r="S677" i="36"/>
  <c r="S759" i="36"/>
  <c r="E870" i="36"/>
  <c r="E759" i="36"/>
  <c r="E677" i="36"/>
  <c r="S721" i="36"/>
  <c r="S719" i="36"/>
  <c r="S720" i="36"/>
  <c r="S760" i="36"/>
  <c r="F756" i="36"/>
  <c r="E756" i="36"/>
  <c r="E675" i="36"/>
  <c r="F861" i="36"/>
  <c r="F870" i="36"/>
  <c r="F852" i="36"/>
  <c r="E841" i="36"/>
  <c r="E867" i="36"/>
  <c r="E858" i="36"/>
  <c r="E849" i="36"/>
  <c r="E804" i="36"/>
  <c r="E909" i="36"/>
  <c r="S948" i="36"/>
  <c r="F914" i="36"/>
  <c r="E940" i="36"/>
  <c r="C846" i="36"/>
  <c r="C845" i="36"/>
  <c r="S839" i="36"/>
  <c r="S840" i="36"/>
  <c r="S842" i="36"/>
  <c r="C844" i="36"/>
  <c r="E949" i="36"/>
  <c r="S949" i="36"/>
  <c r="F915" i="36"/>
  <c r="E931" i="36"/>
  <c r="C843" i="36"/>
  <c r="F910" i="36"/>
  <c r="E1008" i="36"/>
  <c r="E1016" i="36"/>
  <c r="F931" i="36"/>
  <c r="S1004" i="36"/>
  <c r="S1012" i="36"/>
  <c r="S1020" i="36"/>
  <c r="E1005" i="36"/>
  <c r="E1013" i="36"/>
  <c r="E1021" i="36"/>
  <c r="S1009" i="36"/>
  <c r="S1017" i="36"/>
  <c r="S909" i="36"/>
  <c r="S912" i="36"/>
  <c r="F916" i="36"/>
  <c r="S950" i="36"/>
  <c r="E1004" i="36"/>
  <c r="E1012" i="36"/>
  <c r="C913" i="36"/>
  <c r="S1008" i="36"/>
  <c r="E1009" i="36"/>
  <c r="E1017" i="36"/>
  <c r="S1005" i="36"/>
  <c r="S1013" i="36"/>
  <c r="J16" i="35"/>
  <c r="J13" i="35"/>
  <c r="J14" i="35"/>
  <c r="J15" i="35"/>
  <c r="J17" i="35"/>
  <c r="F20" i="35"/>
  <c r="E7" i="35"/>
  <c r="F8" i="35"/>
  <c r="N15" i="35"/>
  <c r="R15" i="36" s="1"/>
  <c r="E18" i="35"/>
  <c r="F19" i="35"/>
  <c r="F81" i="35"/>
  <c r="F90" i="35"/>
  <c r="E214" i="35"/>
  <c r="E225" i="35"/>
  <c r="O139" i="35"/>
  <c r="O150" i="35"/>
  <c r="O147" i="35"/>
  <c r="O158" i="35"/>
  <c r="O294" i="35"/>
  <c r="O305" i="35"/>
  <c r="F17" i="35"/>
  <c r="E148" i="35"/>
  <c r="E159" i="35"/>
  <c r="O159" i="35"/>
  <c r="O148" i="35"/>
  <c r="F367" i="35"/>
  <c r="F358" i="35"/>
  <c r="F16" i="35"/>
  <c r="E57" i="35"/>
  <c r="O141" i="35"/>
  <c r="O152" i="35"/>
  <c r="I298" i="35"/>
  <c r="I287" i="35"/>
  <c r="J8" i="35"/>
  <c r="F15" i="35"/>
  <c r="I18" i="35"/>
  <c r="O24" i="35"/>
  <c r="O78" i="35"/>
  <c r="O216" i="35"/>
  <c r="O227" i="35"/>
  <c r="F288" i="35"/>
  <c r="F299" i="35"/>
  <c r="I87" i="35"/>
  <c r="O291" i="35"/>
  <c r="O302" i="35"/>
  <c r="E24" i="35"/>
  <c r="O143" i="35"/>
  <c r="O154" i="35"/>
  <c r="O301" i="35"/>
  <c r="O290" i="35"/>
  <c r="E11" i="35"/>
  <c r="F23" i="35"/>
  <c r="O79" i="35"/>
  <c r="O88" i="35"/>
  <c r="E82" i="35"/>
  <c r="E91" i="35"/>
  <c r="E231" i="35"/>
  <c r="E220" i="35"/>
  <c r="E10" i="35"/>
  <c r="F22" i="35"/>
  <c r="E80" i="35"/>
  <c r="E89" i="35"/>
  <c r="O89" i="35"/>
  <c r="O80" i="35"/>
  <c r="E139" i="35"/>
  <c r="E150" i="35"/>
  <c r="O142" i="35"/>
  <c r="O153" i="35"/>
  <c r="E147" i="35"/>
  <c r="E158" i="35"/>
  <c r="E219" i="35"/>
  <c r="E230" i="35"/>
  <c r="O298" i="35"/>
  <c r="O287" i="35"/>
  <c r="F11" i="35"/>
  <c r="E9" i="35"/>
  <c r="E301" i="35"/>
  <c r="E290" i="35"/>
  <c r="E300" i="35"/>
  <c r="E289" i="35"/>
  <c r="E48" i="35"/>
  <c r="O228" i="35"/>
  <c r="O217" i="35"/>
  <c r="O306" i="35"/>
  <c r="O295" i="35"/>
  <c r="E367" i="35"/>
  <c r="E358" i="35"/>
  <c r="O66" i="35"/>
  <c r="E68" i="35"/>
  <c r="F79" i="35"/>
  <c r="O140" i="35"/>
  <c r="E142" i="35"/>
  <c r="F143" i="35"/>
  <c r="E201" i="35"/>
  <c r="F202" i="35"/>
  <c r="E209" i="35"/>
  <c r="O220" i="35"/>
  <c r="O289" i="35"/>
  <c r="O351" i="35"/>
  <c r="O349" i="35"/>
  <c r="E430" i="35"/>
  <c r="O419" i="35"/>
  <c r="O434" i="35"/>
  <c r="O425" i="35"/>
  <c r="O65" i="35"/>
  <c r="E67" i="35"/>
  <c r="F68" i="35"/>
  <c r="I89" i="35"/>
  <c r="E132" i="35"/>
  <c r="O145" i="35"/>
  <c r="E200" i="35"/>
  <c r="F201" i="35"/>
  <c r="O207" i="35"/>
  <c r="E218" i="35"/>
  <c r="E280" i="35"/>
  <c r="I305" i="35"/>
  <c r="O288" i="35"/>
  <c r="O293" i="35"/>
  <c r="E297" i="35"/>
  <c r="E350" i="35"/>
  <c r="E351" i="35"/>
  <c r="F67" i="35"/>
  <c r="O72" i="35"/>
  <c r="E131" i="35"/>
  <c r="E146" i="35"/>
  <c r="F159" i="35"/>
  <c r="F200" i="35"/>
  <c r="E294" i="35"/>
  <c r="O374" i="35"/>
  <c r="O365" i="35"/>
  <c r="O369" i="35"/>
  <c r="F351" i="35"/>
  <c r="F429" i="35"/>
  <c r="F420" i="35"/>
  <c r="F146" i="35"/>
  <c r="O71" i="35"/>
  <c r="F130" i="35"/>
  <c r="F158" i="35"/>
  <c r="O226" i="35"/>
  <c r="E228" i="35"/>
  <c r="F360" i="35"/>
  <c r="E409" i="35"/>
  <c r="E424" i="35"/>
  <c r="E433" i="35"/>
  <c r="E128" i="35"/>
  <c r="F129" i="35"/>
  <c r="O144" i="35"/>
  <c r="O225" i="35"/>
  <c r="E227" i="35"/>
  <c r="F228" i="35"/>
  <c r="O232" i="35"/>
  <c r="F278" i="35"/>
  <c r="F287" i="35"/>
  <c r="I290" i="35"/>
  <c r="E362" i="35"/>
  <c r="O431" i="35"/>
  <c r="O422" i="35"/>
  <c r="E145" i="35"/>
  <c r="F220" i="35"/>
  <c r="O224" i="35"/>
  <c r="E226" i="35"/>
  <c r="F227" i="35"/>
  <c r="F277" i="35"/>
  <c r="F286" i="35"/>
  <c r="I289" i="35"/>
  <c r="E741" i="35"/>
  <c r="E71" i="35"/>
  <c r="F127" i="35"/>
  <c r="E275" i="35"/>
  <c r="E283" i="35"/>
  <c r="I288" i="35"/>
  <c r="F295" i="35"/>
  <c r="E371" i="35"/>
  <c r="O435" i="35"/>
  <c r="O426" i="35"/>
  <c r="O218" i="35"/>
  <c r="O292" i="35"/>
  <c r="E302" i="35"/>
  <c r="O371" i="35"/>
  <c r="O362" i="35"/>
  <c r="E359" i="35"/>
  <c r="E373" i="35"/>
  <c r="F294" i="35"/>
  <c r="F305" i="35"/>
  <c r="E372" i="35"/>
  <c r="E363" i="35"/>
  <c r="F359" i="35"/>
  <c r="O358" i="35"/>
  <c r="O367" i="35"/>
  <c r="E410" i="35"/>
  <c r="F203" i="35"/>
  <c r="F411" i="35"/>
  <c r="O424" i="35"/>
  <c r="O430" i="35"/>
  <c r="O353" i="35"/>
  <c r="F435" i="35"/>
  <c r="E660" i="35"/>
  <c r="E578" i="35"/>
  <c r="E824" i="35"/>
  <c r="E896" i="35"/>
  <c r="E966" i="35"/>
  <c r="E657" i="35"/>
  <c r="E575" i="35"/>
  <c r="E743" i="35"/>
  <c r="E898" i="35"/>
  <c r="E968" i="35"/>
  <c r="E540" i="35"/>
  <c r="E549" i="35"/>
  <c r="E551" i="35"/>
  <c r="E542" i="35"/>
  <c r="E533" i="35"/>
  <c r="E531" i="35"/>
  <c r="F374" i="35"/>
  <c r="E415" i="35"/>
  <c r="E659" i="35"/>
  <c r="E577" i="35"/>
  <c r="E965" i="35"/>
  <c r="E895" i="35"/>
  <c r="O660" i="35"/>
  <c r="O598" i="35" s="1"/>
  <c r="O578" i="35"/>
  <c r="E742" i="35"/>
  <c r="E423" i="35"/>
  <c r="E426" i="35"/>
  <c r="E661" i="35"/>
  <c r="E579" i="35"/>
  <c r="E825" i="35"/>
  <c r="O420" i="35"/>
  <c r="E422" i="35"/>
  <c r="F423" i="35"/>
  <c r="E596" i="35"/>
  <c r="O701" i="35"/>
  <c r="O690" i="35"/>
  <c r="O712" i="35"/>
  <c r="E530" i="35"/>
  <c r="E539" i="35"/>
  <c r="E548" i="35"/>
  <c r="E550" i="35"/>
  <c r="E532" i="35"/>
  <c r="E541" i="35"/>
  <c r="O549" i="35"/>
  <c r="O540" i="35"/>
  <c r="O531" i="35"/>
  <c r="O605" i="35"/>
  <c r="O627" i="35"/>
  <c r="O616" i="35"/>
  <c r="E827" i="35"/>
  <c r="C527" i="35"/>
  <c r="O560" i="35" s="1"/>
  <c r="E576" i="35"/>
  <c r="O658" i="35"/>
  <c r="O596" i="35" s="1"/>
  <c r="O576" i="35"/>
  <c r="O897" i="35"/>
  <c r="O967" i="35"/>
  <c r="F533" i="35"/>
  <c r="E637" i="35"/>
  <c r="E638" i="35"/>
  <c r="E718" i="35"/>
  <c r="F541" i="35"/>
  <c r="F549" i="35"/>
  <c r="E617" i="35"/>
  <c r="E628" i="35"/>
  <c r="E593" i="35"/>
  <c r="E793" i="35"/>
  <c r="E771" i="35"/>
  <c r="E782" i="35"/>
  <c r="C526" i="35"/>
  <c r="F625" i="35"/>
  <c r="F614" i="35"/>
  <c r="O896" i="35"/>
  <c r="O966" i="35"/>
  <c r="O520" i="35"/>
  <c r="O522" i="35"/>
  <c r="O523" i="35"/>
  <c r="C525" i="35"/>
  <c r="F525" i="35" s="1"/>
  <c r="F532" i="35"/>
  <c r="E559" i="35"/>
  <c r="F619" i="35"/>
  <c r="E678" i="35"/>
  <c r="E764" i="35"/>
  <c r="E897" i="35"/>
  <c r="E967" i="35"/>
  <c r="C524" i="35"/>
  <c r="E557" i="35" s="1"/>
  <c r="F540" i="35"/>
  <c r="O615" i="35"/>
  <c r="O626" i="35"/>
  <c r="O604" i="35"/>
  <c r="O590" i="35"/>
  <c r="O659" i="35"/>
  <c r="O597" i="35" s="1"/>
  <c r="O710" i="35"/>
  <c r="O688" i="35"/>
  <c r="O699" i="35"/>
  <c r="E791" i="35"/>
  <c r="E780" i="35"/>
  <c r="E804" i="35"/>
  <c r="E805" i="35"/>
  <c r="F839" i="35"/>
  <c r="E839" i="35"/>
  <c r="O839" i="35"/>
  <c r="C843" i="35"/>
  <c r="F843" i="35" s="1"/>
  <c r="F526" i="35"/>
  <c r="F609" i="35"/>
  <c r="F631" i="35"/>
  <c r="E591" i="35"/>
  <c r="F598" i="35"/>
  <c r="F788" i="35"/>
  <c r="F799" i="35"/>
  <c r="F777" i="35"/>
  <c r="O895" i="35"/>
  <c r="O843" i="35" s="1"/>
  <c r="O965" i="35"/>
  <c r="F620" i="35"/>
  <c r="F539" i="35"/>
  <c r="E624" i="35"/>
  <c r="E613" i="35"/>
  <c r="E602" i="35"/>
  <c r="O637" i="35"/>
  <c r="O638" i="35"/>
  <c r="O639" i="35"/>
  <c r="F613" i="35"/>
  <c r="F624" i="35"/>
  <c r="O603" i="35"/>
  <c r="O625" i="35"/>
  <c r="F792" i="35"/>
  <c r="F770" i="35"/>
  <c r="F781" i="35"/>
  <c r="O898" i="35"/>
  <c r="O968" i="35"/>
  <c r="O579" i="35"/>
  <c r="O559" i="35"/>
  <c r="E606" i="35"/>
  <c r="O617" i="35"/>
  <c r="E698" i="35"/>
  <c r="E687" i="35"/>
  <c r="E709" i="35"/>
  <c r="F604" i="35"/>
  <c r="F626" i="35"/>
  <c r="E685" i="35"/>
  <c r="E760" i="35"/>
  <c r="F676" i="35"/>
  <c r="O711" i="35"/>
  <c r="O700" i="35"/>
  <c r="F617" i="35"/>
  <c r="O696" i="35"/>
  <c r="O685" i="35"/>
  <c r="E676" i="35"/>
  <c r="O675" i="35"/>
  <c r="F674" i="35"/>
  <c r="E674" i="35"/>
  <c r="O674" i="35"/>
  <c r="C679" i="35"/>
  <c r="C681" i="35"/>
  <c r="F780" i="35"/>
  <c r="F791" i="35"/>
  <c r="F842" i="35"/>
  <c r="E842" i="35"/>
  <c r="O842" i="35"/>
  <c r="C846" i="35"/>
  <c r="F846" i="35" s="1"/>
  <c r="F616" i="35"/>
  <c r="E711" i="35"/>
  <c r="O707" i="35"/>
  <c r="C595" i="35"/>
  <c r="O635" i="35" s="1"/>
  <c r="E758" i="35"/>
  <c r="O805" i="35"/>
  <c r="F675" i="35"/>
  <c r="C680" i="35"/>
  <c r="F841" i="35"/>
  <c r="E841" i="35"/>
  <c r="O841" i="35"/>
  <c r="C845" i="35"/>
  <c r="F673" i="35"/>
  <c r="C682" i="35"/>
  <c r="F677" i="35"/>
  <c r="O718" i="35"/>
  <c r="F776" i="35"/>
  <c r="F779" i="35"/>
  <c r="O803" i="35"/>
  <c r="F840" i="35"/>
  <c r="E840" i="35"/>
  <c r="C844" i="35"/>
  <c r="O840" i="35"/>
  <c r="F938" i="35"/>
  <c r="F929" i="35"/>
  <c r="F920" i="35"/>
  <c r="F794" i="35"/>
  <c r="F772" i="35"/>
  <c r="F783" i="35"/>
  <c r="O758" i="35"/>
  <c r="E779" i="35"/>
  <c r="E790" i="35"/>
  <c r="O756" i="35"/>
  <c r="O757" i="35"/>
  <c r="O759" i="35"/>
  <c r="O760" i="35"/>
  <c r="C762" i="35"/>
  <c r="O762" i="35" s="1"/>
  <c r="E876" i="35"/>
  <c r="E877" i="35"/>
  <c r="C761" i="35"/>
  <c r="O801" i="35" s="1"/>
  <c r="O878" i="35"/>
  <c r="O876" i="35"/>
  <c r="O920" i="35"/>
  <c r="F759" i="35"/>
  <c r="O929" i="35"/>
  <c r="E1008" i="35"/>
  <c r="E1016" i="35"/>
  <c r="E1005" i="35"/>
  <c r="E1013" i="35"/>
  <c r="E1021" i="35"/>
  <c r="C916" i="35"/>
  <c r="C915" i="35"/>
  <c r="O1009" i="35"/>
  <c r="O1017" i="35"/>
  <c r="O910" i="35"/>
  <c r="O911" i="35"/>
  <c r="O912" i="35"/>
  <c r="C914" i="35"/>
  <c r="E1004" i="35"/>
  <c r="E1012" i="35"/>
  <c r="C913" i="35"/>
  <c r="E909" i="35"/>
  <c r="E910" i="35"/>
  <c r="E912" i="35"/>
  <c r="O1008" i="35"/>
  <c r="F910" i="35"/>
  <c r="F911" i="35"/>
  <c r="F912" i="35"/>
  <c r="E1009" i="35"/>
  <c r="E1017" i="35"/>
  <c r="O1005" i="35"/>
  <c r="O1013" i="35"/>
  <c r="N153" i="22"/>
  <c r="N158" i="22"/>
  <c r="O153" i="22"/>
  <c r="O158" i="22"/>
  <c r="M153" i="22"/>
  <c r="M158" i="22"/>
  <c r="L153" i="22"/>
  <c r="L158" i="22"/>
  <c r="K153" i="22"/>
  <c r="K158" i="22"/>
  <c r="P156" i="22"/>
  <c r="M156" i="22"/>
  <c r="O156" i="22"/>
  <c r="N156" i="22"/>
  <c r="L156" i="22"/>
  <c r="O142" i="22"/>
  <c r="N142" i="22"/>
  <c r="P142" i="22"/>
  <c r="M142" i="22"/>
  <c r="L142" i="22"/>
  <c r="M111" i="22"/>
  <c r="K111" i="22"/>
  <c r="K110" i="22"/>
  <c r="P111" i="22"/>
  <c r="P112" i="22"/>
  <c r="P110" i="22"/>
  <c r="O112" i="22"/>
  <c r="O110" i="22"/>
  <c r="N112" i="22"/>
  <c r="M110" i="22"/>
  <c r="L112" i="22"/>
  <c r="K112" i="22"/>
  <c r="N110" i="22"/>
  <c r="O111" i="22"/>
  <c r="N111" i="22"/>
  <c r="P84" i="22"/>
  <c r="O84" i="22"/>
  <c r="N84" i="22"/>
  <c r="M84" i="22"/>
  <c r="L84" i="22"/>
  <c r="P58" i="22"/>
  <c r="O58" i="22"/>
  <c r="N58" i="22"/>
  <c r="M58" i="22"/>
  <c r="K53" i="22"/>
  <c r="O53" i="22"/>
  <c r="N53" i="22"/>
  <c r="P53" i="22"/>
  <c r="M53" i="22"/>
  <c r="E287" i="36" l="1"/>
  <c r="S154" i="36"/>
  <c r="S7" i="36"/>
  <c r="S922" i="36"/>
  <c r="S940" i="36"/>
  <c r="E215" i="36"/>
  <c r="S13" i="36"/>
  <c r="E429" i="36"/>
  <c r="S8" i="36"/>
  <c r="S637" i="36"/>
  <c r="S9" i="36"/>
  <c r="S218" i="36"/>
  <c r="S226" i="36"/>
  <c r="E801" i="36"/>
  <c r="S24" i="36"/>
  <c r="S20" i="36" s="1"/>
  <c r="F154" i="36"/>
  <c r="E76" i="36"/>
  <c r="O146" i="35"/>
  <c r="S158" i="36"/>
  <c r="F546" i="36"/>
  <c r="S542" i="36"/>
  <c r="S551" i="36"/>
  <c r="S291" i="36"/>
  <c r="S714" i="36"/>
  <c r="S159" i="36"/>
  <c r="F537" i="36"/>
  <c r="F429" i="36"/>
  <c r="S294" i="36"/>
  <c r="S434" i="36"/>
  <c r="E850" i="36"/>
  <c r="E859" i="36"/>
  <c r="S153" i="36"/>
  <c r="E147" i="36"/>
  <c r="F542" i="36"/>
  <c r="F360" i="36"/>
  <c r="F533" i="36"/>
  <c r="F140" i="36"/>
  <c r="S697" i="36"/>
  <c r="F920" i="36"/>
  <c r="F224" i="36"/>
  <c r="S146" i="36"/>
  <c r="S223" i="36"/>
  <c r="S422" i="36"/>
  <c r="S703" i="36"/>
  <c r="S224" i="36"/>
  <c r="E362" i="36"/>
  <c r="E852" i="36"/>
  <c r="E153" i="36"/>
  <c r="E542" i="36"/>
  <c r="S358" i="36"/>
  <c r="F419" i="36"/>
  <c r="E550" i="36"/>
  <c r="S140" i="36"/>
  <c r="E541" i="36"/>
  <c r="S776" i="36"/>
  <c r="E79" i="35"/>
  <c r="O763" i="35"/>
  <c r="O7" i="35"/>
  <c r="E152" i="35"/>
  <c r="O223" i="35"/>
  <c r="O8" i="35"/>
  <c r="E558" i="35"/>
  <c r="O557" i="35"/>
  <c r="E76" i="35"/>
  <c r="O86" i="35"/>
  <c r="O373" i="35"/>
  <c r="F428" i="35"/>
  <c r="O764" i="35"/>
  <c r="E374" i="35"/>
  <c r="E365" i="35"/>
  <c r="O18" i="35"/>
  <c r="O11" i="35"/>
  <c r="O10" i="35"/>
  <c r="E879" i="35"/>
  <c r="O879" i="35"/>
  <c r="O765" i="35"/>
  <c r="E707" i="35"/>
  <c r="F151" i="35"/>
  <c r="F140" i="35"/>
  <c r="O679" i="35"/>
  <c r="E689" i="35"/>
  <c r="E700" i="35"/>
  <c r="F85" i="35"/>
  <c r="F76" i="35"/>
  <c r="F75" i="35"/>
  <c r="F84" i="35"/>
  <c r="F530" i="35"/>
  <c r="F548" i="35"/>
  <c r="F431" i="35"/>
  <c r="F422" i="35"/>
  <c r="E940" i="35"/>
  <c r="E931" i="35"/>
  <c r="E922" i="35"/>
  <c r="F630" i="35"/>
  <c r="F608" i="35"/>
  <c r="F14" i="35"/>
  <c r="F13" i="35"/>
  <c r="F599" i="35"/>
  <c r="F763" i="35"/>
  <c r="E803" i="35"/>
  <c r="F712" i="35"/>
  <c r="F690" i="35"/>
  <c r="F701" i="35"/>
  <c r="F761" i="35"/>
  <c r="E722" i="35"/>
  <c r="O525" i="35"/>
  <c r="O599" i="35"/>
  <c r="F606" i="35"/>
  <c r="F628" i="35"/>
  <c r="O432" i="35"/>
  <c r="O423" i="35"/>
  <c r="O628" i="35"/>
  <c r="O606" i="35"/>
  <c r="F868" i="36"/>
  <c r="E229" i="36"/>
  <c r="F602" i="36"/>
  <c r="S156" i="36"/>
  <c r="S90" i="36"/>
  <c r="E923" i="36"/>
  <c r="F624" i="36"/>
  <c r="E932" i="36"/>
  <c r="F851" i="36"/>
  <c r="F860" i="36"/>
  <c r="E539" i="36"/>
  <c r="F850" i="36"/>
  <c r="S921" i="36"/>
  <c r="E530" i="36"/>
  <c r="F626" i="36"/>
  <c r="E433" i="36"/>
  <c r="F929" i="36"/>
  <c r="S361" i="36"/>
  <c r="S430" i="36"/>
  <c r="S150" i="36"/>
  <c r="S295" i="36"/>
  <c r="F595" i="36"/>
  <c r="E86" i="36"/>
  <c r="F922" i="36"/>
  <c r="S798" i="36"/>
  <c r="E224" i="36"/>
  <c r="E231" i="36"/>
  <c r="J15" i="36"/>
  <c r="S595" i="36"/>
  <c r="S635" i="36"/>
  <c r="E219" i="36"/>
  <c r="S773" i="36"/>
  <c r="S784" i="36"/>
  <c r="S795" i="36"/>
  <c r="E805" i="36"/>
  <c r="S597" i="36"/>
  <c r="S851" i="36"/>
  <c r="E431" i="36"/>
  <c r="S860" i="36"/>
  <c r="S558" i="36"/>
  <c r="E213" i="36"/>
  <c r="F849" i="36"/>
  <c r="S293" i="36"/>
  <c r="F858" i="36"/>
  <c r="F761" i="36"/>
  <c r="F784" i="36" s="1"/>
  <c r="S152" i="36"/>
  <c r="S801" i="36"/>
  <c r="E426" i="36"/>
  <c r="E232" i="36"/>
  <c r="S360" i="36"/>
  <c r="E761" i="36"/>
  <c r="E795" i="36" s="1"/>
  <c r="S155" i="36"/>
  <c r="E708" i="36"/>
  <c r="E697" i="36"/>
  <c r="S303" i="36"/>
  <c r="S292" i="36"/>
  <c r="E551" i="36"/>
  <c r="F153" i="36"/>
  <c r="F142" i="36"/>
  <c r="E558" i="36"/>
  <c r="F941" i="36"/>
  <c r="F932" i="36"/>
  <c r="F923" i="36"/>
  <c r="E306" i="36"/>
  <c r="E295" i="36"/>
  <c r="F597" i="36"/>
  <c r="S939" i="36"/>
  <c r="S713" i="36"/>
  <c r="F226" i="36"/>
  <c r="S299" i="36"/>
  <c r="S75" i="36"/>
  <c r="E300" i="36"/>
  <c r="S214" i="36"/>
  <c r="E365" i="36"/>
  <c r="E374" i="36"/>
  <c r="F216" i="36"/>
  <c r="F227" i="36"/>
  <c r="E288" i="36"/>
  <c r="E921" i="36"/>
  <c r="S803" i="36"/>
  <c r="S524" i="36"/>
  <c r="S534" i="36" s="1"/>
  <c r="S702" i="36"/>
  <c r="J17" i="36"/>
  <c r="F225" i="36"/>
  <c r="J16" i="36"/>
  <c r="E939" i="36"/>
  <c r="S846" i="36"/>
  <c r="S874" i="36" s="1"/>
  <c r="E297" i="36"/>
  <c r="E286" i="36"/>
  <c r="S779" i="36"/>
  <c r="S768" i="36"/>
  <c r="J14" i="36"/>
  <c r="E372" i="36"/>
  <c r="E363" i="36"/>
  <c r="S694" i="36"/>
  <c r="S716" i="36"/>
  <c r="S705" i="36"/>
  <c r="S91" i="36"/>
  <c r="S82" i="36"/>
  <c r="S941" i="36"/>
  <c r="S932" i="36"/>
  <c r="S923" i="36"/>
  <c r="F943" i="36"/>
  <c r="F934" i="36"/>
  <c r="F925" i="36"/>
  <c r="S718" i="36"/>
  <c r="F685" i="36"/>
  <c r="F696" i="36"/>
  <c r="F707" i="36"/>
  <c r="E802" i="36"/>
  <c r="F598" i="36"/>
  <c r="S638" i="36"/>
  <c r="E628" i="36"/>
  <c r="E617" i="36"/>
  <c r="E606" i="36"/>
  <c r="E627" i="36"/>
  <c r="E605" i="36"/>
  <c r="E616" i="36"/>
  <c r="S945" i="36"/>
  <c r="S936" i="36"/>
  <c r="S927" i="36"/>
  <c r="E764" i="36"/>
  <c r="E762" i="36"/>
  <c r="E846" i="36"/>
  <c r="E763" i="36"/>
  <c r="S297" i="36"/>
  <c r="S286" i="36"/>
  <c r="E305" i="36"/>
  <c r="E294" i="36"/>
  <c r="S435" i="36"/>
  <c r="S426" i="36"/>
  <c r="S300" i="36"/>
  <c r="S289" i="36"/>
  <c r="E81" i="36"/>
  <c r="E90" i="36"/>
  <c r="S76" i="36"/>
  <c r="S85" i="36"/>
  <c r="E157" i="36"/>
  <c r="E146" i="36"/>
  <c r="E781" i="36"/>
  <c r="E792" i="36"/>
  <c r="E770" i="36"/>
  <c r="F780" i="36"/>
  <c r="F791" i="36"/>
  <c r="F769" i="36"/>
  <c r="S920" i="36"/>
  <c r="S929" i="36"/>
  <c r="S938" i="36"/>
  <c r="F944" i="36"/>
  <c r="F935" i="36"/>
  <c r="F926" i="36"/>
  <c r="F713" i="36"/>
  <c r="F691" i="36"/>
  <c r="F702" i="36"/>
  <c r="S704" i="36"/>
  <c r="S715" i="36"/>
  <c r="S693" i="36"/>
  <c r="F781" i="36"/>
  <c r="F792" i="36"/>
  <c r="F770" i="36"/>
  <c r="E914" i="36"/>
  <c r="E525" i="36"/>
  <c r="E526" i="36"/>
  <c r="S287" i="36"/>
  <c r="S298" i="36"/>
  <c r="E370" i="36"/>
  <c r="E361" i="36"/>
  <c r="S363" i="36"/>
  <c r="S372" i="36"/>
  <c r="E156" i="36"/>
  <c r="E145" i="36"/>
  <c r="F945" i="36"/>
  <c r="F936" i="36"/>
  <c r="F927" i="36"/>
  <c r="F686" i="36"/>
  <c r="F708" i="36"/>
  <c r="F697" i="36"/>
  <c r="E916" i="36"/>
  <c r="S364" i="36"/>
  <c r="S373" i="36"/>
  <c r="F298" i="36"/>
  <c r="F287" i="36"/>
  <c r="F77" i="36"/>
  <c r="F86" i="36"/>
  <c r="S87" i="36"/>
  <c r="S78" i="36"/>
  <c r="S22" i="36"/>
  <c r="S23" i="36"/>
  <c r="F913" i="36"/>
  <c r="E947" i="36"/>
  <c r="S947" i="36"/>
  <c r="E879" i="36"/>
  <c r="F846" i="36"/>
  <c r="S879" i="36"/>
  <c r="E938" i="36"/>
  <c r="E929" i="36"/>
  <c r="E920" i="36"/>
  <c r="S707" i="36"/>
  <c r="S685" i="36"/>
  <c r="S696" i="36"/>
  <c r="E624" i="36"/>
  <c r="E602" i="36"/>
  <c r="E613" i="36"/>
  <c r="S770" i="36"/>
  <c r="S792" i="36"/>
  <c r="S781" i="36"/>
  <c r="E844" i="36"/>
  <c r="S763" i="36"/>
  <c r="E596" i="36"/>
  <c r="E597" i="36"/>
  <c r="E722" i="36"/>
  <c r="E141" i="36"/>
  <c r="E152" i="36"/>
  <c r="E369" i="36"/>
  <c r="E360" i="36"/>
  <c r="E421" i="36"/>
  <c r="E430" i="36"/>
  <c r="E78" i="36"/>
  <c r="E87" i="36"/>
  <c r="E144" i="36"/>
  <c r="E155" i="36"/>
  <c r="S878" i="36"/>
  <c r="E878" i="36"/>
  <c r="F845" i="36"/>
  <c r="E603" i="36"/>
  <c r="E625" i="36"/>
  <c r="E614" i="36"/>
  <c r="E915" i="36"/>
  <c r="E419" i="36"/>
  <c r="E428" i="36"/>
  <c r="E779" i="36"/>
  <c r="E768" i="36"/>
  <c r="E790" i="36"/>
  <c r="E711" i="36"/>
  <c r="E700" i="36"/>
  <c r="E689" i="36"/>
  <c r="F700" i="36"/>
  <c r="F689" i="36"/>
  <c r="F711" i="36"/>
  <c r="F701" i="36"/>
  <c r="F712" i="36"/>
  <c r="F690" i="36"/>
  <c r="S699" i="36"/>
  <c r="S688" i="36"/>
  <c r="S710" i="36"/>
  <c r="F553" i="36"/>
  <c r="F544" i="36"/>
  <c r="F535" i="36"/>
  <c r="F628" i="36"/>
  <c r="F617" i="36"/>
  <c r="F606" i="36"/>
  <c r="S627" i="36"/>
  <c r="S605" i="36"/>
  <c r="S616" i="36"/>
  <c r="S765" i="36"/>
  <c r="E845" i="36"/>
  <c r="E913" i="36"/>
  <c r="F370" i="36"/>
  <c r="F361" i="36"/>
  <c r="E368" i="36"/>
  <c r="E359" i="36"/>
  <c r="E598" i="36"/>
  <c r="E217" i="36"/>
  <c r="E228" i="36"/>
  <c r="E214" i="36"/>
  <c r="E225" i="36"/>
  <c r="S88" i="36"/>
  <c r="S79" i="36"/>
  <c r="E227" i="36"/>
  <c r="E216" i="36"/>
  <c r="E159" i="36"/>
  <c r="E148" i="36"/>
  <c r="E876" i="36"/>
  <c r="S876" i="36"/>
  <c r="F843" i="36"/>
  <c r="F790" i="36"/>
  <c r="F768" i="36"/>
  <c r="F779" i="36"/>
  <c r="S783" i="36"/>
  <c r="S794" i="36"/>
  <c r="S772" i="36"/>
  <c r="E685" i="36"/>
  <c r="E707" i="36"/>
  <c r="E696" i="36"/>
  <c r="E699" i="36"/>
  <c r="E688" i="36"/>
  <c r="E710" i="36"/>
  <c r="S550" i="36"/>
  <c r="S532" i="36"/>
  <c r="S541" i="36"/>
  <c r="S622" i="36"/>
  <c r="S611" i="36"/>
  <c r="S633" i="36"/>
  <c r="F625" i="36"/>
  <c r="F603" i="36"/>
  <c r="F614" i="36"/>
  <c r="S636" i="36"/>
  <c r="E636" i="36"/>
  <c r="F596" i="36"/>
  <c r="F765" i="36"/>
  <c r="E843" i="36"/>
  <c r="S944" i="36"/>
  <c r="S935" i="36"/>
  <c r="S926" i="36"/>
  <c r="S762" i="36"/>
  <c r="E358" i="36"/>
  <c r="E367" i="36"/>
  <c r="E527" i="36"/>
  <c r="F139" i="36"/>
  <c r="F150" i="36"/>
  <c r="F85" i="36"/>
  <c r="F76" i="36"/>
  <c r="F19" i="36"/>
  <c r="F20" i="36"/>
  <c r="F21" i="36"/>
  <c r="F22" i="36"/>
  <c r="F23" i="36"/>
  <c r="F763" i="36"/>
  <c r="E803" i="36"/>
  <c r="F844" i="36"/>
  <c r="S877" i="36"/>
  <c r="E877" i="36"/>
  <c r="F682" i="36"/>
  <c r="S722" i="36"/>
  <c r="S549" i="36"/>
  <c r="S540" i="36"/>
  <c r="S531" i="36"/>
  <c r="F795" i="36"/>
  <c r="E524" i="36"/>
  <c r="E678" i="36"/>
  <c r="S845" i="36"/>
  <c r="S596" i="36"/>
  <c r="E143" i="36"/>
  <c r="E154" i="36"/>
  <c r="S419" i="36"/>
  <c r="S428" i="36"/>
  <c r="S301" i="36"/>
  <c r="S290" i="36"/>
  <c r="S374" i="36"/>
  <c r="S365" i="36"/>
  <c r="E302" i="36"/>
  <c r="E291" i="36"/>
  <c r="E140" i="36"/>
  <c r="E151" i="36"/>
  <c r="F78" i="36"/>
  <c r="F87" i="36"/>
  <c r="F699" i="36"/>
  <c r="F688" i="36"/>
  <c r="F710" i="36"/>
  <c r="S861" i="36"/>
  <c r="S852" i="36"/>
  <c r="S870" i="36"/>
  <c r="E771" i="36"/>
  <c r="E793" i="36"/>
  <c r="E782" i="36"/>
  <c r="E595" i="36"/>
  <c r="E704" i="36"/>
  <c r="E715" i="36"/>
  <c r="E693" i="36"/>
  <c r="S525" i="36"/>
  <c r="E679" i="36"/>
  <c r="F939" i="36"/>
  <c r="F930" i="36"/>
  <c r="F921" i="36"/>
  <c r="S859" i="36"/>
  <c r="S868" i="36"/>
  <c r="S850" i="36"/>
  <c r="F526" i="36"/>
  <c r="S526" i="36"/>
  <c r="S559" i="36"/>
  <c r="S913" i="36"/>
  <c r="S555" i="36"/>
  <c r="S546" i="36"/>
  <c r="S537" i="36"/>
  <c r="E765" i="36"/>
  <c r="F358" i="36"/>
  <c r="F367" i="36"/>
  <c r="F290" i="36"/>
  <c r="F301" i="36"/>
  <c r="S858" i="36"/>
  <c r="S867" i="36"/>
  <c r="S849" i="36"/>
  <c r="E860" i="36"/>
  <c r="E869" i="36"/>
  <c r="E851" i="36"/>
  <c r="S793" i="36"/>
  <c r="S771" i="36"/>
  <c r="S782" i="36"/>
  <c r="F627" i="36"/>
  <c r="F605" i="36"/>
  <c r="F616" i="36"/>
  <c r="E772" i="36"/>
  <c r="E794" i="36"/>
  <c r="E783" i="36"/>
  <c r="S943" i="36"/>
  <c r="S934" i="36"/>
  <c r="S925" i="36"/>
  <c r="S769" i="36"/>
  <c r="S791" i="36"/>
  <c r="S780" i="36"/>
  <c r="S843" i="36"/>
  <c r="S598" i="36"/>
  <c r="S424" i="36"/>
  <c r="S433" i="36"/>
  <c r="F300" i="36"/>
  <c r="F289" i="36"/>
  <c r="E18" i="36"/>
  <c r="E7" i="36"/>
  <c r="E8" i="36"/>
  <c r="E9" i="36"/>
  <c r="E10" i="36"/>
  <c r="E11" i="36"/>
  <c r="E24" i="36"/>
  <c r="E84" i="36"/>
  <c r="E75" i="36"/>
  <c r="S711" i="36"/>
  <c r="S689" i="36"/>
  <c r="S700" i="36"/>
  <c r="F622" i="36"/>
  <c r="F611" i="36"/>
  <c r="F633" i="36"/>
  <c r="E698" i="36"/>
  <c r="E709" i="36"/>
  <c r="E687" i="36"/>
  <c r="F772" i="36"/>
  <c r="F794" i="36"/>
  <c r="F783" i="36"/>
  <c r="E626" i="36"/>
  <c r="E604" i="36"/>
  <c r="E615" i="36"/>
  <c r="F798" i="36"/>
  <c r="F787" i="36"/>
  <c r="F776" i="36"/>
  <c r="F524" i="36"/>
  <c r="S557" i="36"/>
  <c r="E557" i="36"/>
  <c r="S844" i="36"/>
  <c r="S687" i="36"/>
  <c r="S709" i="36"/>
  <c r="S698" i="36"/>
  <c r="F709" i="36"/>
  <c r="F687" i="36"/>
  <c r="F698" i="36"/>
  <c r="F762" i="36"/>
  <c r="S802" i="36"/>
  <c r="E718" i="36"/>
  <c r="S678" i="36"/>
  <c r="E680" i="36"/>
  <c r="E599" i="36"/>
  <c r="F704" i="36"/>
  <c r="F693" i="36"/>
  <c r="F715" i="36"/>
  <c r="E682" i="36"/>
  <c r="E425" i="36"/>
  <c r="E434" i="36"/>
  <c r="S432" i="36"/>
  <c r="S423" i="36"/>
  <c r="F288" i="36"/>
  <c r="F299" i="36"/>
  <c r="O796" i="35"/>
  <c r="O785" i="35"/>
  <c r="O774" i="35"/>
  <c r="E938" i="35"/>
  <c r="E929" i="35"/>
  <c r="E920" i="35"/>
  <c r="F685" i="35"/>
  <c r="F707" i="35"/>
  <c r="F696" i="35"/>
  <c r="I1020" i="35"/>
  <c r="I1012" i="35"/>
  <c r="I1004" i="35"/>
  <c r="I1016" i="35"/>
  <c r="I1008" i="35"/>
  <c r="F782" i="35"/>
  <c r="F793" i="35"/>
  <c r="F771" i="35"/>
  <c r="F870" i="35"/>
  <c r="F861" i="35"/>
  <c r="F852" i="35"/>
  <c r="E867" i="35"/>
  <c r="E858" i="35"/>
  <c r="E849" i="35"/>
  <c r="O530" i="35"/>
  <c r="O539" i="35"/>
  <c r="O548" i="35"/>
  <c r="E719" i="35"/>
  <c r="O527" i="35"/>
  <c r="O372" i="35"/>
  <c r="O363" i="35"/>
  <c r="F139" i="35"/>
  <c r="F150" i="35"/>
  <c r="F301" i="35"/>
  <c r="F290" i="35"/>
  <c r="E361" i="35"/>
  <c r="E370" i="35"/>
  <c r="F784" i="35"/>
  <c r="F795" i="35"/>
  <c r="F773" i="35"/>
  <c r="O781" i="35"/>
  <c r="O792" i="35"/>
  <c r="O770" i="35"/>
  <c r="F679" i="35"/>
  <c r="O719" i="35"/>
  <c r="O698" i="35"/>
  <c r="O687" i="35"/>
  <c r="O709" i="35"/>
  <c r="F867" i="35"/>
  <c r="F858" i="35"/>
  <c r="F849" i="35"/>
  <c r="E763" i="35"/>
  <c r="O610" i="35"/>
  <c r="O621" i="35"/>
  <c r="O632" i="35"/>
  <c r="O761" i="35"/>
  <c r="E90" i="35"/>
  <c r="E81" i="35"/>
  <c r="F86" i="35"/>
  <c r="F77" i="35"/>
  <c r="E303" i="35"/>
  <c r="E292" i="35"/>
  <c r="E144" i="35"/>
  <c r="E155" i="35"/>
  <c r="O867" i="35"/>
  <c r="O858" i="35"/>
  <c r="O849" i="35"/>
  <c r="O686" i="35"/>
  <c r="O708" i="35"/>
  <c r="O697" i="35"/>
  <c r="E798" i="35"/>
  <c r="E776" i="35"/>
  <c r="E787" i="35"/>
  <c r="O524" i="35"/>
  <c r="E524" i="35"/>
  <c r="F215" i="35"/>
  <c r="F226" i="35"/>
  <c r="I84" i="35"/>
  <c r="I75" i="35"/>
  <c r="F300" i="35"/>
  <c r="F289" i="35"/>
  <c r="E360" i="35"/>
  <c r="E369" i="35"/>
  <c r="E87" i="35"/>
  <c r="E78" i="35"/>
  <c r="F869" i="35"/>
  <c r="F860" i="35"/>
  <c r="F851" i="35"/>
  <c r="I1021" i="35"/>
  <c r="I1013" i="35"/>
  <c r="I1005" i="35"/>
  <c r="I1017" i="35"/>
  <c r="I1009" i="35"/>
  <c r="O779" i="35"/>
  <c r="O790" i="35"/>
  <c r="O768" i="35"/>
  <c r="E708" i="35"/>
  <c r="E697" i="35"/>
  <c r="E686" i="35"/>
  <c r="E699" i="35"/>
  <c r="E688" i="35"/>
  <c r="E710" i="35"/>
  <c r="E802" i="35"/>
  <c r="O914" i="35"/>
  <c r="O553" i="35"/>
  <c r="O535" i="35"/>
  <c r="O544" i="35"/>
  <c r="F595" i="35"/>
  <c r="E761" i="35"/>
  <c r="E434" i="35"/>
  <c r="E425" i="35"/>
  <c r="E595" i="35"/>
  <c r="E914" i="35"/>
  <c r="F361" i="35"/>
  <c r="F370" i="35"/>
  <c r="F214" i="35"/>
  <c r="F225" i="35"/>
  <c r="O85" i="35"/>
  <c r="O76" i="35"/>
  <c r="O721" i="35"/>
  <c r="F681" i="35"/>
  <c r="O541" i="35"/>
  <c r="O550" i="35"/>
  <c r="O532" i="35"/>
  <c r="F913" i="35"/>
  <c r="E947" i="35"/>
  <c r="O947" i="35"/>
  <c r="F941" i="35"/>
  <c r="F923" i="35"/>
  <c r="F932" i="35"/>
  <c r="E949" i="35"/>
  <c r="O949" i="35"/>
  <c r="F915" i="35"/>
  <c r="O916" i="35"/>
  <c r="E682" i="35"/>
  <c r="O844" i="35"/>
  <c r="O915" i="35"/>
  <c r="O630" i="35"/>
  <c r="O619" i="35"/>
  <c r="O608" i="35"/>
  <c r="O558" i="35"/>
  <c r="E844" i="35"/>
  <c r="E679" i="35"/>
  <c r="F212" i="35"/>
  <c r="F223" i="35"/>
  <c r="O230" i="35"/>
  <c r="O219" i="35"/>
  <c r="F87" i="35"/>
  <c r="F78" i="35"/>
  <c r="E213" i="35"/>
  <c r="E224" i="35"/>
  <c r="O939" i="35"/>
  <c r="O930" i="35"/>
  <c r="O921" i="35"/>
  <c r="E870" i="35"/>
  <c r="E861" i="35"/>
  <c r="E852" i="35"/>
  <c r="F940" i="35"/>
  <c r="F931" i="35"/>
  <c r="F922" i="35"/>
  <c r="E781" i="35"/>
  <c r="E792" i="35"/>
  <c r="E770" i="35"/>
  <c r="F686" i="35"/>
  <c r="F697" i="35"/>
  <c r="F708" i="35"/>
  <c r="F699" i="35"/>
  <c r="F710" i="35"/>
  <c r="F688" i="35"/>
  <c r="O846" i="35"/>
  <c r="O913" i="35"/>
  <c r="O631" i="35"/>
  <c r="O620" i="35"/>
  <c r="O609" i="35"/>
  <c r="E605" i="35"/>
  <c r="E627" i="35"/>
  <c r="E616" i="35"/>
  <c r="O845" i="35"/>
  <c r="E608" i="35"/>
  <c r="E630" i="35"/>
  <c r="E619" i="35"/>
  <c r="F430" i="35"/>
  <c r="F421" i="35"/>
  <c r="E429" i="35"/>
  <c r="E420" i="35"/>
  <c r="E86" i="35"/>
  <c r="E77" i="35"/>
  <c r="E762" i="35"/>
  <c r="O84" i="35"/>
  <c r="O75" i="35"/>
  <c r="E13" i="35"/>
  <c r="E14" i="35"/>
  <c r="E15" i="35"/>
  <c r="E16" i="35"/>
  <c r="E17" i="35"/>
  <c r="F939" i="35"/>
  <c r="F930" i="35"/>
  <c r="F921" i="35"/>
  <c r="O871" i="35"/>
  <c r="O862" i="35"/>
  <c r="O853" i="35"/>
  <c r="F762" i="35"/>
  <c r="O802" i="35"/>
  <c r="F844" i="35"/>
  <c r="O877" i="35"/>
  <c r="F680" i="35"/>
  <c r="O720" i="35"/>
  <c r="F871" i="35"/>
  <c r="F862" i="35"/>
  <c r="F853" i="35"/>
  <c r="E801" i="35"/>
  <c r="E428" i="35"/>
  <c r="E419" i="35"/>
  <c r="F142" i="35"/>
  <c r="F153" i="35"/>
  <c r="F213" i="35"/>
  <c r="F224" i="35"/>
  <c r="O359" i="35"/>
  <c r="O368" i="35"/>
  <c r="O948" i="35"/>
  <c r="F914" i="35"/>
  <c r="E948" i="35"/>
  <c r="E950" i="35"/>
  <c r="O950" i="35"/>
  <c r="F916" i="35"/>
  <c r="O783" i="35"/>
  <c r="O794" i="35"/>
  <c r="O772" i="35"/>
  <c r="E868" i="35"/>
  <c r="E859" i="35"/>
  <c r="E850" i="35"/>
  <c r="E878" i="35"/>
  <c r="F845" i="35"/>
  <c r="O624" i="35"/>
  <c r="O602" i="35"/>
  <c r="O613" i="35"/>
  <c r="E712" i="35"/>
  <c r="E690" i="35"/>
  <c r="E701" i="35"/>
  <c r="O681" i="35"/>
  <c r="E720" i="35"/>
  <c r="E765" i="35"/>
  <c r="E680" i="35"/>
  <c r="E843" i="35"/>
  <c r="O680" i="35"/>
  <c r="O90" i="35"/>
  <c r="O81" i="35"/>
  <c r="E143" i="35"/>
  <c r="E154" i="35"/>
  <c r="E212" i="35"/>
  <c r="E223" i="35"/>
  <c r="O361" i="35"/>
  <c r="O370" i="35"/>
  <c r="O691" i="35"/>
  <c r="O702" i="35"/>
  <c r="O713" i="35"/>
  <c r="E525" i="35"/>
  <c r="E599" i="35"/>
  <c r="O941" i="35"/>
  <c r="O932" i="35"/>
  <c r="O923" i="35"/>
  <c r="O771" i="35"/>
  <c r="O782" i="35"/>
  <c r="O793" i="35"/>
  <c r="F868" i="35"/>
  <c r="F859" i="35"/>
  <c r="F850" i="35"/>
  <c r="F689" i="35"/>
  <c r="F711" i="35"/>
  <c r="F700" i="35"/>
  <c r="O869" i="35"/>
  <c r="O851" i="35"/>
  <c r="O860" i="35"/>
  <c r="F709" i="35"/>
  <c r="F687" i="35"/>
  <c r="F698" i="35"/>
  <c r="F874" i="35"/>
  <c r="F865" i="35"/>
  <c r="F856" i="35"/>
  <c r="E783" i="35"/>
  <c r="E794" i="35"/>
  <c r="E772" i="35"/>
  <c r="F632" i="35"/>
  <c r="F621" i="35"/>
  <c r="F610" i="35"/>
  <c r="E915" i="35"/>
  <c r="F535" i="35"/>
  <c r="F544" i="35"/>
  <c r="F553" i="35"/>
  <c r="E721" i="35"/>
  <c r="E635" i="35"/>
  <c r="O595" i="35"/>
  <c r="E913" i="35"/>
  <c r="E306" i="35"/>
  <c r="E295" i="35"/>
  <c r="O91" i="35"/>
  <c r="O82" i="35"/>
  <c r="O868" i="35"/>
  <c r="O859" i="35"/>
  <c r="O850" i="35"/>
  <c r="F554" i="35"/>
  <c r="F536" i="35"/>
  <c r="F545" i="35"/>
  <c r="F524" i="35"/>
  <c r="E941" i="35"/>
  <c r="E932" i="35"/>
  <c r="E923" i="35"/>
  <c r="E939" i="35"/>
  <c r="E930" i="35"/>
  <c r="E921" i="35"/>
  <c r="O940" i="35"/>
  <c r="O931" i="35"/>
  <c r="O922" i="35"/>
  <c r="O791" i="35"/>
  <c r="O769" i="35"/>
  <c r="O780" i="35"/>
  <c r="O722" i="35"/>
  <c r="F682" i="35"/>
  <c r="O682" i="35"/>
  <c r="E869" i="35"/>
  <c r="E860" i="35"/>
  <c r="E851" i="35"/>
  <c r="O852" i="35"/>
  <c r="O861" i="35"/>
  <c r="O870" i="35"/>
  <c r="E625" i="35"/>
  <c r="E603" i="35"/>
  <c r="E614" i="35"/>
  <c r="E845" i="35"/>
  <c r="O551" i="35"/>
  <c r="O533" i="35"/>
  <c r="O542" i="35"/>
  <c r="O526" i="35"/>
  <c r="E526" i="35"/>
  <c r="E916" i="35"/>
  <c r="E527" i="35"/>
  <c r="E298" i="35"/>
  <c r="E287" i="35"/>
  <c r="F141" i="35"/>
  <c r="F152" i="35"/>
  <c r="E232" i="35"/>
  <c r="E221" i="35"/>
  <c r="E560" i="35"/>
  <c r="F527" i="35"/>
  <c r="E597" i="35"/>
  <c r="E846" i="35"/>
  <c r="E681" i="35"/>
  <c r="E598" i="35"/>
  <c r="E140" i="35"/>
  <c r="E151" i="35"/>
  <c r="E19" i="35"/>
  <c r="E20" i="35"/>
  <c r="E21" i="35"/>
  <c r="E22" i="35"/>
  <c r="E23" i="35"/>
  <c r="O19" i="35"/>
  <c r="O20" i="35"/>
  <c r="O22" i="35"/>
  <c r="O23" i="35"/>
  <c r="O21" i="35"/>
  <c r="F773" i="36" l="1"/>
  <c r="S19" i="36"/>
  <c r="S21" i="36"/>
  <c r="S856" i="36"/>
  <c r="S865" i="36"/>
  <c r="S543" i="36"/>
  <c r="O786" i="35"/>
  <c r="O797" i="35"/>
  <c r="O775" i="35"/>
  <c r="O13" i="35"/>
  <c r="O15" i="35"/>
  <c r="O14" i="35"/>
  <c r="O16" i="35"/>
  <c r="O17" i="35"/>
  <c r="O787" i="35"/>
  <c r="O798" i="35"/>
  <c r="O776" i="35"/>
  <c r="O788" i="35"/>
  <c r="O777" i="35"/>
  <c r="O799" i="35"/>
  <c r="O622" i="35"/>
  <c r="O633" i="35"/>
  <c r="O611" i="35"/>
  <c r="F775" i="35"/>
  <c r="F797" i="35"/>
  <c r="F786" i="35"/>
  <c r="F633" i="35"/>
  <c r="F622" i="35"/>
  <c r="F611" i="35"/>
  <c r="S552" i="36"/>
  <c r="S629" i="36"/>
  <c r="S618" i="36"/>
  <c r="S607" i="36"/>
  <c r="F607" i="36"/>
  <c r="F618" i="36"/>
  <c r="F629" i="36"/>
  <c r="S620" i="36"/>
  <c r="S631" i="36"/>
  <c r="S609" i="36"/>
  <c r="E784" i="36"/>
  <c r="E773" i="36"/>
  <c r="F631" i="36"/>
  <c r="F609" i="36"/>
  <c r="F620" i="36"/>
  <c r="S690" i="36"/>
  <c r="S701" i="36"/>
  <c r="S712" i="36"/>
  <c r="S545" i="36"/>
  <c r="S536" i="36"/>
  <c r="S554" i="36"/>
  <c r="S854" i="36"/>
  <c r="S863" i="36"/>
  <c r="S872" i="36"/>
  <c r="S544" i="36"/>
  <c r="S535" i="36"/>
  <c r="S553" i="36"/>
  <c r="S777" i="36"/>
  <c r="S799" i="36"/>
  <c r="S788" i="36"/>
  <c r="E874" i="36"/>
  <c r="E865" i="36"/>
  <c r="E856" i="36"/>
  <c r="F786" i="36"/>
  <c r="F797" i="36"/>
  <c r="F775" i="36"/>
  <c r="F788" i="36"/>
  <c r="F777" i="36"/>
  <c r="F799" i="36"/>
  <c r="E621" i="36"/>
  <c r="E632" i="36"/>
  <c r="E610" i="36"/>
  <c r="S942" i="36"/>
  <c r="S933" i="36"/>
  <c r="S924" i="36"/>
  <c r="F785" i="36"/>
  <c r="F774" i="36"/>
  <c r="F796" i="36"/>
  <c r="E690" i="36"/>
  <c r="E712" i="36"/>
  <c r="E701" i="36"/>
  <c r="E855" i="36"/>
  <c r="E864" i="36"/>
  <c r="E873" i="36"/>
  <c r="F873" i="36"/>
  <c r="F864" i="36"/>
  <c r="F855" i="36"/>
  <c r="E630" i="36"/>
  <c r="E608" i="36"/>
  <c r="E619" i="36"/>
  <c r="E544" i="36"/>
  <c r="E535" i="36"/>
  <c r="E553" i="36"/>
  <c r="S632" i="36"/>
  <c r="S610" i="36"/>
  <c r="S621" i="36"/>
  <c r="F545" i="36"/>
  <c r="F536" i="36"/>
  <c r="F554" i="36"/>
  <c r="E716" i="36"/>
  <c r="E705" i="36"/>
  <c r="E694" i="36"/>
  <c r="F694" i="36"/>
  <c r="F716" i="36"/>
  <c r="F705" i="36"/>
  <c r="F862" i="36"/>
  <c r="F853" i="36"/>
  <c r="F871" i="36"/>
  <c r="E945" i="36"/>
  <c r="E936" i="36"/>
  <c r="E927" i="36"/>
  <c r="E545" i="36"/>
  <c r="E536" i="36"/>
  <c r="E554" i="36"/>
  <c r="E943" i="36"/>
  <c r="E934" i="36"/>
  <c r="E925" i="36"/>
  <c r="F543" i="36"/>
  <c r="F534" i="36"/>
  <c r="F552" i="36"/>
  <c r="S871" i="36"/>
  <c r="S862" i="36"/>
  <c r="S853" i="36"/>
  <c r="E629" i="36"/>
  <c r="E607" i="36"/>
  <c r="E618" i="36"/>
  <c r="S619" i="36"/>
  <c r="S630" i="36"/>
  <c r="S608" i="36"/>
  <c r="S796" i="36"/>
  <c r="S785" i="36"/>
  <c r="S774" i="36"/>
  <c r="F619" i="36"/>
  <c r="F630" i="36"/>
  <c r="F608" i="36"/>
  <c r="E944" i="36"/>
  <c r="E935" i="36"/>
  <c r="E926" i="36"/>
  <c r="F856" i="36"/>
  <c r="F865" i="36"/>
  <c r="F874" i="36"/>
  <c r="E796" i="36"/>
  <c r="E774" i="36"/>
  <c r="E785" i="36"/>
  <c r="E871" i="36"/>
  <c r="E862" i="36"/>
  <c r="E853" i="36"/>
  <c r="E611" i="36"/>
  <c r="E622" i="36"/>
  <c r="E633" i="36"/>
  <c r="E17" i="36"/>
  <c r="E15" i="36"/>
  <c r="E13" i="36"/>
  <c r="E14" i="36"/>
  <c r="E16" i="36"/>
  <c r="E788" i="36"/>
  <c r="E799" i="36"/>
  <c r="E777" i="36"/>
  <c r="S873" i="36"/>
  <c r="S864" i="36"/>
  <c r="S855" i="36"/>
  <c r="F863" i="36"/>
  <c r="F872" i="36"/>
  <c r="F854" i="36"/>
  <c r="E546" i="36"/>
  <c r="E537" i="36"/>
  <c r="E555" i="36"/>
  <c r="E776" i="36"/>
  <c r="E798" i="36"/>
  <c r="E787" i="36"/>
  <c r="F621" i="36"/>
  <c r="F632" i="36"/>
  <c r="F610" i="36"/>
  <c r="E19" i="36"/>
  <c r="E20" i="36"/>
  <c r="E21" i="36"/>
  <c r="E22" i="36"/>
  <c r="E23" i="36"/>
  <c r="E703" i="36"/>
  <c r="E692" i="36"/>
  <c r="E714" i="36"/>
  <c r="E702" i="36"/>
  <c r="E713" i="36"/>
  <c r="E691" i="36"/>
  <c r="E942" i="36"/>
  <c r="E933" i="36"/>
  <c r="E924" i="36"/>
  <c r="E797" i="36"/>
  <c r="E775" i="36"/>
  <c r="E786" i="36"/>
  <c r="E631" i="36"/>
  <c r="E609" i="36"/>
  <c r="E620" i="36"/>
  <c r="S786" i="36"/>
  <c r="S797" i="36"/>
  <c r="S775" i="36"/>
  <c r="F942" i="36"/>
  <c r="F933" i="36"/>
  <c r="F924" i="36"/>
  <c r="E552" i="36"/>
  <c r="E534" i="36"/>
  <c r="E543" i="36"/>
  <c r="E872" i="36"/>
  <c r="E863" i="36"/>
  <c r="E854" i="36"/>
  <c r="F854" i="35"/>
  <c r="F863" i="35"/>
  <c r="F872" i="35"/>
  <c r="E691" i="35"/>
  <c r="E713" i="35"/>
  <c r="E702" i="35"/>
  <c r="E716" i="35"/>
  <c r="E705" i="35"/>
  <c r="E694" i="35"/>
  <c r="E943" i="35"/>
  <c r="E934" i="35"/>
  <c r="E925" i="35"/>
  <c r="E799" i="35"/>
  <c r="E777" i="35"/>
  <c r="E788" i="35"/>
  <c r="F555" i="35"/>
  <c r="F546" i="35"/>
  <c r="F537" i="35"/>
  <c r="O536" i="35"/>
  <c r="O545" i="35"/>
  <c r="O554" i="35"/>
  <c r="E862" i="35"/>
  <c r="E871" i="35"/>
  <c r="E853" i="35"/>
  <c r="E774" i="35"/>
  <c r="E796" i="35"/>
  <c r="E785" i="35"/>
  <c r="E629" i="35"/>
  <c r="E618" i="35"/>
  <c r="E607" i="35"/>
  <c r="O552" i="35"/>
  <c r="O534" i="35"/>
  <c r="O543" i="35"/>
  <c r="F713" i="35"/>
  <c r="F702" i="35"/>
  <c r="F691" i="35"/>
  <c r="E693" i="35"/>
  <c r="E715" i="35"/>
  <c r="E704" i="35"/>
  <c r="F552" i="35"/>
  <c r="F543" i="35"/>
  <c r="F534" i="35"/>
  <c r="E874" i="35"/>
  <c r="E865" i="35"/>
  <c r="E856" i="35"/>
  <c r="E945" i="35"/>
  <c r="E936" i="35"/>
  <c r="E927" i="35"/>
  <c r="F943" i="35"/>
  <c r="F934" i="35"/>
  <c r="F925" i="35"/>
  <c r="O873" i="35"/>
  <c r="O864" i="35"/>
  <c r="O855" i="35"/>
  <c r="F944" i="35"/>
  <c r="F935" i="35"/>
  <c r="F926" i="35"/>
  <c r="E703" i="35"/>
  <c r="E714" i="35"/>
  <c r="E692" i="35"/>
  <c r="F785" i="35"/>
  <c r="F774" i="35"/>
  <c r="F796" i="35"/>
  <c r="E554" i="35"/>
  <c r="E545" i="35"/>
  <c r="E536" i="35"/>
  <c r="O942" i="35"/>
  <c r="O933" i="35"/>
  <c r="O924" i="35"/>
  <c r="O944" i="35"/>
  <c r="O935" i="35"/>
  <c r="O926" i="35"/>
  <c r="E552" i="35"/>
  <c r="E534" i="35"/>
  <c r="E543" i="35"/>
  <c r="E797" i="35"/>
  <c r="E775" i="35"/>
  <c r="E786" i="35"/>
  <c r="E620" i="35"/>
  <c r="E631" i="35"/>
  <c r="E609" i="35"/>
  <c r="E942" i="35"/>
  <c r="E933" i="35"/>
  <c r="E924" i="35"/>
  <c r="F873" i="35"/>
  <c r="F864" i="35"/>
  <c r="F855" i="35"/>
  <c r="O773" i="35"/>
  <c r="O784" i="35"/>
  <c r="O795" i="35"/>
  <c r="O629" i="35"/>
  <c r="O618" i="35"/>
  <c r="O607" i="35"/>
  <c r="F703" i="35"/>
  <c r="F692" i="35"/>
  <c r="F714" i="35"/>
  <c r="O945" i="35"/>
  <c r="O936" i="35"/>
  <c r="O927" i="35"/>
  <c r="O704" i="35"/>
  <c r="O693" i="35"/>
  <c r="O715" i="35"/>
  <c r="E872" i="35"/>
  <c r="E863" i="35"/>
  <c r="E854" i="35"/>
  <c r="E773" i="35"/>
  <c r="E784" i="35"/>
  <c r="E795" i="35"/>
  <c r="E632" i="35"/>
  <c r="E621" i="35"/>
  <c r="E610" i="35"/>
  <c r="E864" i="35"/>
  <c r="E873" i="35"/>
  <c r="E855" i="35"/>
  <c r="F618" i="35"/>
  <c r="F629" i="35"/>
  <c r="F607" i="35"/>
  <c r="O555" i="35"/>
  <c r="O546" i="35"/>
  <c r="O537" i="35"/>
  <c r="E944" i="35"/>
  <c r="E935" i="35"/>
  <c r="E926" i="35"/>
  <c r="E622" i="35"/>
  <c r="E611" i="35"/>
  <c r="E633" i="35"/>
  <c r="E546" i="35"/>
  <c r="E555" i="35"/>
  <c r="E537" i="35"/>
  <c r="O694" i="35"/>
  <c r="O705" i="35"/>
  <c r="O716" i="35"/>
  <c r="E544" i="35"/>
  <c r="E553" i="35"/>
  <c r="E535" i="35"/>
  <c r="F945" i="35"/>
  <c r="F936" i="35"/>
  <c r="F927" i="35"/>
  <c r="O874" i="35"/>
  <c r="O865" i="35"/>
  <c r="O856" i="35"/>
  <c r="O872" i="35"/>
  <c r="O863" i="35"/>
  <c r="O854" i="35"/>
  <c r="F715" i="35"/>
  <c r="F704" i="35"/>
  <c r="F693" i="35"/>
  <c r="F694" i="35"/>
  <c r="F716" i="35"/>
  <c r="F705" i="35"/>
  <c r="O692" i="35"/>
  <c r="O703" i="35"/>
  <c r="O714" i="35"/>
  <c r="F942" i="35"/>
  <c r="F933" i="35"/>
  <c r="F924" i="35"/>
  <c r="O943" i="35"/>
  <c r="O934" i="35"/>
  <c r="O925" i="35"/>
  <c r="D21" i="22" l="1"/>
  <c r="D14" i="22"/>
  <c r="L14" i="22" s="1"/>
  <c r="D15" i="22"/>
  <c r="L15" i="22" s="1"/>
  <c r="D11" i="22"/>
  <c r="I11" i="22" s="1"/>
  <c r="B103" i="10"/>
  <c r="E517" i="11"/>
  <c r="E516" i="11"/>
  <c r="E515" i="11"/>
  <c r="E514" i="11"/>
  <c r="E512" i="11"/>
  <c r="E511" i="11"/>
  <c r="E510" i="11"/>
  <c r="E509" i="11"/>
  <c r="E508" i="11"/>
  <c r="E506" i="11"/>
  <c r="E505" i="11"/>
  <c r="E504" i="11"/>
  <c r="E503" i="11"/>
  <c r="E502" i="11"/>
  <c r="E500" i="11"/>
  <c r="E499" i="11"/>
  <c r="E498" i="11"/>
  <c r="E497" i="11"/>
  <c r="E496" i="11"/>
  <c r="E493" i="11"/>
  <c r="E492" i="11"/>
  <c r="E491" i="11"/>
  <c r="E490" i="11"/>
  <c r="E488" i="11"/>
  <c r="E487" i="11"/>
  <c r="E486" i="11"/>
  <c r="E485" i="11"/>
  <c r="E484" i="11"/>
  <c r="E482" i="11"/>
  <c r="E481" i="11"/>
  <c r="E480" i="11"/>
  <c r="E479" i="11"/>
  <c r="E478" i="11"/>
  <c r="E476" i="11"/>
  <c r="E475" i="11"/>
  <c r="E474" i="11"/>
  <c r="E473" i="11"/>
  <c r="E472" i="11"/>
  <c r="E41" i="8"/>
  <c r="K92" i="1"/>
  <c r="J87" i="1"/>
  <c r="G7" i="13"/>
  <c r="J84" i="1"/>
  <c r="I21" i="22" l="1"/>
  <c r="J21" i="22"/>
  <c r="L41" i="1"/>
  <c r="K95" i="1"/>
  <c r="K96" i="1"/>
  <c r="K97" i="1"/>
  <c r="K94" i="1"/>
  <c r="E80" i="10" l="1"/>
  <c r="F80" i="10" s="1"/>
  <c r="Q80" i="10" s="1"/>
  <c r="E54" i="10"/>
  <c r="F54" i="10" s="1"/>
  <c r="H54" i="10" s="1"/>
  <c r="C23" i="25"/>
  <c r="N80" i="10" l="1"/>
  <c r="M80" i="10"/>
  <c r="R80" i="10"/>
  <c r="P80" i="10"/>
  <c r="O80" i="10"/>
  <c r="D131" i="22" l="1"/>
  <c r="D140" i="22" s="1"/>
  <c r="E89" i="10" l="1"/>
  <c r="B142" i="10" l="1"/>
  <c r="B154" i="10"/>
  <c r="B132" i="10"/>
  <c r="B29" i="13"/>
  <c r="B61" i="13"/>
  <c r="B21" i="13"/>
  <c r="A467" i="11"/>
  <c r="A468" i="11"/>
  <c r="A466" i="11"/>
  <c r="A465" i="11"/>
  <c r="F352" i="11"/>
  <c r="F19" i="13"/>
  <c r="G10" i="1" l="1"/>
  <c r="O5" i="11"/>
  <c r="J59" i="8"/>
  <c r="N59" i="8" s="1"/>
  <c r="N124" i="8" s="1"/>
  <c r="N148" i="8" s="1"/>
  <c r="N195" i="8" s="1"/>
  <c r="J10" i="8"/>
  <c r="J6" i="8"/>
  <c r="F343" i="13"/>
  <c r="F283" i="13"/>
  <c r="F275" i="13"/>
  <c r="F267" i="13"/>
  <c r="F259" i="13"/>
  <c r="F249" i="13"/>
  <c r="F240" i="13"/>
  <c r="F231" i="13"/>
  <c r="F222" i="13"/>
  <c r="F193" i="13"/>
  <c r="F157" i="13"/>
  <c r="F131" i="13"/>
  <c r="F69" i="13"/>
  <c r="F20" i="13"/>
  <c r="B301" i="10"/>
  <c r="B297" i="10"/>
  <c r="E300" i="10"/>
  <c r="E295" i="10"/>
  <c r="B289" i="10"/>
  <c r="B303" i="10" s="1"/>
  <c r="E268" i="10"/>
  <c r="E171" i="10"/>
  <c r="E67" i="10"/>
  <c r="E21" i="10"/>
  <c r="D144" i="22"/>
  <c r="D39" i="22"/>
  <c r="D51" i="22"/>
  <c r="D17" i="22"/>
  <c r="E24" i="10"/>
  <c r="D24" i="22"/>
  <c r="E119" i="10"/>
  <c r="E263" i="10"/>
  <c r="E172" i="10"/>
  <c r="E243" i="10"/>
  <c r="E23" i="10"/>
  <c r="E242" i="10"/>
  <c r="F282" i="13"/>
  <c r="E237" i="10"/>
  <c r="D57" i="22"/>
  <c r="D42" i="22"/>
  <c r="D64" i="22"/>
  <c r="D54" i="22"/>
  <c r="D23" i="22"/>
  <c r="E302" i="10"/>
  <c r="E287" i="10"/>
  <c r="E144" i="10"/>
  <c r="F12" i="13"/>
  <c r="E215" i="10"/>
  <c r="E264" i="10"/>
  <c r="E28" i="10"/>
  <c r="E216" i="10"/>
  <c r="E100" i="10"/>
  <c r="D88" i="22"/>
  <c r="D61" i="22"/>
  <c r="D62" i="22"/>
  <c r="E92" i="10"/>
  <c r="F48" i="13"/>
  <c r="F439" i="13"/>
  <c r="F66" i="13"/>
  <c r="F126" i="13"/>
  <c r="F401" i="13"/>
  <c r="E168" i="10"/>
  <c r="E167" i="10"/>
  <c r="F436" i="13"/>
  <c r="E265" i="10"/>
  <c r="E244" i="10"/>
  <c r="D132" i="22"/>
  <c r="E71" i="10"/>
  <c r="E17" i="10"/>
  <c r="E258" i="10"/>
  <c r="D113" i="22"/>
  <c r="D60" i="22"/>
  <c r="D101" i="22"/>
  <c r="E298" i="10"/>
  <c r="D9" i="22"/>
  <c r="D79" i="22"/>
  <c r="E26" i="10"/>
  <c r="D22" i="22"/>
  <c r="E164" i="10"/>
  <c r="D20" i="22"/>
  <c r="D25" i="22"/>
  <c r="E14" i="10"/>
  <c r="D19" i="22"/>
  <c r="E13" i="10"/>
  <c r="D30" i="22"/>
  <c r="E70" i="10"/>
  <c r="E266" i="10"/>
  <c r="D18" i="22"/>
  <c r="E213" i="10"/>
  <c r="E136" i="10"/>
  <c r="E11" i="10"/>
  <c r="E10" i="10"/>
  <c r="D36" i="22"/>
  <c r="D77" i="22"/>
  <c r="E163" i="10"/>
  <c r="E281" i="10"/>
  <c r="E257" i="10"/>
  <c r="E88" i="10"/>
  <c r="E207" i="10"/>
  <c r="E162" i="10"/>
  <c r="J20" i="11"/>
  <c r="J21" i="11"/>
  <c r="J22" i="11"/>
  <c r="J23" i="11"/>
  <c r="N20" i="11"/>
  <c r="N21" i="11"/>
  <c r="N22" i="11"/>
  <c r="N23" i="11"/>
  <c r="N8" i="11"/>
  <c r="N9" i="11"/>
  <c r="N10" i="11"/>
  <c r="N11" i="11"/>
  <c r="N7" i="11"/>
  <c r="D88" i="1"/>
  <c r="J88" i="1" s="1"/>
  <c r="D89" i="1"/>
  <c r="J89" i="1" s="1"/>
  <c r="D90" i="1"/>
  <c r="J90" i="1" s="1"/>
  <c r="D85" i="1"/>
  <c r="J85" i="1" s="1"/>
  <c r="D86" i="1"/>
  <c r="J86" i="1" s="1"/>
  <c r="L73" i="1"/>
  <c r="L74" i="1"/>
  <c r="L75" i="1"/>
  <c r="L76" i="1"/>
  <c r="L77" i="1"/>
  <c r="L78" i="1"/>
  <c r="L79" i="1"/>
  <c r="L80" i="1"/>
  <c r="L60" i="1"/>
  <c r="L61" i="1"/>
  <c r="L62" i="1"/>
  <c r="L63" i="1"/>
  <c r="L64" i="1"/>
  <c r="L65" i="1"/>
  <c r="L66" i="1"/>
  <c r="L67" i="1"/>
  <c r="L68" i="1"/>
  <c r="L69" i="1"/>
  <c r="L70" i="1"/>
  <c r="L71" i="1"/>
  <c r="L45" i="1"/>
  <c r="L46" i="1"/>
  <c r="L50" i="1"/>
  <c r="L51" i="1"/>
  <c r="L52" i="1"/>
  <c r="L53" i="1"/>
  <c r="L54" i="1"/>
  <c r="L55" i="1"/>
  <c r="L56" i="1"/>
  <c r="L57" i="1"/>
  <c r="L58" i="1"/>
  <c r="L37" i="1"/>
  <c r="L38" i="1"/>
  <c r="L39" i="1"/>
  <c r="L40" i="1"/>
  <c r="L42" i="1"/>
  <c r="L43" i="1"/>
  <c r="L44" i="1"/>
  <c r="L24" i="1"/>
  <c r="L25" i="1"/>
  <c r="L26" i="1"/>
  <c r="L27" i="1"/>
  <c r="L28" i="1"/>
  <c r="L29" i="1"/>
  <c r="L30" i="1"/>
  <c r="L31" i="1"/>
  <c r="L32" i="1"/>
  <c r="L33" i="1"/>
  <c r="L34" i="1"/>
  <c r="L35" i="1"/>
  <c r="L15" i="1"/>
  <c r="L16" i="1"/>
  <c r="L17" i="1"/>
  <c r="L18" i="1"/>
  <c r="L19" i="1"/>
  <c r="L20" i="1"/>
  <c r="L21" i="1"/>
  <c r="L22" i="1"/>
  <c r="L14" i="1"/>
  <c r="J124" i="8" l="1"/>
  <c r="J148" i="8" s="1"/>
  <c r="J195" i="8" s="1"/>
  <c r="D143" i="22"/>
  <c r="E12" i="10"/>
  <c r="E96" i="10"/>
  <c r="E284" i="10"/>
  <c r="F88" i="13"/>
  <c r="F135" i="13"/>
  <c r="F169" i="13"/>
  <c r="F203" i="13"/>
  <c r="F429" i="13"/>
  <c r="D87" i="22"/>
  <c r="E94" i="10"/>
  <c r="E211" i="10"/>
  <c r="F92" i="13"/>
  <c r="F148" i="13"/>
  <c r="F392" i="13"/>
  <c r="D80" i="22"/>
  <c r="E133" i="10"/>
  <c r="E238" i="10"/>
  <c r="F113" i="13"/>
  <c r="F188" i="13"/>
  <c r="F225" i="13"/>
  <c r="F252" i="13"/>
  <c r="F286" i="13"/>
  <c r="F444" i="13"/>
  <c r="E76" i="10"/>
  <c r="E150" i="10"/>
  <c r="F120" i="13"/>
  <c r="F152" i="13"/>
  <c r="F190" i="13"/>
  <c r="F402" i="13"/>
  <c r="F446" i="13"/>
  <c r="F441" i="13"/>
  <c r="D116" i="22"/>
  <c r="E22" i="10"/>
  <c r="E147" i="10"/>
  <c r="E236" i="10"/>
  <c r="E301" i="10"/>
  <c r="F127" i="13"/>
  <c r="F228" i="13"/>
  <c r="F318" i="13"/>
  <c r="F407" i="13"/>
  <c r="F119" i="13"/>
  <c r="E69" i="10"/>
  <c r="E146" i="10"/>
  <c r="D166" i="22"/>
  <c r="F91" i="13"/>
  <c r="F97" i="13"/>
  <c r="F33" i="13"/>
  <c r="F38" i="13" s="1"/>
  <c r="F42" i="13" s="1"/>
  <c r="F47" i="13" s="1"/>
  <c r="F52" i="13" s="1"/>
  <c r="F57" i="13" s="1"/>
  <c r="F64" i="13" s="1"/>
  <c r="F67" i="13" s="1"/>
  <c r="F70" i="13" s="1"/>
  <c r="F73" i="13" s="1"/>
  <c r="F76" i="13" s="1"/>
  <c r="F79" i="13" s="1"/>
  <c r="F310" i="13" s="1"/>
  <c r="F315" i="13" s="1"/>
  <c r="F320" i="13" s="1"/>
  <c r="F325" i="13" s="1"/>
  <c r="F330" i="13" s="1"/>
  <c r="F335" i="13" s="1"/>
  <c r="F345" i="13" s="1"/>
  <c r="F350" i="13" s="1"/>
  <c r="F355" i="13" s="1"/>
  <c r="F360" i="13" s="1"/>
  <c r="F365" i="13" s="1"/>
  <c r="F370" i="13" s="1"/>
  <c r="F284" i="13"/>
  <c r="F260" i="13"/>
  <c r="D141" i="22"/>
  <c r="E66" i="10"/>
  <c r="D12" i="22"/>
  <c r="D100" i="22"/>
  <c r="F98" i="13"/>
  <c r="F268" i="13"/>
  <c r="E49" i="10"/>
  <c r="F102" i="13"/>
  <c r="F363" i="13"/>
  <c r="D59" i="22"/>
  <c r="D97" i="22"/>
  <c r="D177" i="22"/>
  <c r="E63" i="10"/>
  <c r="E93" i="10"/>
  <c r="E195" i="10"/>
  <c r="E280" i="10"/>
  <c r="F104" i="13"/>
  <c r="F136" i="13"/>
  <c r="F173" i="13"/>
  <c r="F208" i="13"/>
  <c r="F273" i="13"/>
  <c r="E114" i="10"/>
  <c r="F118" i="13"/>
  <c r="F391" i="13"/>
  <c r="E210" i="10"/>
  <c r="F430" i="13"/>
  <c r="E20" i="10"/>
  <c r="F194" i="13"/>
  <c r="E9" i="10"/>
  <c r="E65" i="10"/>
  <c r="D10" i="22"/>
  <c r="E196" i="10"/>
  <c r="F241" i="13"/>
  <c r="E78" i="10"/>
  <c r="E91" i="10"/>
  <c r="E193" i="10"/>
  <c r="F14" i="13"/>
  <c r="F105" i="13"/>
  <c r="F139" i="13"/>
  <c r="F209" i="13"/>
  <c r="F243" i="13"/>
  <c r="F424" i="13"/>
  <c r="F440" i="13"/>
  <c r="E209" i="10"/>
  <c r="D63" i="22"/>
  <c r="D49" i="22"/>
  <c r="D13" i="22"/>
  <c r="E299" i="10"/>
  <c r="F406" i="13"/>
  <c r="E234" i="10"/>
  <c r="F204" i="13"/>
  <c r="D178" i="22"/>
  <c r="D82" i="22"/>
  <c r="D154" i="22"/>
  <c r="E77" i="10"/>
  <c r="E118" i="10"/>
  <c r="E214" i="10"/>
  <c r="E286" i="10"/>
  <c r="F16" i="13"/>
  <c r="F112" i="13"/>
  <c r="F140" i="13"/>
  <c r="F174" i="13"/>
  <c r="F210" i="13"/>
  <c r="F246" i="13"/>
  <c r="F276" i="13"/>
  <c r="F387" i="13"/>
  <c r="F426" i="13"/>
  <c r="E97" i="10"/>
  <c r="E117" i="10"/>
  <c r="E170" i="10"/>
  <c r="E240" i="10"/>
  <c r="F72" i="13"/>
  <c r="F239" i="13"/>
  <c r="F319" i="13"/>
  <c r="F344" i="13"/>
  <c r="F56" i="13"/>
  <c r="D85" i="22"/>
  <c r="D109" i="22"/>
  <c r="D157" i="22"/>
  <c r="D169" i="22"/>
  <c r="E79" i="10"/>
  <c r="E68" i="10"/>
  <c r="E95" i="10"/>
  <c r="E116" i="10"/>
  <c r="E149" i="10"/>
  <c r="E169" i="10"/>
  <c r="E194" i="10"/>
  <c r="E212" i="10"/>
  <c r="E239" i="10"/>
  <c r="E267" i="10"/>
  <c r="E288" i="10"/>
  <c r="F18" i="13"/>
  <c r="F75" i="13"/>
  <c r="F99" i="13"/>
  <c r="F116" i="13"/>
  <c r="F132" i="13"/>
  <c r="F151" i="13"/>
  <c r="F170" i="13"/>
  <c r="F189" i="13"/>
  <c r="F205" i="13"/>
  <c r="F223" i="13"/>
  <c r="F257" i="13"/>
  <c r="F270" i="13"/>
  <c r="F368" i="13"/>
  <c r="F390" i="13"/>
  <c r="F405" i="13"/>
  <c r="F425" i="13"/>
  <c r="F445" i="13"/>
  <c r="F58" i="13"/>
  <c r="F158" i="13"/>
  <c r="F219" i="13"/>
  <c r="F232" i="13"/>
  <c r="F329" i="13"/>
  <c r="F354" i="13"/>
  <c r="F396" i="13"/>
  <c r="F431" i="13"/>
  <c r="F41" i="13"/>
  <c r="D38" i="22"/>
  <c r="E148" i="10"/>
  <c r="F258" i="13"/>
  <c r="D167" i="22"/>
  <c r="E7" i="10"/>
  <c r="E192" i="10"/>
  <c r="F36" i="13"/>
  <c r="E30" i="10"/>
  <c r="E48" i="10"/>
  <c r="F364" i="13"/>
  <c r="D81" i="22"/>
  <c r="E29" i="10"/>
  <c r="E165" i="10"/>
  <c r="F395" i="13"/>
  <c r="E75" i="10"/>
  <c r="E219" i="10"/>
  <c r="E283" i="10"/>
  <c r="E296" i="10"/>
  <c r="F32" i="13"/>
  <c r="F90" i="13"/>
  <c r="F106" i="13"/>
  <c r="F177" i="13"/>
  <c r="F195" i="13"/>
  <c r="F262" i="13"/>
  <c r="D99" i="22"/>
  <c r="D130" i="22"/>
  <c r="D139" i="22"/>
  <c r="D151" i="22"/>
  <c r="E27" i="10"/>
  <c r="E15" i="10"/>
  <c r="E53" i="10"/>
  <c r="E74" i="10"/>
  <c r="E101" i="10"/>
  <c r="E135" i="10"/>
  <c r="E175" i="10"/>
  <c r="E218" i="10"/>
  <c r="E231" i="10"/>
  <c r="E233" i="10"/>
  <c r="E261" i="10"/>
  <c r="F51" i="13"/>
  <c r="F123" i="13"/>
  <c r="F161" i="13"/>
  <c r="F178" i="13"/>
  <c r="F198" i="13"/>
  <c r="F248" i="13"/>
  <c r="F278" i="13"/>
  <c r="F309" i="13"/>
  <c r="F382" i="13"/>
  <c r="F397" i="13"/>
  <c r="F413" i="13"/>
  <c r="F43" i="13"/>
  <c r="D8" i="22"/>
  <c r="F78" i="13"/>
  <c r="F348" i="13"/>
  <c r="E19" i="10"/>
  <c r="E8" i="10"/>
  <c r="F274" i="13"/>
  <c r="F349" i="13"/>
  <c r="E113" i="10"/>
  <c r="E285" i="10"/>
  <c r="F230" i="13"/>
  <c r="E64" i="10"/>
  <c r="E145" i="10"/>
  <c r="E235" i="10"/>
  <c r="F308" i="13"/>
  <c r="F380" i="13"/>
  <c r="D152" i="22"/>
  <c r="D115" i="22"/>
  <c r="D180" i="22"/>
  <c r="E52" i="10"/>
  <c r="E73" i="10"/>
  <c r="E112" i="10"/>
  <c r="E134" i="10"/>
  <c r="E174" i="10"/>
  <c r="E191" i="10"/>
  <c r="E217" i="10"/>
  <c r="E232" i="10"/>
  <c r="E260" i="10"/>
  <c r="F53" i="13"/>
  <c r="F109" i="13"/>
  <c r="F143" i="13"/>
  <c r="F162" i="13"/>
  <c r="F183" i="13"/>
  <c r="F199" i="13"/>
  <c r="F221" i="13"/>
  <c r="F234" i="13"/>
  <c r="F265" i="13"/>
  <c r="F313" i="13"/>
  <c r="F333" i="13"/>
  <c r="F358" i="13"/>
  <c r="F381" i="13"/>
  <c r="F419" i="13"/>
  <c r="F434" i="13"/>
  <c r="F323" i="13"/>
  <c r="D83" i="22"/>
  <c r="F324" i="13"/>
  <c r="E18" i="10"/>
  <c r="F37" i="13"/>
  <c r="E220" i="10"/>
  <c r="E208" i="10"/>
  <c r="F31" i="13"/>
  <c r="F328" i="13"/>
  <c r="F412" i="13"/>
  <c r="D165" i="22"/>
  <c r="E16" i="10"/>
  <c r="E90" i="10"/>
  <c r="D138" i="22"/>
  <c r="D78" i="22"/>
  <c r="D98" i="22"/>
  <c r="D114" i="22"/>
  <c r="D179" i="22"/>
  <c r="E51" i="10"/>
  <c r="E72" i="10"/>
  <c r="E99" i="10"/>
  <c r="E120" i="10"/>
  <c r="E173" i="10"/>
  <c r="E198" i="10"/>
  <c r="E259" i="10"/>
  <c r="F63" i="13"/>
  <c r="F95" i="13"/>
  <c r="F125" i="13"/>
  <c r="F144" i="13"/>
  <c r="F165" i="13"/>
  <c r="F184" i="13"/>
  <c r="F200" i="13"/>
  <c r="F250" i="13"/>
  <c r="F266" i="13"/>
  <c r="F281" i="13"/>
  <c r="F314" i="13"/>
  <c r="F334" i="13"/>
  <c r="F359" i="13"/>
  <c r="F385" i="13"/>
  <c r="F400" i="13"/>
  <c r="F420" i="13"/>
  <c r="F435" i="13"/>
  <c r="F46" i="13"/>
  <c r="D16" i="22"/>
  <c r="D7" i="22"/>
  <c r="E241" i="10"/>
  <c r="E115" i="10"/>
  <c r="F369" i="13"/>
  <c r="D155" i="22"/>
  <c r="F22" i="13"/>
  <c r="D50" i="22"/>
  <c r="E206" i="10"/>
  <c r="D40" i="22"/>
  <c r="F353" i="13"/>
  <c r="E50" i="10"/>
  <c r="E98" i="10"/>
  <c r="E197" i="10"/>
  <c r="F111" i="13"/>
  <c r="F147" i="13"/>
  <c r="F166" i="13"/>
  <c r="F185" i="13"/>
  <c r="F237" i="13"/>
  <c r="F386" i="13"/>
  <c r="F421" i="13"/>
  <c r="R59" i="8"/>
  <c r="R124" i="8" l="1"/>
  <c r="R148" i="8" s="1"/>
  <c r="R195" i="8" s="1"/>
  <c r="V59" i="8"/>
  <c r="B91" i="22"/>
  <c r="E115" i="8"/>
  <c r="Q25" i="5"/>
  <c r="D115" i="8" s="1"/>
  <c r="Z59" i="8" l="1"/>
  <c r="AD59" i="8" s="1"/>
  <c r="V124" i="8"/>
  <c r="V148" i="8" s="1"/>
  <c r="C61" i="1"/>
  <c r="C62" i="1" s="1"/>
  <c r="C63" i="1" s="1"/>
  <c r="C64" i="1" s="1"/>
  <c r="C65" i="1" s="1"/>
  <c r="C66" i="1" s="1"/>
  <c r="C67" i="1" s="1"/>
  <c r="C68" i="1" s="1"/>
  <c r="C69" i="1" s="1"/>
  <c r="C70" i="1" s="1"/>
  <c r="C71" i="1" s="1"/>
  <c r="C51" i="1"/>
  <c r="C52" i="1" s="1"/>
  <c r="C53" i="1" s="1"/>
  <c r="C54" i="1" s="1"/>
  <c r="C55" i="1" s="1"/>
  <c r="C56" i="1" s="1"/>
  <c r="C57" i="1" s="1"/>
  <c r="C58" i="1" s="1"/>
  <c r="D58" i="1" s="1"/>
  <c r="E58" i="1" s="1"/>
  <c r="C25" i="1"/>
  <c r="C26" i="1" s="1"/>
  <c r="C27" i="1" s="1"/>
  <c r="C28" i="1" s="1"/>
  <c r="C29" i="1" s="1"/>
  <c r="C30" i="1" s="1"/>
  <c r="C31" i="1" s="1"/>
  <c r="C32" i="1" s="1"/>
  <c r="C33" i="1" s="1"/>
  <c r="C34" i="1" s="1"/>
  <c r="C35" i="1" s="1"/>
  <c r="C15" i="1"/>
  <c r="C16" i="1" s="1"/>
  <c r="C17" i="1" s="1"/>
  <c r="C18" i="1" s="1"/>
  <c r="C19" i="1" s="1"/>
  <c r="C20" i="1" s="1"/>
  <c r="C21" i="1" s="1"/>
  <c r="C22" i="1" s="1"/>
  <c r="D22" i="1" s="1"/>
  <c r="E22" i="1" s="1"/>
  <c r="V195" i="8" l="1"/>
  <c r="Z148" i="8"/>
  <c r="Z195" i="8" s="1"/>
  <c r="I22" i="1"/>
  <c r="I58" i="1"/>
  <c r="AD148" i="8" l="1"/>
  <c r="AD195" i="8" s="1"/>
  <c r="J24" i="22"/>
  <c r="K17" i="22"/>
  <c r="L57" i="22"/>
  <c r="J23" i="22"/>
  <c r="P62" i="22"/>
  <c r="F132" i="22"/>
  <c r="J20" i="22"/>
  <c r="J25" i="22"/>
  <c r="J19" i="22"/>
  <c r="O51" i="22"/>
  <c r="J30" i="22"/>
  <c r="F36" i="22"/>
  <c r="F24" i="10"/>
  <c r="N24" i="10" s="1"/>
  <c r="F119" i="10"/>
  <c r="Q119" i="10" s="1"/>
  <c r="F237" i="10"/>
  <c r="Q237" i="10" s="1"/>
  <c r="F168" i="10"/>
  <c r="P168" i="10" s="1"/>
  <c r="F50" i="10"/>
  <c r="H50" i="10" s="1"/>
  <c r="F12" i="10"/>
  <c r="M12" i="10" s="1"/>
  <c r="F10" i="10"/>
  <c r="N10" i="10" s="1"/>
  <c r="F163" i="10"/>
  <c r="O163" i="10" s="1"/>
  <c r="F233" i="10"/>
  <c r="Q233" i="10" s="1"/>
  <c r="F191" i="10"/>
  <c r="N24" i="11"/>
  <c r="N19" i="11" s="1"/>
  <c r="N18" i="11"/>
  <c r="F12" i="11"/>
  <c r="J12" i="11"/>
  <c r="F416" i="11"/>
  <c r="F426" i="11" s="1"/>
  <c r="F415" i="11"/>
  <c r="F425" i="11" s="1"/>
  <c r="F414" i="11"/>
  <c r="F413" i="11"/>
  <c r="F355" i="11"/>
  <c r="F354" i="11"/>
  <c r="F353" i="11"/>
  <c r="F283" i="11"/>
  <c r="F282" i="11"/>
  <c r="F281" i="11"/>
  <c r="F280" i="11"/>
  <c r="F279" i="11"/>
  <c r="F209" i="11"/>
  <c r="F232" i="11" s="1"/>
  <c r="F208" i="11"/>
  <c r="F220" i="11" s="1"/>
  <c r="F207" i="11"/>
  <c r="F206" i="11"/>
  <c r="F218" i="11" s="1"/>
  <c r="F205" i="11"/>
  <c r="B214" i="13"/>
  <c r="F136" i="11"/>
  <c r="F135" i="11"/>
  <c r="F134" i="11"/>
  <c r="F146" i="11" s="1"/>
  <c r="F133" i="11"/>
  <c r="F132" i="11"/>
  <c r="AC161" i="8"/>
  <c r="Y161" i="8"/>
  <c r="U161" i="8"/>
  <c r="Q161" i="8"/>
  <c r="M161" i="8"/>
  <c r="I161" i="8"/>
  <c r="AC155" i="8"/>
  <c r="Y155" i="8"/>
  <c r="U155" i="8"/>
  <c r="Q155" i="8"/>
  <c r="M155" i="8"/>
  <c r="I155" i="8"/>
  <c r="L179" i="22"/>
  <c r="G6" i="13"/>
  <c r="G249" i="13" s="1"/>
  <c r="F195" i="10"/>
  <c r="P195" i="10" s="1"/>
  <c r="F92" i="10"/>
  <c r="Q92" i="10" s="1"/>
  <c r="F259" i="10"/>
  <c r="R259" i="10" s="1"/>
  <c r="F235" i="10"/>
  <c r="O235" i="10" s="1"/>
  <c r="F211" i="10"/>
  <c r="R211" i="10" s="1"/>
  <c r="F67" i="10"/>
  <c r="AE170" i="8"/>
  <c r="E183" i="8"/>
  <c r="E182" i="8"/>
  <c r="E181" i="8"/>
  <c r="E180" i="8"/>
  <c r="E179" i="8"/>
  <c r="E178" i="8"/>
  <c r="E177" i="8"/>
  <c r="E176" i="8"/>
  <c r="E175" i="8"/>
  <c r="E174" i="8"/>
  <c r="E170" i="8"/>
  <c r="E168" i="8"/>
  <c r="E166" i="8"/>
  <c r="E164" i="8"/>
  <c r="E162" i="8"/>
  <c r="E160" i="8"/>
  <c r="E159" i="8"/>
  <c r="E158" i="8"/>
  <c r="E157" i="8"/>
  <c r="E156" i="8"/>
  <c r="E154" i="8"/>
  <c r="E153" i="8"/>
  <c r="E152" i="8"/>
  <c r="E151" i="8"/>
  <c r="E150" i="8"/>
  <c r="U136" i="8"/>
  <c r="Q136" i="8"/>
  <c r="M136" i="8"/>
  <c r="I136" i="8"/>
  <c r="E144" i="8"/>
  <c r="E143" i="8"/>
  <c r="E142" i="8"/>
  <c r="E141" i="8"/>
  <c r="E140" i="8"/>
  <c r="E139" i="8"/>
  <c r="E138" i="8"/>
  <c r="E137" i="8"/>
  <c r="E135" i="8"/>
  <c r="E133" i="8"/>
  <c r="E132" i="8"/>
  <c r="E131" i="8"/>
  <c r="E130" i="8"/>
  <c r="E129" i="8"/>
  <c r="E128" i="8"/>
  <c r="E127" i="8"/>
  <c r="E126" i="8"/>
  <c r="E119" i="8"/>
  <c r="E118" i="8"/>
  <c r="E114" i="8"/>
  <c r="E117" i="8"/>
  <c r="E116" i="8"/>
  <c r="E113" i="8"/>
  <c r="E112" i="8"/>
  <c r="E111" i="8"/>
  <c r="E110" i="8"/>
  <c r="E109" i="8"/>
  <c r="E106" i="8"/>
  <c r="E104" i="8"/>
  <c r="E102" i="8"/>
  <c r="E100" i="8"/>
  <c r="E98" i="8"/>
  <c r="E96" i="8"/>
  <c r="E94" i="8"/>
  <c r="E92" i="8"/>
  <c r="E90" i="8"/>
  <c r="E88" i="8"/>
  <c r="E86" i="8"/>
  <c r="E84" i="8"/>
  <c r="E82" i="8"/>
  <c r="E80" i="8"/>
  <c r="E78" i="8"/>
  <c r="E76" i="8"/>
  <c r="E74" i="8"/>
  <c r="E72" i="8"/>
  <c r="E70" i="8"/>
  <c r="E68" i="8"/>
  <c r="E67" i="8"/>
  <c r="E66" i="8"/>
  <c r="E65" i="8"/>
  <c r="E64" i="8"/>
  <c r="E63" i="8"/>
  <c r="E61" i="8"/>
  <c r="E51" i="8"/>
  <c r="E43" i="8"/>
  <c r="E45" i="8" s="1"/>
  <c r="E47" i="8" s="1"/>
  <c r="E49" i="8" s="1"/>
  <c r="E31" i="8"/>
  <c r="E21" i="8"/>
  <c r="E27" i="8" s="1"/>
  <c r="E11" i="8"/>
  <c r="E15" i="8" s="1"/>
  <c r="B218" i="8"/>
  <c r="A218" i="8"/>
  <c r="B214" i="8"/>
  <c r="A214" i="8"/>
  <c r="C31" i="11"/>
  <c r="C41" i="11"/>
  <c r="A41" i="11"/>
  <c r="C61" i="11"/>
  <c r="C51" i="11"/>
  <c r="C36" i="11"/>
  <c r="C26" i="11"/>
  <c r="A61" i="11"/>
  <c r="A51" i="11"/>
  <c r="A36" i="11"/>
  <c r="A26" i="11"/>
  <c r="B978" i="11"/>
  <c r="A978" i="11"/>
  <c r="B518" i="11"/>
  <c r="A518" i="11"/>
  <c r="B469" i="11"/>
  <c r="A469" i="11"/>
  <c r="A63" i="11"/>
  <c r="B6" i="11"/>
  <c r="A6" i="11"/>
  <c r="B124" i="22"/>
  <c r="A124" i="22"/>
  <c r="B104" i="22"/>
  <c r="A104" i="22"/>
  <c r="B45" i="22"/>
  <c r="A45" i="22"/>
  <c r="B2" i="22"/>
  <c r="A2" i="22"/>
  <c r="B303" i="13"/>
  <c r="A303" i="13"/>
  <c r="A214" i="13"/>
  <c r="B26" i="13"/>
  <c r="A26" i="13"/>
  <c r="B9" i="13"/>
  <c r="A9" i="13"/>
  <c r="B186" i="10"/>
  <c r="A186" i="10"/>
  <c r="B157" i="10"/>
  <c r="A157" i="10"/>
  <c r="B58" i="10"/>
  <c r="A58" i="10"/>
  <c r="B3" i="10"/>
  <c r="A3" i="10"/>
  <c r="B193" i="8"/>
  <c r="A193" i="8"/>
  <c r="B146" i="8"/>
  <c r="A146" i="8"/>
  <c r="B122" i="8"/>
  <c r="A122" i="8"/>
  <c r="A57" i="8"/>
  <c r="B8" i="8"/>
  <c r="A8" i="8"/>
  <c r="F965" i="11"/>
  <c r="F966" i="11"/>
  <c r="F967" i="11"/>
  <c r="F968" i="11"/>
  <c r="N968" i="11"/>
  <c r="N967" i="11"/>
  <c r="N966" i="11"/>
  <c r="N895" i="11"/>
  <c r="F895" i="11"/>
  <c r="F896" i="11"/>
  <c r="F897" i="11"/>
  <c r="F898" i="11"/>
  <c r="N898" i="11"/>
  <c r="N897" i="11"/>
  <c r="N896" i="11"/>
  <c r="N824" i="11"/>
  <c r="N825" i="11"/>
  <c r="N826" i="11"/>
  <c r="N827" i="11"/>
  <c r="N823" i="11"/>
  <c r="F823" i="11"/>
  <c r="F824" i="11"/>
  <c r="F825" i="11"/>
  <c r="F826" i="11"/>
  <c r="F827" i="11"/>
  <c r="N741" i="11"/>
  <c r="N742" i="11"/>
  <c r="N743" i="11"/>
  <c r="N744" i="11"/>
  <c r="N740" i="11"/>
  <c r="F740" i="11"/>
  <c r="F741" i="11"/>
  <c r="F742" i="11"/>
  <c r="F743" i="11"/>
  <c r="F744" i="11"/>
  <c r="N658" i="11"/>
  <c r="N659" i="11"/>
  <c r="N660" i="11"/>
  <c r="N661" i="11"/>
  <c r="N657" i="11"/>
  <c r="F657" i="11"/>
  <c r="F658" i="11"/>
  <c r="F659" i="11"/>
  <c r="F660" i="11"/>
  <c r="F661" i="11"/>
  <c r="N575" i="11"/>
  <c r="N576" i="11"/>
  <c r="N577" i="11"/>
  <c r="N578" i="11"/>
  <c r="N579" i="11"/>
  <c r="F575" i="11"/>
  <c r="F576" i="11"/>
  <c r="F577" i="11"/>
  <c r="F578" i="11"/>
  <c r="F579" i="11"/>
  <c r="B494" i="11"/>
  <c r="E458" i="11"/>
  <c r="K458" i="11" s="1"/>
  <c r="E397" i="11"/>
  <c r="K397" i="11" s="1"/>
  <c r="E334" i="11"/>
  <c r="K334" i="11" s="1"/>
  <c r="E261" i="11"/>
  <c r="K261" i="11" s="1"/>
  <c r="E187" i="11"/>
  <c r="K187" i="11" s="1"/>
  <c r="J361" i="11"/>
  <c r="J360" i="11"/>
  <c r="J359" i="11"/>
  <c r="J358" i="11"/>
  <c r="E114" i="11"/>
  <c r="K114" i="11" s="1"/>
  <c r="B32" i="10"/>
  <c r="B417" i="13"/>
  <c r="B175" i="22" s="1"/>
  <c r="B150" i="22"/>
  <c r="B90" i="22"/>
  <c r="B181" i="13"/>
  <c r="B111" i="10"/>
  <c r="B123" i="10" s="1"/>
  <c r="B67" i="22"/>
  <c r="B68" i="22"/>
  <c r="B69" i="22"/>
  <c r="B70" i="22"/>
  <c r="B71" i="22"/>
  <c r="B66" i="22"/>
  <c r="B33" i="22"/>
  <c r="H5" i="22"/>
  <c r="L5" i="22" s="1"/>
  <c r="G5" i="22"/>
  <c r="K5" i="22" s="1"/>
  <c r="F5" i="22"/>
  <c r="J5" i="22" s="1"/>
  <c r="E5" i="22"/>
  <c r="I5" i="22" s="1"/>
  <c r="B17" i="13"/>
  <c r="B15" i="13"/>
  <c r="B13" i="13"/>
  <c r="B11" i="13"/>
  <c r="B201" i="8"/>
  <c r="B200" i="8"/>
  <c r="B198" i="8"/>
  <c r="B197" i="8"/>
  <c r="B199" i="8"/>
  <c r="B196" i="8"/>
  <c r="Q59" i="5"/>
  <c r="Q60" i="5"/>
  <c r="Q62" i="5"/>
  <c r="Q63" i="5"/>
  <c r="A183" i="8"/>
  <c r="B183" i="8"/>
  <c r="A180" i="8"/>
  <c r="B180" i="8"/>
  <c r="A181" i="8"/>
  <c r="B181" i="8"/>
  <c r="A182" i="8"/>
  <c r="B182" i="8"/>
  <c r="B836" i="11" s="1"/>
  <c r="B179" i="8"/>
  <c r="B750" i="11" s="1"/>
  <c r="A179" i="8"/>
  <c r="B174" i="8"/>
  <c r="B173" i="8"/>
  <c r="B162" i="8"/>
  <c r="B156" i="8"/>
  <c r="B150" i="8"/>
  <c r="B144" i="8"/>
  <c r="B143" i="8"/>
  <c r="B142" i="8"/>
  <c r="B137" i="8"/>
  <c r="B136" i="8"/>
  <c r="B135" i="8"/>
  <c r="B133" i="8"/>
  <c r="B132" i="8"/>
  <c r="B127" i="8"/>
  <c r="B126" i="8"/>
  <c r="Q36" i="5"/>
  <c r="Q38" i="5"/>
  <c r="Q40" i="5"/>
  <c r="D141" i="8" s="1"/>
  <c r="Q41" i="5"/>
  <c r="Q42" i="5"/>
  <c r="Q43" i="5"/>
  <c r="Q33" i="5"/>
  <c r="Q34" i="5"/>
  <c r="D128" i="8" s="1"/>
  <c r="Q35" i="5"/>
  <c r="B117" i="8"/>
  <c r="B115" i="8"/>
  <c r="B114" i="8"/>
  <c r="B118" i="8"/>
  <c r="B119" i="8"/>
  <c r="B116" i="8"/>
  <c r="B109" i="8"/>
  <c r="B98" i="8"/>
  <c r="B88" i="8"/>
  <c r="B78" i="8"/>
  <c r="B68" i="8"/>
  <c r="Q8" i="5"/>
  <c r="D15" i="1"/>
  <c r="E15" i="1" s="1"/>
  <c r="D14" i="1"/>
  <c r="I14" i="1" s="1"/>
  <c r="J6" i="10"/>
  <c r="N6" i="10" s="1"/>
  <c r="I6" i="10"/>
  <c r="M6" i="10" s="1"/>
  <c r="H6" i="10"/>
  <c r="L6" i="10" s="1"/>
  <c r="G6" i="10"/>
  <c r="K6" i="10" s="1"/>
  <c r="B63" i="8"/>
  <c r="B61" i="8"/>
  <c r="B61" i="11"/>
  <c r="B41" i="8"/>
  <c r="B31" i="8"/>
  <c r="B21" i="8"/>
  <c r="B11" i="8"/>
  <c r="K85" i="1"/>
  <c r="J4" i="8" s="1"/>
  <c r="Q29" i="5"/>
  <c r="Q28" i="5"/>
  <c r="Q21" i="5"/>
  <c r="L34" i="25"/>
  <c r="M34" i="25" s="1"/>
  <c r="J34" i="25"/>
  <c r="K34" i="25" s="1"/>
  <c r="I23" i="25"/>
  <c r="H34" i="25" s="1"/>
  <c r="G23" i="25"/>
  <c r="F34" i="25" s="1"/>
  <c r="E23" i="25"/>
  <c r="D34" i="25" s="1"/>
  <c r="B34" i="25"/>
  <c r="L33" i="25"/>
  <c r="M33" i="25" s="1"/>
  <c r="K21" i="25"/>
  <c r="J33" i="25" s="1"/>
  <c r="I21" i="25"/>
  <c r="H33" i="25" s="1"/>
  <c r="G21" i="25"/>
  <c r="F33" i="25" s="1"/>
  <c r="E21" i="25"/>
  <c r="D33" i="25" s="1"/>
  <c r="C21" i="25"/>
  <c r="B33" i="25" s="1"/>
  <c r="L32" i="25"/>
  <c r="M32" i="25" s="1"/>
  <c r="K19" i="25"/>
  <c r="J32" i="25" s="1"/>
  <c r="I19" i="25"/>
  <c r="H32" i="25" s="1"/>
  <c r="G19" i="25"/>
  <c r="F32" i="25" s="1"/>
  <c r="E19" i="25"/>
  <c r="D32" i="25" s="1"/>
  <c r="C19" i="25"/>
  <c r="B32" i="25" s="1"/>
  <c r="L31" i="25"/>
  <c r="K17" i="25"/>
  <c r="J31" i="25" s="1"/>
  <c r="I17" i="25"/>
  <c r="H31" i="25" s="1"/>
  <c r="G17" i="25"/>
  <c r="F31" i="25" s="1"/>
  <c r="E17" i="25"/>
  <c r="D31" i="25" s="1"/>
  <c r="C17" i="25"/>
  <c r="B31" i="25" s="1"/>
  <c r="I15" i="25"/>
  <c r="H30" i="25" s="1"/>
  <c r="G15" i="25"/>
  <c r="F30" i="25" s="1"/>
  <c r="C15" i="25"/>
  <c r="B30" i="25" s="1"/>
  <c r="E15" i="25"/>
  <c r="D30" i="25" s="1"/>
  <c r="D80" i="1"/>
  <c r="D79" i="1"/>
  <c r="E79" i="1" s="1"/>
  <c r="D78" i="1"/>
  <c r="E78" i="1" s="1"/>
  <c r="D77" i="1"/>
  <c r="D76" i="1"/>
  <c r="E76" i="1" s="1"/>
  <c r="D75" i="1"/>
  <c r="E75" i="1" s="1"/>
  <c r="D74" i="1"/>
  <c r="D73" i="1"/>
  <c r="D44" i="1"/>
  <c r="E44" i="1" s="1"/>
  <c r="D43" i="1"/>
  <c r="E43" i="1" s="1"/>
  <c r="D42" i="1"/>
  <c r="E42" i="1" s="1"/>
  <c r="D41" i="1"/>
  <c r="E41" i="1" s="1"/>
  <c r="D40" i="1"/>
  <c r="E40" i="1" s="1"/>
  <c r="D39" i="1"/>
  <c r="E39" i="1" s="1"/>
  <c r="D38" i="1"/>
  <c r="E38" i="1" s="1"/>
  <c r="D37" i="1"/>
  <c r="E37" i="1" s="1"/>
  <c r="D71" i="1"/>
  <c r="D70" i="1"/>
  <c r="E70" i="1" s="1"/>
  <c r="D62" i="1"/>
  <c r="D61" i="1"/>
  <c r="E61" i="1" s="1"/>
  <c r="D60" i="1"/>
  <c r="D35" i="1"/>
  <c r="E35" i="1" s="1"/>
  <c r="D34" i="1"/>
  <c r="D26" i="1"/>
  <c r="E26" i="1" s="1"/>
  <c r="D25" i="1"/>
  <c r="E25" i="1" s="1"/>
  <c r="D24" i="1"/>
  <c r="D63" i="1"/>
  <c r="D64" i="1"/>
  <c r="D65" i="1"/>
  <c r="D66" i="1"/>
  <c r="E66" i="1" s="1"/>
  <c r="D67" i="1"/>
  <c r="D68" i="1"/>
  <c r="D69" i="1"/>
  <c r="E69" i="1" s="1"/>
  <c r="D51" i="1"/>
  <c r="E51" i="1" s="1"/>
  <c r="D46" i="1"/>
  <c r="E46" i="1" s="1"/>
  <c r="D27" i="1"/>
  <c r="E27" i="1" s="1"/>
  <c r="D28" i="1"/>
  <c r="E28" i="1" s="1"/>
  <c r="D29" i="1"/>
  <c r="E29" i="1" s="1"/>
  <c r="D30" i="1"/>
  <c r="E30" i="1" s="1"/>
  <c r="D31" i="1"/>
  <c r="E31" i="1" s="1"/>
  <c r="D32" i="1"/>
  <c r="E32" i="1" s="1"/>
  <c r="D33" i="1"/>
  <c r="E33" i="1" s="1"/>
  <c r="F149" i="10"/>
  <c r="F150" i="10"/>
  <c r="F115" i="10"/>
  <c r="M115" i="10" s="1"/>
  <c r="F118" i="10"/>
  <c r="N118" i="10" s="1"/>
  <c r="F64" i="10"/>
  <c r="F69" i="10"/>
  <c r="F74" i="10"/>
  <c r="Q74" i="10" s="1"/>
  <c r="F76" i="10"/>
  <c r="Q76" i="10" s="1"/>
  <c r="F77" i="10"/>
  <c r="F78" i="10"/>
  <c r="F79" i="10"/>
  <c r="F89" i="10"/>
  <c r="N89" i="10" s="1"/>
  <c r="F97" i="10"/>
  <c r="Q97" i="10" s="1"/>
  <c r="F99" i="10"/>
  <c r="Q99" i="10" s="1"/>
  <c r="F100" i="10"/>
  <c r="P100" i="10" s="1"/>
  <c r="F101" i="10"/>
  <c r="M101" i="10" s="1"/>
  <c r="F165" i="10"/>
  <c r="N165" i="10" s="1"/>
  <c r="F167" i="10"/>
  <c r="P167" i="10" s="1"/>
  <c r="F169" i="10"/>
  <c r="M169" i="10" s="1"/>
  <c r="F170" i="10"/>
  <c r="M170" i="10" s="1"/>
  <c r="F171" i="10"/>
  <c r="R171" i="10" s="1"/>
  <c r="F172" i="10"/>
  <c r="F174" i="10"/>
  <c r="R174" i="10" s="1"/>
  <c r="F175" i="10"/>
  <c r="Q175" i="10" s="1"/>
  <c r="M114" i="22"/>
  <c r="F8" i="10"/>
  <c r="F11" i="10"/>
  <c r="F13" i="10"/>
  <c r="F14" i="10"/>
  <c r="M14" i="10" s="1"/>
  <c r="F16" i="10"/>
  <c r="M16" i="10" s="1"/>
  <c r="F17" i="10"/>
  <c r="K17" i="10" s="1"/>
  <c r="F18" i="10"/>
  <c r="N18" i="10" s="1"/>
  <c r="F20" i="10"/>
  <c r="N20" i="10" s="1"/>
  <c r="F21" i="10"/>
  <c r="M21" i="10" s="1"/>
  <c r="F27" i="10"/>
  <c r="L27" i="10" s="1"/>
  <c r="F28" i="10"/>
  <c r="N28" i="10" s="1"/>
  <c r="F30" i="10"/>
  <c r="N30" i="10" s="1"/>
  <c r="I22" i="22"/>
  <c r="G283" i="13"/>
  <c r="F192" i="10"/>
  <c r="F198" i="10"/>
  <c r="F207" i="10"/>
  <c r="R207" i="10" s="1"/>
  <c r="F213" i="10"/>
  <c r="P213" i="10" s="1"/>
  <c r="F214" i="10"/>
  <c r="O214" i="10" s="1"/>
  <c r="F217" i="10"/>
  <c r="R217" i="10" s="1"/>
  <c r="F218" i="10"/>
  <c r="P218" i="10" s="1"/>
  <c r="F219" i="10"/>
  <c r="P219" i="10" s="1"/>
  <c r="F220" i="10"/>
  <c r="P220" i="10" s="1"/>
  <c r="F232" i="10"/>
  <c r="N232" i="10" s="1"/>
  <c r="F241" i="10"/>
  <c r="M241" i="10" s="1"/>
  <c r="F242" i="10"/>
  <c r="F243" i="10"/>
  <c r="F244" i="10"/>
  <c r="O244" i="10" s="1"/>
  <c r="F262" i="10"/>
  <c r="M262" i="10" s="1"/>
  <c r="F263" i="10"/>
  <c r="F266" i="10"/>
  <c r="O266" i="10" s="1"/>
  <c r="F267" i="10"/>
  <c r="M267" i="10" s="1"/>
  <c r="F268" i="10"/>
  <c r="Q268" i="10" s="1"/>
  <c r="F281" i="10"/>
  <c r="F283" i="10"/>
  <c r="F287" i="10"/>
  <c r="F296" i="10"/>
  <c r="F298" i="10"/>
  <c r="G382" i="13"/>
  <c r="R382" i="13" s="1"/>
  <c r="P82" i="22"/>
  <c r="K98" i="22"/>
  <c r="J419" i="11"/>
  <c r="J420" i="11"/>
  <c r="J421" i="11"/>
  <c r="J422" i="11"/>
  <c r="J286" i="11"/>
  <c r="J287" i="11"/>
  <c r="J288" i="11"/>
  <c r="J289" i="11"/>
  <c r="J290" i="11"/>
  <c r="J212" i="11"/>
  <c r="J213" i="11"/>
  <c r="J214" i="11"/>
  <c r="J215" i="11"/>
  <c r="J216" i="11"/>
  <c r="J139" i="11"/>
  <c r="J140" i="11"/>
  <c r="J141" i="11"/>
  <c r="J142" i="11"/>
  <c r="J143" i="11"/>
  <c r="F48" i="10"/>
  <c r="H48" i="10" s="1"/>
  <c r="F52" i="10"/>
  <c r="H52" i="10" s="1"/>
  <c r="F53" i="10"/>
  <c r="H53" i="10" s="1"/>
  <c r="F42" i="22"/>
  <c r="F69" i="11"/>
  <c r="F70" i="11"/>
  <c r="F71" i="11"/>
  <c r="F72" i="11"/>
  <c r="F91" i="11" s="1"/>
  <c r="J75" i="11"/>
  <c r="J76" i="11"/>
  <c r="J77" i="11"/>
  <c r="J78" i="11"/>
  <c r="J30" i="25"/>
  <c r="K30" i="25" s="1"/>
  <c r="L30" i="25"/>
  <c r="M30" i="25" s="1"/>
  <c r="D50" i="1"/>
  <c r="K86" i="1"/>
  <c r="K88" i="1"/>
  <c r="K90" i="1"/>
  <c r="Q10" i="5"/>
  <c r="Q11" i="5"/>
  <c r="Q9" i="5"/>
  <c r="Q12" i="5"/>
  <c r="Q16" i="5"/>
  <c r="Q17" i="5"/>
  <c r="D80" i="8" s="1"/>
  <c r="Q18" i="5"/>
  <c r="D70" i="8" s="1"/>
  <c r="Q19" i="5"/>
  <c r="Q20" i="5"/>
  <c r="D102" i="8" s="1"/>
  <c r="Q23" i="5"/>
  <c r="D110" i="8" s="1"/>
  <c r="AE110" i="8" s="1"/>
  <c r="Q26" i="5"/>
  <c r="Q27" i="5"/>
  <c r="Q24" i="5"/>
  <c r="Q46" i="5"/>
  <c r="D151" i="8" s="1"/>
  <c r="K151" i="8" s="1"/>
  <c r="Q47" i="5"/>
  <c r="D159" i="8" s="1"/>
  <c r="AA159" i="8" s="1"/>
  <c r="Q48" i="5"/>
  <c r="D164" i="8" s="1"/>
  <c r="Q50" i="5"/>
  <c r="Q51" i="5"/>
  <c r="D176" i="8" s="1"/>
  <c r="Q52" i="5"/>
  <c r="Q53" i="5"/>
  <c r="Q54" i="5"/>
  <c r="Q55" i="5"/>
  <c r="Q56" i="5"/>
  <c r="G5" i="13"/>
  <c r="G364" i="13"/>
  <c r="R364" i="13" s="1"/>
  <c r="G8" i="13"/>
  <c r="N51" i="22"/>
  <c r="M151" i="22"/>
  <c r="M100" i="22"/>
  <c r="M138" i="22"/>
  <c r="N56" i="10"/>
  <c r="M56" i="10"/>
  <c r="P138" i="22"/>
  <c r="M31" i="25"/>
  <c r="P152" i="22"/>
  <c r="L23" i="22"/>
  <c r="I17" i="22"/>
  <c r="O179" i="22"/>
  <c r="N179" i="22"/>
  <c r="L18" i="22"/>
  <c r="L51" i="22"/>
  <c r="L30" i="22"/>
  <c r="K30" i="22"/>
  <c r="P100" i="22"/>
  <c r="L100" i="22"/>
  <c r="K152" i="22"/>
  <c r="P60" i="22"/>
  <c r="F62" i="11"/>
  <c r="D63" i="8"/>
  <c r="AE63" i="8" s="1"/>
  <c r="D65" i="8"/>
  <c r="B670" i="11"/>
  <c r="C676" i="11"/>
  <c r="W199" i="8"/>
  <c r="AA165" i="8"/>
  <c r="AA161" i="8"/>
  <c r="AA155" i="8"/>
  <c r="W167" i="8"/>
  <c r="W165" i="8"/>
  <c r="D52" i="1"/>
  <c r="D16" i="1"/>
  <c r="AE97" i="8"/>
  <c r="AE93" i="8"/>
  <c r="AE91" i="8"/>
  <c r="AE89" i="8"/>
  <c r="AE87" i="8"/>
  <c r="AE85" i="8"/>
  <c r="W115" i="8"/>
  <c r="AA107" i="8"/>
  <c r="AA105" i="8"/>
  <c r="AA103" i="8"/>
  <c r="AA101" i="8"/>
  <c r="AA99" i="8"/>
  <c r="AA75" i="8"/>
  <c r="AA73" i="8"/>
  <c r="AA71" i="8"/>
  <c r="AA69" i="8"/>
  <c r="AA62" i="8"/>
  <c r="S107" i="8"/>
  <c r="W105" i="8"/>
  <c r="W103" i="8"/>
  <c r="W101" i="8"/>
  <c r="W99" i="8"/>
  <c r="W97" i="8"/>
  <c r="W75" i="8"/>
  <c r="W71" i="8"/>
  <c r="W69" i="8"/>
  <c r="W62" i="8"/>
  <c r="S115" i="8"/>
  <c r="O115" i="8"/>
  <c r="O107" i="8"/>
  <c r="O105" i="8"/>
  <c r="O103" i="8"/>
  <c r="O101" i="8"/>
  <c r="O99" i="8"/>
  <c r="O77" i="8"/>
  <c r="O73" i="8"/>
  <c r="O71" i="8"/>
  <c r="O69" i="8"/>
  <c r="D17" i="1"/>
  <c r="D53" i="1"/>
  <c r="D55" i="1"/>
  <c r="E55" i="1" s="1"/>
  <c r="D18" i="1"/>
  <c r="N79" i="10" l="1"/>
  <c r="Q79" i="10"/>
  <c r="M78" i="10"/>
  <c r="Q78" i="10"/>
  <c r="P77" i="10"/>
  <c r="Q77" i="10"/>
  <c r="M69" i="10"/>
  <c r="Q69" i="10"/>
  <c r="O64" i="10"/>
  <c r="Q64" i="10"/>
  <c r="M67" i="10"/>
  <c r="Q67" i="10"/>
  <c r="B903" i="11"/>
  <c r="B833" i="11"/>
  <c r="I46" i="1"/>
  <c r="I35" i="1"/>
  <c r="D130" i="8"/>
  <c r="C842" i="11"/>
  <c r="C846" i="11" s="1"/>
  <c r="C760" i="11"/>
  <c r="C765" i="11" s="1"/>
  <c r="D127" i="8"/>
  <c r="G12" i="13"/>
  <c r="P12" i="13" s="1"/>
  <c r="P11" i="13" s="1"/>
  <c r="I28" i="36" s="1"/>
  <c r="I33" i="36" s="1"/>
  <c r="G14" i="13"/>
  <c r="N14" i="13" s="1"/>
  <c r="N13" i="13" s="1"/>
  <c r="I36" i="36" s="1"/>
  <c r="G16" i="13"/>
  <c r="E32" i="25"/>
  <c r="G240" i="13"/>
  <c r="P240" i="13" s="1"/>
  <c r="G231" i="13"/>
  <c r="R231" i="13" s="1"/>
  <c r="G31" i="25"/>
  <c r="C34" i="25"/>
  <c r="C757" i="11"/>
  <c r="C762" i="11" s="1"/>
  <c r="I39" i="1"/>
  <c r="F302" i="11"/>
  <c r="F291" i="11"/>
  <c r="G228" i="13"/>
  <c r="G90" i="13"/>
  <c r="C912" i="11"/>
  <c r="C916" i="11" s="1"/>
  <c r="F916" i="11" s="1"/>
  <c r="C674" i="11"/>
  <c r="K32" i="25"/>
  <c r="G97" i="13"/>
  <c r="S97" i="13" s="1"/>
  <c r="E33" i="25"/>
  <c r="B376" i="11"/>
  <c r="B393" i="11"/>
  <c r="B899" i="11"/>
  <c r="G151" i="13"/>
  <c r="P151" i="13" s="1"/>
  <c r="C592" i="11"/>
  <c r="B94" i="11"/>
  <c r="C593" i="11"/>
  <c r="C759" i="11"/>
  <c r="B115" i="11"/>
  <c r="B667" i="11"/>
  <c r="K31" i="25"/>
  <c r="K33" i="25"/>
  <c r="B465" i="11"/>
  <c r="B468" i="11"/>
  <c r="B123" i="11"/>
  <c r="B905" i="11"/>
  <c r="B669" i="11"/>
  <c r="B26" i="11"/>
  <c r="B402" i="11"/>
  <c r="G118" i="13"/>
  <c r="P118" i="13" s="1"/>
  <c r="G183" i="13"/>
  <c r="R183" i="13" s="1"/>
  <c r="E30" i="25"/>
  <c r="E34" i="25"/>
  <c r="B36" i="11"/>
  <c r="B194" i="11"/>
  <c r="B585" i="11"/>
  <c r="G104" i="13"/>
  <c r="Q104" i="13" s="1"/>
  <c r="I32" i="25"/>
  <c r="G34" i="25"/>
  <c r="B41" i="11"/>
  <c r="B466" i="11"/>
  <c r="B724" i="11"/>
  <c r="B646" i="11"/>
  <c r="B907" i="11"/>
  <c r="B314" i="11"/>
  <c r="I34" i="25"/>
  <c r="B319" i="11"/>
  <c r="B570" i="11"/>
  <c r="B51" i="11"/>
  <c r="C677" i="11"/>
  <c r="C682" i="11" s="1"/>
  <c r="C31" i="25"/>
  <c r="C756" i="11"/>
  <c r="B657" i="11"/>
  <c r="C840" i="11"/>
  <c r="G222" i="13"/>
  <c r="C910" i="11"/>
  <c r="I41" i="1"/>
  <c r="J41" i="1" s="1"/>
  <c r="K41" i="1" s="1"/>
  <c r="C33" i="25"/>
  <c r="G282" i="13"/>
  <c r="N282" i="13" s="1"/>
  <c r="D106" i="8"/>
  <c r="G275" i="13"/>
  <c r="R275" i="13" s="1"/>
  <c r="G381" i="13"/>
  <c r="P381" i="13" s="1"/>
  <c r="B823" i="11"/>
  <c r="G386" i="13"/>
  <c r="Q386" i="13" s="1"/>
  <c r="G267" i="13"/>
  <c r="O267" i="13" s="1"/>
  <c r="G396" i="13"/>
  <c r="P396" i="13" s="1"/>
  <c r="C521" i="11"/>
  <c r="G391" i="13"/>
  <c r="O391" i="13" s="1"/>
  <c r="G259" i="13"/>
  <c r="R259" i="13" s="1"/>
  <c r="G406" i="13"/>
  <c r="N406" i="13" s="1"/>
  <c r="G401" i="13"/>
  <c r="O401" i="13" s="1"/>
  <c r="C911" i="11"/>
  <c r="J8" i="11"/>
  <c r="J7" i="11"/>
  <c r="J9" i="11"/>
  <c r="J10" i="11"/>
  <c r="J11" i="11"/>
  <c r="N16" i="11"/>
  <c r="N14" i="11"/>
  <c r="N15" i="11"/>
  <c r="N17" i="11"/>
  <c r="N13" i="11"/>
  <c r="E14" i="1"/>
  <c r="J14" i="1" s="1"/>
  <c r="K14" i="1" s="1"/>
  <c r="G323" i="13"/>
  <c r="S323" i="13" s="1"/>
  <c r="G79" i="13"/>
  <c r="R79" i="13" s="1"/>
  <c r="I31" i="25"/>
  <c r="C590" i="11"/>
  <c r="C595" i="11" s="1"/>
  <c r="F595" i="11" s="1"/>
  <c r="F618" i="11" s="1"/>
  <c r="C594" i="11"/>
  <c r="I67" i="1"/>
  <c r="E67" i="1"/>
  <c r="I62" i="1"/>
  <c r="E62" i="1"/>
  <c r="I74" i="1"/>
  <c r="E74" i="1"/>
  <c r="I68" i="1"/>
  <c r="E68" i="1"/>
  <c r="I16" i="1"/>
  <c r="E16" i="1"/>
  <c r="I52" i="1"/>
  <c r="E52" i="1"/>
  <c r="I65" i="1"/>
  <c r="E65" i="1"/>
  <c r="I71" i="1"/>
  <c r="E71" i="1"/>
  <c r="I64" i="1"/>
  <c r="E64" i="1"/>
  <c r="I77" i="1"/>
  <c r="E77" i="1"/>
  <c r="I73" i="1"/>
  <c r="E73" i="1"/>
  <c r="I63" i="1"/>
  <c r="E63" i="1"/>
  <c r="I50" i="1"/>
  <c r="E50" i="1"/>
  <c r="I24" i="1"/>
  <c r="E24" i="1"/>
  <c r="I80" i="1"/>
  <c r="E80" i="1"/>
  <c r="I18" i="1"/>
  <c r="E18" i="1"/>
  <c r="I34" i="1"/>
  <c r="E34" i="1"/>
  <c r="I53" i="1"/>
  <c r="E53" i="1"/>
  <c r="J53" i="1" s="1"/>
  <c r="K53" i="1" s="1"/>
  <c r="I17" i="1"/>
  <c r="E17" i="1"/>
  <c r="I60" i="1"/>
  <c r="E60" i="1"/>
  <c r="O213" i="10"/>
  <c r="K30" i="10"/>
  <c r="M213" i="10"/>
  <c r="Q213" i="10"/>
  <c r="P382" i="13"/>
  <c r="R213" i="10"/>
  <c r="N213" i="10"/>
  <c r="O170" i="10"/>
  <c r="N170" i="10"/>
  <c r="K84" i="1"/>
  <c r="I30" i="1"/>
  <c r="J30" i="1" s="1"/>
  <c r="K30" i="1" s="1"/>
  <c r="M79" i="10"/>
  <c r="M30" i="10"/>
  <c r="O79" i="10"/>
  <c r="R268" i="10"/>
  <c r="L30" i="10"/>
  <c r="P79" i="10"/>
  <c r="P97" i="10"/>
  <c r="Q168" i="10"/>
  <c r="N97" i="10"/>
  <c r="M232" i="10"/>
  <c r="P232" i="10"/>
  <c r="N168" i="10"/>
  <c r="O220" i="10"/>
  <c r="M97" i="10"/>
  <c r="M168" i="10"/>
  <c r="R168" i="10"/>
  <c r="O168" i="10"/>
  <c r="M207" i="10"/>
  <c r="Q220" i="10"/>
  <c r="P115" i="10"/>
  <c r="L10" i="10"/>
  <c r="Q115" i="10"/>
  <c r="N115" i="10"/>
  <c r="R163" i="10"/>
  <c r="O69" i="10"/>
  <c r="R115" i="10"/>
  <c r="P69" i="10"/>
  <c r="P64" i="10"/>
  <c r="R64" i="10"/>
  <c r="K12" i="10"/>
  <c r="R97" i="10"/>
  <c r="N64" i="10"/>
  <c r="O97" i="10"/>
  <c r="N220" i="10"/>
  <c r="M233" i="10"/>
  <c r="R79" i="10"/>
  <c r="M99" i="10"/>
  <c r="P233" i="10"/>
  <c r="O233" i="10"/>
  <c r="O115" i="10"/>
  <c r="R220" i="10"/>
  <c r="N233" i="10"/>
  <c r="M220" i="10"/>
  <c r="R233" i="10"/>
  <c r="N175" i="10"/>
  <c r="Q232" i="10"/>
  <c r="R232" i="10"/>
  <c r="O232" i="10"/>
  <c r="M174" i="10"/>
  <c r="Q163" i="10"/>
  <c r="P163" i="10"/>
  <c r="M175" i="10"/>
  <c r="M119" i="10"/>
  <c r="O118" i="10"/>
  <c r="R92" i="10"/>
  <c r="M64" i="10"/>
  <c r="L12" i="10"/>
  <c r="L17" i="10"/>
  <c r="M17" i="10"/>
  <c r="N17" i="10"/>
  <c r="M10" i="10"/>
  <c r="K10" i="10"/>
  <c r="O57" i="22"/>
  <c r="N57" i="22"/>
  <c r="O249" i="13"/>
  <c r="Q249" i="13"/>
  <c r="P249" i="13"/>
  <c r="S249" i="13"/>
  <c r="N382" i="13"/>
  <c r="S382" i="13"/>
  <c r="P78" i="10"/>
  <c r="N78" i="10"/>
  <c r="P259" i="10"/>
  <c r="P266" i="10"/>
  <c r="F80" i="11"/>
  <c r="F221" i="11"/>
  <c r="F79" i="11"/>
  <c r="F88" i="11"/>
  <c r="N266" i="10"/>
  <c r="Q89" i="10"/>
  <c r="P214" i="10"/>
  <c r="M89" i="10"/>
  <c r="R89" i="10"/>
  <c r="M266" i="10"/>
  <c r="O89" i="10"/>
  <c r="R266" i="10"/>
  <c r="P89" i="10"/>
  <c r="Q266" i="10"/>
  <c r="Q211" i="10"/>
  <c r="P119" i="10"/>
  <c r="R119" i="10"/>
  <c r="M27" i="10"/>
  <c r="K27" i="10"/>
  <c r="N27" i="10"/>
  <c r="M20" i="10"/>
  <c r="N235" i="10"/>
  <c r="K20" i="10"/>
  <c r="L20" i="10"/>
  <c r="R235" i="10"/>
  <c r="O171" i="10"/>
  <c r="N21" i="10"/>
  <c r="P169" i="10"/>
  <c r="Q169" i="10"/>
  <c r="M24" i="10"/>
  <c r="K24" i="10"/>
  <c r="L24" i="10"/>
  <c r="M77" i="10"/>
  <c r="O77" i="10"/>
  <c r="R77" i="10"/>
  <c r="N77" i="10"/>
  <c r="O281" i="10"/>
  <c r="M281" i="10"/>
  <c r="R281" i="10"/>
  <c r="Q281" i="10"/>
  <c r="P281" i="10"/>
  <c r="N281" i="10"/>
  <c r="M149" i="10"/>
  <c r="O149" i="10"/>
  <c r="N149" i="10"/>
  <c r="R287" i="10"/>
  <c r="O287" i="10"/>
  <c r="N287" i="10"/>
  <c r="Q287" i="10"/>
  <c r="Q167" i="10"/>
  <c r="O167" i="10"/>
  <c r="N167" i="10"/>
  <c r="M167" i="10"/>
  <c r="R167" i="10"/>
  <c r="R67" i="10"/>
  <c r="Q218" i="10"/>
  <c r="M218" i="10"/>
  <c r="N218" i="10"/>
  <c r="R218" i="10"/>
  <c r="O267" i="10"/>
  <c r="N100" i="10"/>
  <c r="Q267" i="10"/>
  <c r="O195" i="10"/>
  <c r="R267" i="10"/>
  <c r="N267" i="10"/>
  <c r="P267" i="10"/>
  <c r="O218" i="10"/>
  <c r="N13" i="10"/>
  <c r="K13" i="10"/>
  <c r="Q150" i="10"/>
  <c r="R150" i="10"/>
  <c r="M150" i="10"/>
  <c r="N150" i="10"/>
  <c r="P150" i="10"/>
  <c r="O67" i="10"/>
  <c r="M165" i="10"/>
  <c r="R237" i="10"/>
  <c r="Q165" i="10"/>
  <c r="M237" i="10"/>
  <c r="P165" i="10"/>
  <c r="P237" i="10"/>
  <c r="O165" i="10"/>
  <c r="O237" i="10"/>
  <c r="R165" i="10"/>
  <c r="N237" i="10"/>
  <c r="N16" i="10"/>
  <c r="N11" i="10"/>
  <c r="K11" i="10"/>
  <c r="L11" i="10"/>
  <c r="M11" i="10"/>
  <c r="P198" i="10"/>
  <c r="M198" i="10"/>
  <c r="Q198" i="10"/>
  <c r="R198" i="10"/>
  <c r="N198" i="10"/>
  <c r="O198" i="10"/>
  <c r="D131" i="8"/>
  <c r="K131" i="8" s="1"/>
  <c r="D129" i="8"/>
  <c r="K129" i="8" s="1"/>
  <c r="B969" i="11"/>
  <c r="D76" i="8"/>
  <c r="K76" i="8" s="1"/>
  <c r="B575" i="11"/>
  <c r="B740" i="11"/>
  <c r="D157" i="8"/>
  <c r="AA157" i="8" s="1"/>
  <c r="D150" i="8"/>
  <c r="K150" i="8" s="1"/>
  <c r="B754" i="11"/>
  <c r="B671" i="11"/>
  <c r="D86" i="8"/>
  <c r="O86" i="8" s="1"/>
  <c r="D152" i="8"/>
  <c r="K152" i="8" s="1"/>
  <c r="B745" i="11"/>
  <c r="B580" i="11"/>
  <c r="B828" i="11"/>
  <c r="D170" i="8"/>
  <c r="O170" i="8" s="1"/>
  <c r="D168" i="8"/>
  <c r="AA168" i="8" s="1"/>
  <c r="D111" i="8"/>
  <c r="O111" i="8" s="1"/>
  <c r="E17" i="8"/>
  <c r="D166" i="8"/>
  <c r="K166" i="8" s="1"/>
  <c r="D162" i="8"/>
  <c r="AE162" i="8" s="1"/>
  <c r="B965" i="11"/>
  <c r="D160" i="8"/>
  <c r="O160" i="8" s="1"/>
  <c r="B122" i="11"/>
  <c r="B102" i="11"/>
  <c r="B182" i="11"/>
  <c r="B98" i="11"/>
  <c r="B662" i="11"/>
  <c r="D158" i="8"/>
  <c r="AE158" i="8" s="1"/>
  <c r="B584" i="11"/>
  <c r="AA63" i="8"/>
  <c r="B973" i="11"/>
  <c r="B167" i="11"/>
  <c r="D154" i="8"/>
  <c r="K154" i="8" s="1"/>
  <c r="B385" i="11"/>
  <c r="B196" i="11"/>
  <c r="D139" i="8"/>
  <c r="K139" i="8" s="1"/>
  <c r="B240" i="11"/>
  <c r="D153" i="8"/>
  <c r="K153" i="8" s="1"/>
  <c r="B381" i="11"/>
  <c r="B442" i="11"/>
  <c r="D177" i="8"/>
  <c r="S177" i="8" s="1"/>
  <c r="D178" i="8"/>
  <c r="W178" i="8" s="1"/>
  <c r="B588" i="11"/>
  <c r="D175" i="8"/>
  <c r="AA175" i="8" s="1"/>
  <c r="B977" i="11"/>
  <c r="D174" i="8"/>
  <c r="AA174" i="8" s="1"/>
  <c r="B837" i="11"/>
  <c r="D104" i="8"/>
  <c r="AE104" i="8" s="1"/>
  <c r="B904" i="11"/>
  <c r="D180" i="8"/>
  <c r="AE180" i="8" s="1"/>
  <c r="F229" i="11"/>
  <c r="F157" i="11"/>
  <c r="F147" i="11"/>
  <c r="F230" i="11"/>
  <c r="F304" i="11"/>
  <c r="F293" i="11"/>
  <c r="F228" i="11"/>
  <c r="F219" i="11"/>
  <c r="F155" i="11"/>
  <c r="F144" i="11"/>
  <c r="F24" i="11"/>
  <c r="F145" i="11"/>
  <c r="F18" i="11"/>
  <c r="F433" i="11"/>
  <c r="F424" i="11"/>
  <c r="F306" i="11"/>
  <c r="F295" i="11"/>
  <c r="F373" i="11"/>
  <c r="F364" i="11"/>
  <c r="F374" i="11"/>
  <c r="F365" i="11"/>
  <c r="F294" i="11"/>
  <c r="F372" i="11"/>
  <c r="F363" i="11"/>
  <c r="J18" i="11"/>
  <c r="J24" i="11"/>
  <c r="F305" i="11"/>
  <c r="F148" i="11"/>
  <c r="F159" i="11"/>
  <c r="F89" i="11"/>
  <c r="F434" i="11"/>
  <c r="F81" i="11"/>
  <c r="F217" i="11"/>
  <c r="F158" i="11"/>
  <c r="F82" i="11"/>
  <c r="F90" i="11"/>
  <c r="W110" i="8"/>
  <c r="B93" i="11"/>
  <c r="B952" i="11"/>
  <c r="E13" i="8"/>
  <c r="E19" i="8"/>
  <c r="K77" i="8"/>
  <c r="K75" i="8"/>
  <c r="K73" i="8"/>
  <c r="K71" i="8"/>
  <c r="K69" i="8"/>
  <c r="O75" i="8"/>
  <c r="W73" i="8"/>
  <c r="W107" i="8"/>
  <c r="AA77" i="8"/>
  <c r="AE95" i="8"/>
  <c r="AA163" i="8"/>
  <c r="O62" i="8"/>
  <c r="S62" i="8"/>
  <c r="W77" i="8"/>
  <c r="AA79" i="8"/>
  <c r="AA115" i="8"/>
  <c r="AA167" i="8"/>
  <c r="B335" i="11"/>
  <c r="W136" i="8"/>
  <c r="AA102" i="8"/>
  <c r="K115" i="8"/>
  <c r="K165" i="8"/>
  <c r="O79" i="8"/>
  <c r="S71" i="8"/>
  <c r="S69" i="8"/>
  <c r="AA81" i="8"/>
  <c r="AE115" i="8"/>
  <c r="AE99" i="8"/>
  <c r="AA170" i="8"/>
  <c r="O136" i="8"/>
  <c r="K108" i="8"/>
  <c r="K163" i="8"/>
  <c r="O81" i="8"/>
  <c r="S75" i="8"/>
  <c r="W79" i="8"/>
  <c r="S73" i="8"/>
  <c r="AA83" i="8"/>
  <c r="AE62" i="8"/>
  <c r="AE101" i="8"/>
  <c r="K110" i="8"/>
  <c r="AE199" i="8"/>
  <c r="O167" i="8"/>
  <c r="O83" i="8"/>
  <c r="W81" i="8"/>
  <c r="S77" i="8"/>
  <c r="AA85" i="8"/>
  <c r="AE69" i="8"/>
  <c r="AE103" i="8"/>
  <c r="S161" i="8"/>
  <c r="K65" i="8"/>
  <c r="AA199" i="8"/>
  <c r="O141" i="8"/>
  <c r="O85" i="8"/>
  <c r="S81" i="8"/>
  <c r="W83" i="8"/>
  <c r="S79" i="8"/>
  <c r="AA87" i="8"/>
  <c r="AE71" i="8"/>
  <c r="AE105" i="8"/>
  <c r="S163" i="8"/>
  <c r="O171" i="8"/>
  <c r="O159" i="8"/>
  <c r="B262" i="11"/>
  <c r="B729" i="11"/>
  <c r="S136" i="8"/>
  <c r="K107" i="8"/>
  <c r="B188" i="11"/>
  <c r="O87" i="8"/>
  <c r="S85" i="8"/>
  <c r="W85" i="8"/>
  <c r="S83" i="8"/>
  <c r="AE107" i="8"/>
  <c r="S165" i="8"/>
  <c r="O169" i="8"/>
  <c r="AE159" i="8"/>
  <c r="W164" i="8"/>
  <c r="B398" i="11"/>
  <c r="K136" i="8"/>
  <c r="K105" i="8"/>
  <c r="S155" i="8"/>
  <c r="AE73" i="8"/>
  <c r="W87" i="8"/>
  <c r="S87" i="8"/>
  <c r="AA89" i="8"/>
  <c r="AE75" i="8"/>
  <c r="S167" i="8"/>
  <c r="W171" i="8"/>
  <c r="S159" i="8"/>
  <c r="O164" i="8"/>
  <c r="K170" i="8"/>
  <c r="K103" i="8"/>
  <c r="AA110" i="8"/>
  <c r="B459" i="11"/>
  <c r="O89" i="8"/>
  <c r="S91" i="8"/>
  <c r="S89" i="8"/>
  <c r="AA91" i="8"/>
  <c r="AE77" i="8"/>
  <c r="W169" i="8"/>
  <c r="W159" i="8"/>
  <c r="B956" i="11"/>
  <c r="S176" i="8"/>
  <c r="K101" i="8"/>
  <c r="O91" i="8"/>
  <c r="S95" i="8"/>
  <c r="W89" i="8"/>
  <c r="S93" i="8"/>
  <c r="B566" i="11"/>
  <c r="K99" i="8"/>
  <c r="AE155" i="8"/>
  <c r="AA93" i="8"/>
  <c r="O93" i="8"/>
  <c r="W91" i="8"/>
  <c r="S97" i="8"/>
  <c r="AA95" i="8"/>
  <c r="AE79" i="8"/>
  <c r="W155" i="8"/>
  <c r="B886" i="11"/>
  <c r="AE164" i="8"/>
  <c r="K97" i="8"/>
  <c r="AE161" i="8"/>
  <c r="AE81" i="8"/>
  <c r="W161" i="8"/>
  <c r="B812" i="11"/>
  <c r="K141" i="8"/>
  <c r="K95" i="8"/>
  <c r="AE163" i="8"/>
  <c r="O95" i="8"/>
  <c r="S101" i="8"/>
  <c r="W93" i="8"/>
  <c r="S99" i="8"/>
  <c r="AA97" i="8"/>
  <c r="O97" i="8"/>
  <c r="S105" i="8"/>
  <c r="W95" i="8"/>
  <c r="S103" i="8"/>
  <c r="AE83" i="8"/>
  <c r="O110" i="8"/>
  <c r="W163" i="8"/>
  <c r="S199" i="8"/>
  <c r="K79" i="8"/>
  <c r="AE167" i="8"/>
  <c r="AA70" i="8"/>
  <c r="AE70" i="8"/>
  <c r="O80" i="8"/>
  <c r="K80" i="8"/>
  <c r="B407" i="11"/>
  <c r="B124" i="11"/>
  <c r="S110" i="8"/>
  <c r="B895" i="11"/>
  <c r="D116" i="8"/>
  <c r="K116" i="8" s="1"/>
  <c r="B272" i="11"/>
  <c r="D182" i="8"/>
  <c r="B882" i="11"/>
  <c r="B463" i="11"/>
  <c r="E29" i="8"/>
  <c r="B120" i="11"/>
  <c r="B234" i="11"/>
  <c r="E23" i="8"/>
  <c r="D82" i="8"/>
  <c r="O82" i="8" s="1"/>
  <c r="S164" i="8"/>
  <c r="B464" i="11"/>
  <c r="B437" i="11"/>
  <c r="D98" i="8"/>
  <c r="K98" i="8" s="1"/>
  <c r="B562" i="11"/>
  <c r="B268" i="11"/>
  <c r="B161" i="11"/>
  <c r="D74" i="8"/>
  <c r="B341" i="11"/>
  <c r="AA164" i="8"/>
  <c r="B641" i="11"/>
  <c r="D68" i="8"/>
  <c r="D137" i="8"/>
  <c r="O137" i="8" s="1"/>
  <c r="K164" i="8"/>
  <c r="B403" i="11"/>
  <c r="B807" i="11"/>
  <c r="D72" i="8"/>
  <c r="D118" i="8"/>
  <c r="D138" i="8"/>
  <c r="S138" i="8" s="1"/>
  <c r="B308" i="11"/>
  <c r="E25" i="8"/>
  <c r="B345" i="11"/>
  <c r="B734" i="11"/>
  <c r="B651" i="11"/>
  <c r="B817" i="11"/>
  <c r="B960" i="11"/>
  <c r="B890" i="11"/>
  <c r="B406" i="11"/>
  <c r="B271" i="11"/>
  <c r="B193" i="11"/>
  <c r="B344" i="11"/>
  <c r="B467" i="11"/>
  <c r="B198" i="11"/>
  <c r="B119" i="11"/>
  <c r="B267" i="11"/>
  <c r="B340" i="11"/>
  <c r="B270" i="11"/>
  <c r="B405" i="11"/>
  <c r="B343" i="11"/>
  <c r="B269" i="11"/>
  <c r="B121" i="11"/>
  <c r="B235" i="11"/>
  <c r="B438" i="11"/>
  <c r="K62" i="8"/>
  <c r="K81" i="8"/>
  <c r="O165" i="8"/>
  <c r="K167" i="8"/>
  <c r="AE165" i="8"/>
  <c r="K93" i="8"/>
  <c r="K161" i="8"/>
  <c r="S171" i="8"/>
  <c r="K91" i="8"/>
  <c r="K155" i="8"/>
  <c r="S169" i="8"/>
  <c r="K89" i="8"/>
  <c r="K199" i="8"/>
  <c r="O199" i="8"/>
  <c r="K87" i="8"/>
  <c r="O155" i="8"/>
  <c r="K85" i="8"/>
  <c r="O161" i="8"/>
  <c r="K83" i="8"/>
  <c r="O163" i="8"/>
  <c r="C909" i="11"/>
  <c r="C913" i="11" s="1"/>
  <c r="C839" i="11"/>
  <c r="Q283" i="10"/>
  <c r="R283" i="10"/>
  <c r="O283" i="10"/>
  <c r="P283" i="10"/>
  <c r="M283" i="10"/>
  <c r="N283" i="10"/>
  <c r="K70" i="8"/>
  <c r="O70" i="8"/>
  <c r="P263" i="10"/>
  <c r="M263" i="10"/>
  <c r="Q263" i="10"/>
  <c r="I69" i="1"/>
  <c r="AA65" i="8"/>
  <c r="W65" i="8"/>
  <c r="S65" i="8"/>
  <c r="O65" i="8"/>
  <c r="Q262" i="10"/>
  <c r="R262" i="10"/>
  <c r="N262" i="10"/>
  <c r="P262" i="10"/>
  <c r="O262" i="10"/>
  <c r="O60" i="22"/>
  <c r="N60" i="22"/>
  <c r="O150" i="10"/>
  <c r="W63" i="8"/>
  <c r="K63" i="8"/>
  <c r="S63" i="8"/>
  <c r="O63" i="8"/>
  <c r="D31" i="8"/>
  <c r="R175" i="10"/>
  <c r="O175" i="10"/>
  <c r="P175" i="10"/>
  <c r="G143" i="13"/>
  <c r="S143" i="13" s="1"/>
  <c r="N174" i="10"/>
  <c r="Q174" i="10"/>
  <c r="O174" i="10"/>
  <c r="P174" i="10"/>
  <c r="N101" i="10"/>
  <c r="O101" i="10"/>
  <c r="Q101" i="10"/>
  <c r="E31" i="25"/>
  <c r="C591" i="11"/>
  <c r="M287" i="10"/>
  <c r="P287" i="10"/>
  <c r="L14" i="10"/>
  <c r="N14" i="10"/>
  <c r="K14" i="10"/>
  <c r="M100" i="10"/>
  <c r="O100" i="10"/>
  <c r="R100" i="10"/>
  <c r="Q100" i="10"/>
  <c r="R69" i="10"/>
  <c r="N69" i="10"/>
  <c r="I26" i="1"/>
  <c r="J26" i="1" s="1"/>
  <c r="K26" i="1" s="1"/>
  <c r="M217" i="10"/>
  <c r="Q217" i="10"/>
  <c r="P217" i="10"/>
  <c r="O217" i="10"/>
  <c r="N217" i="10"/>
  <c r="L13" i="10"/>
  <c r="M13" i="10"/>
  <c r="Q149" i="10"/>
  <c r="R149" i="10"/>
  <c r="P149" i="10"/>
  <c r="D114" i="8"/>
  <c r="G188" i="13"/>
  <c r="R188" i="13" s="1"/>
  <c r="P144" i="22"/>
  <c r="O144" i="22"/>
  <c r="M214" i="10"/>
  <c r="R214" i="10"/>
  <c r="N214" i="10"/>
  <c r="Q214" i="10"/>
  <c r="N67" i="10"/>
  <c r="P67" i="10"/>
  <c r="D117" i="8"/>
  <c r="N138" i="22"/>
  <c r="L138" i="22"/>
  <c r="P244" i="10"/>
  <c r="Q244" i="10"/>
  <c r="N244" i="10"/>
  <c r="M244" i="10"/>
  <c r="R244" i="10"/>
  <c r="Q172" i="10"/>
  <c r="R172" i="10"/>
  <c r="M118" i="10"/>
  <c r="P118" i="10"/>
  <c r="R118" i="10"/>
  <c r="Q118" i="10"/>
  <c r="E39" i="8"/>
  <c r="E33" i="8"/>
  <c r="E35" i="8"/>
  <c r="E37" i="8"/>
  <c r="J22" i="1"/>
  <c r="K22" i="1" s="1"/>
  <c r="J58" i="1"/>
  <c r="K58" i="1" s="1"/>
  <c r="R99" i="10"/>
  <c r="O99" i="10"/>
  <c r="N99" i="10"/>
  <c r="P99" i="10"/>
  <c r="C32" i="25"/>
  <c r="C673" i="11"/>
  <c r="C678" i="11" s="1"/>
  <c r="F678" i="11" s="1"/>
  <c r="D132" i="8"/>
  <c r="K132" i="8" s="1"/>
  <c r="Q235" i="10"/>
  <c r="M235" i="10"/>
  <c r="P235" i="10"/>
  <c r="AE65" i="8"/>
  <c r="J39" i="1"/>
  <c r="K39" i="1" s="1"/>
  <c r="AA176" i="8"/>
  <c r="AE176" i="8"/>
  <c r="K176" i="8"/>
  <c r="W176" i="8"/>
  <c r="O176" i="8"/>
  <c r="N207" i="10"/>
  <c r="Q207" i="10"/>
  <c r="P207" i="10"/>
  <c r="O207" i="10"/>
  <c r="M28" i="10"/>
  <c r="K28" i="10"/>
  <c r="L28" i="10"/>
  <c r="K18" i="10"/>
  <c r="G125" i="13"/>
  <c r="N8" i="10"/>
  <c r="K8" i="10"/>
  <c r="Q170" i="10"/>
  <c r="R170" i="10"/>
  <c r="P170" i="10"/>
  <c r="G32" i="25"/>
  <c r="C675" i="11"/>
  <c r="D11" i="8"/>
  <c r="K11" i="8" s="1"/>
  <c r="D126" i="8"/>
  <c r="S126" i="8" s="1"/>
  <c r="B976" i="11"/>
  <c r="B906" i="11"/>
  <c r="B753" i="11"/>
  <c r="B587" i="11"/>
  <c r="O92" i="10"/>
  <c r="N92" i="10"/>
  <c r="M92" i="10"/>
  <c r="P92" i="10"/>
  <c r="D183" i="8"/>
  <c r="K183" i="8" s="1"/>
  <c r="D119" i="8"/>
  <c r="B454" i="11"/>
  <c r="O151" i="22"/>
  <c r="L151" i="22"/>
  <c r="P268" i="10"/>
  <c r="O268" i="10"/>
  <c r="M268" i="10"/>
  <c r="N268" i="10"/>
  <c r="I70" i="1"/>
  <c r="B172" i="11"/>
  <c r="B446" i="11"/>
  <c r="B245" i="11"/>
  <c r="B835" i="11"/>
  <c r="B752" i="11"/>
  <c r="B586" i="11"/>
  <c r="B975" i="11"/>
  <c r="O102" i="8"/>
  <c r="D96" i="8"/>
  <c r="D92" i="8"/>
  <c r="D88" i="8"/>
  <c r="D94" i="8"/>
  <c r="D90" i="8"/>
  <c r="I76" i="1"/>
  <c r="J76" i="1" s="1"/>
  <c r="K76" i="1" s="1"/>
  <c r="B450" i="11"/>
  <c r="B106" i="11"/>
  <c r="B324" i="11"/>
  <c r="B389" i="11"/>
  <c r="B177" i="11"/>
  <c r="B250" i="11"/>
  <c r="D143" i="8"/>
  <c r="R219" i="10"/>
  <c r="S102" i="8"/>
  <c r="O263" i="10"/>
  <c r="O241" i="10"/>
  <c r="R241" i="10"/>
  <c r="N241" i="10"/>
  <c r="P241" i="10"/>
  <c r="B255" i="11"/>
  <c r="B110" i="11"/>
  <c r="D142" i="8"/>
  <c r="B668" i="11"/>
  <c r="B834" i="11"/>
  <c r="B751" i="11"/>
  <c r="B974" i="11"/>
  <c r="W102" i="8"/>
  <c r="K102" i="8"/>
  <c r="B329" i="11"/>
  <c r="AE80" i="8"/>
  <c r="AA80" i="8"/>
  <c r="W80" i="8"/>
  <c r="S80" i="8"/>
  <c r="R263" i="10"/>
  <c r="D100" i="8"/>
  <c r="I78" i="1"/>
  <c r="S141" i="8"/>
  <c r="W141" i="8"/>
  <c r="M219" i="10"/>
  <c r="N219" i="10"/>
  <c r="S70" i="8"/>
  <c r="AE102" i="8"/>
  <c r="D78" i="8"/>
  <c r="D64" i="8"/>
  <c r="D67" i="8"/>
  <c r="D84" i="8"/>
  <c r="D66" i="8"/>
  <c r="R78" i="10"/>
  <c r="O78" i="10"/>
  <c r="G33" i="25"/>
  <c r="C758" i="11"/>
  <c r="C763" i="11" s="1"/>
  <c r="Q241" i="10"/>
  <c r="Q219" i="10"/>
  <c r="W70" i="8"/>
  <c r="M172" i="10"/>
  <c r="N263" i="10"/>
  <c r="O219" i="10"/>
  <c r="D179" i="8"/>
  <c r="B404" i="11"/>
  <c r="B195" i="11"/>
  <c r="B342" i="11"/>
  <c r="G111" i="13"/>
  <c r="N111" i="13" s="1"/>
  <c r="B197" i="11"/>
  <c r="I25" i="22"/>
  <c r="I27" i="1"/>
  <c r="J27" i="1" s="1"/>
  <c r="K27" i="1" s="1"/>
  <c r="N12" i="10"/>
  <c r="B162" i="11"/>
  <c r="I30" i="22"/>
  <c r="D144" i="8"/>
  <c r="D140" i="8"/>
  <c r="I40" i="1"/>
  <c r="J40" i="1" s="1"/>
  <c r="K40" i="1" s="1"/>
  <c r="D135" i="8"/>
  <c r="D181" i="8"/>
  <c r="K181" i="8" s="1"/>
  <c r="I33" i="1"/>
  <c r="J33" i="1" s="1"/>
  <c r="K33" i="1" s="1"/>
  <c r="D133" i="8"/>
  <c r="O133" i="8" s="1"/>
  <c r="C841" i="11"/>
  <c r="I25" i="1"/>
  <c r="J25" i="1" s="1"/>
  <c r="K25" i="1" s="1"/>
  <c r="I42" i="1"/>
  <c r="J42" i="1" s="1"/>
  <c r="K42" i="1" s="1"/>
  <c r="D201" i="8"/>
  <c r="D61" i="8"/>
  <c r="K61" i="8" s="1"/>
  <c r="D200" i="8"/>
  <c r="M51" i="22"/>
  <c r="D51" i="8"/>
  <c r="K51" i="8" s="1"/>
  <c r="B309" i="11"/>
  <c r="P51" i="22"/>
  <c r="D112" i="8"/>
  <c r="D21" i="8"/>
  <c r="D198" i="8"/>
  <c r="I33" i="25"/>
  <c r="B377" i="11"/>
  <c r="D113" i="8"/>
  <c r="D156" i="8"/>
  <c r="D197" i="8"/>
  <c r="D109" i="8"/>
  <c r="K109" i="8" s="1"/>
  <c r="D41" i="8"/>
  <c r="F762" i="11"/>
  <c r="F435" i="11"/>
  <c r="F156" i="11"/>
  <c r="F231" i="11"/>
  <c r="F371" i="11"/>
  <c r="F423" i="11"/>
  <c r="C681" i="11"/>
  <c r="J35" i="1"/>
  <c r="K35" i="1" s="1"/>
  <c r="I38" i="1"/>
  <c r="J38" i="1" s="1"/>
  <c r="K38" i="1" s="1"/>
  <c r="I75" i="1"/>
  <c r="I79" i="1"/>
  <c r="I15" i="1"/>
  <c r="K89" i="1"/>
  <c r="J5" i="8" s="1"/>
  <c r="I31" i="1"/>
  <c r="I51" i="1"/>
  <c r="I66" i="1"/>
  <c r="J66" i="1" s="1"/>
  <c r="K66" i="1" s="1"/>
  <c r="I61" i="1"/>
  <c r="J61" i="1" s="1"/>
  <c r="K61" i="1" s="1"/>
  <c r="I37" i="1"/>
  <c r="J46" i="1"/>
  <c r="K46" i="1" s="1"/>
  <c r="I44" i="1"/>
  <c r="J44" i="1" s="1"/>
  <c r="K44" i="1" s="1"/>
  <c r="F432" i="11"/>
  <c r="F362" i="11"/>
  <c r="F303" i="11"/>
  <c r="F292" i="11"/>
  <c r="D54" i="1"/>
  <c r="E54" i="1" s="1"/>
  <c r="D57" i="1"/>
  <c r="I29" i="1"/>
  <c r="J29" i="1" s="1"/>
  <c r="K29" i="1" s="1"/>
  <c r="K159" i="8"/>
  <c r="D21" i="1"/>
  <c r="E21" i="1" s="1"/>
  <c r="D20" i="1"/>
  <c r="E20" i="1" s="1"/>
  <c r="D19" i="1"/>
  <c r="E19" i="1" s="1"/>
  <c r="G358" i="13"/>
  <c r="Q358" i="13" s="1"/>
  <c r="G313" i="13"/>
  <c r="G73" i="13"/>
  <c r="P73" i="13" s="1"/>
  <c r="G20" i="13"/>
  <c r="Q20" i="13" s="1"/>
  <c r="G53" i="13"/>
  <c r="N53" i="13" s="1"/>
  <c r="G123" i="13"/>
  <c r="O123" i="13" s="1"/>
  <c r="G221" i="13"/>
  <c r="R221" i="13" s="1"/>
  <c r="K62" i="22"/>
  <c r="I19" i="22"/>
  <c r="O62" i="22"/>
  <c r="I24" i="22"/>
  <c r="M82" i="22"/>
  <c r="N114" i="22"/>
  <c r="K19" i="22"/>
  <c r="K20" i="22"/>
  <c r="R249" i="13"/>
  <c r="N249" i="13"/>
  <c r="O382" i="13"/>
  <c r="Q382" i="13"/>
  <c r="Q195" i="10"/>
  <c r="N195" i="10"/>
  <c r="R195" i="10"/>
  <c r="M195" i="10"/>
  <c r="Q364" i="13"/>
  <c r="O364" i="13"/>
  <c r="P364" i="13"/>
  <c r="K151" i="22"/>
  <c r="N151" i="22"/>
  <c r="L114" i="22"/>
  <c r="P114" i="22"/>
  <c r="N211" i="10"/>
  <c r="O211" i="10"/>
  <c r="P211" i="10"/>
  <c r="N259" i="10"/>
  <c r="M259" i="10"/>
  <c r="O259" i="10"/>
  <c r="G441" i="13"/>
  <c r="Q441" i="13" s="1"/>
  <c r="G234" i="13"/>
  <c r="G136" i="13"/>
  <c r="G200" i="13"/>
  <c r="G195" i="13"/>
  <c r="G91" i="13"/>
  <c r="G363" i="13"/>
  <c r="R363" i="13" s="1"/>
  <c r="G328" i="13"/>
  <c r="O328" i="13" s="1"/>
  <c r="G75" i="13"/>
  <c r="G56" i="13"/>
  <c r="R56" i="13" s="1"/>
  <c r="G51" i="13"/>
  <c r="G46" i="13"/>
  <c r="G18" i="13"/>
  <c r="G308" i="13"/>
  <c r="G348" i="13"/>
  <c r="G78" i="13"/>
  <c r="G72" i="13"/>
  <c r="G333" i="13"/>
  <c r="G318" i="13"/>
  <c r="O318" i="13" s="1"/>
  <c r="G31" i="13"/>
  <c r="G353" i="13"/>
  <c r="Q353" i="13" s="1"/>
  <c r="G368" i="13"/>
  <c r="O368" i="13" s="1"/>
  <c r="G36" i="13"/>
  <c r="G41" i="13"/>
  <c r="G335" i="13"/>
  <c r="G325" i="13"/>
  <c r="S325" i="13" s="1"/>
  <c r="G320" i="13"/>
  <c r="G315" i="13"/>
  <c r="G22" i="13"/>
  <c r="G32" i="13"/>
  <c r="G344" i="13"/>
  <c r="G354" i="13"/>
  <c r="P354" i="13" s="1"/>
  <c r="G359" i="13"/>
  <c r="G369" i="13"/>
  <c r="P369" i="13" s="1"/>
  <c r="G37" i="13"/>
  <c r="G330" i="13"/>
  <c r="N330" i="13" s="1"/>
  <c r="G58" i="13"/>
  <c r="G48" i="13"/>
  <c r="G349" i="13"/>
  <c r="K97" i="22"/>
  <c r="K80" i="22"/>
  <c r="O113" i="22"/>
  <c r="F130" i="22"/>
  <c r="N154" i="22"/>
  <c r="M166" i="22"/>
  <c r="F38" i="22"/>
  <c r="F131" i="22"/>
  <c r="P115" i="22"/>
  <c r="F39" i="22"/>
  <c r="F40" i="22"/>
  <c r="Q259" i="10"/>
  <c r="P151" i="22"/>
  <c r="M211" i="10"/>
  <c r="K138" i="22"/>
  <c r="K114" i="22"/>
  <c r="O114" i="22"/>
  <c r="K23" i="22"/>
  <c r="K25" i="22"/>
  <c r="L25" i="22"/>
  <c r="L98" i="22"/>
  <c r="I23" i="22"/>
  <c r="N364" i="13"/>
  <c r="S364" i="13"/>
  <c r="O138" i="22"/>
  <c r="G66" i="13"/>
  <c r="M77" i="22"/>
  <c r="G343" i="13"/>
  <c r="G284" i="13"/>
  <c r="G278" i="13"/>
  <c r="R278" i="13" s="1"/>
  <c r="G262" i="13"/>
  <c r="S262" i="13" s="1"/>
  <c r="G63" i="13"/>
  <c r="G43" i="13"/>
  <c r="G174" i="13"/>
  <c r="R174" i="13" s="1"/>
  <c r="G309" i="13"/>
  <c r="Q296" i="10"/>
  <c r="N296" i="10"/>
  <c r="O296" i="10"/>
  <c r="P296" i="10"/>
  <c r="R296" i="10"/>
  <c r="M296" i="10"/>
  <c r="M298" i="10"/>
  <c r="O298" i="10"/>
  <c r="P298" i="10"/>
  <c r="N298" i="10"/>
  <c r="Q298" i="10"/>
  <c r="R298" i="10"/>
  <c r="R192" i="10"/>
  <c r="P192" i="10"/>
  <c r="O192" i="10"/>
  <c r="Q192" i="10"/>
  <c r="N192" i="10"/>
  <c r="M192" i="10"/>
  <c r="N166" i="22"/>
  <c r="J166" i="22"/>
  <c r="M144" i="22"/>
  <c r="L144" i="22"/>
  <c r="K144" i="22"/>
  <c r="N144" i="22"/>
  <c r="L154" i="22"/>
  <c r="K154" i="22"/>
  <c r="L152" i="22"/>
  <c r="N152" i="22"/>
  <c r="O152" i="22"/>
  <c r="M152" i="22"/>
  <c r="M8" i="10"/>
  <c r="L8" i="10"/>
  <c r="M98" i="22"/>
  <c r="N98" i="22"/>
  <c r="P98" i="22"/>
  <c r="O98" i="22"/>
  <c r="N82" i="22"/>
  <c r="O82" i="22"/>
  <c r="L82" i="22"/>
  <c r="K82" i="22"/>
  <c r="L80" i="22"/>
  <c r="M80" i="22"/>
  <c r="L77" i="22"/>
  <c r="L24" i="22"/>
  <c r="K24" i="22"/>
  <c r="K22" i="22"/>
  <c r="J22" i="22"/>
  <c r="L22" i="22"/>
  <c r="K21" i="10"/>
  <c r="L21" i="10"/>
  <c r="M18" i="10"/>
  <c r="L18" i="10"/>
  <c r="K16" i="10"/>
  <c r="L16" i="10"/>
  <c r="L113" i="22"/>
  <c r="M113" i="22"/>
  <c r="O172" i="10"/>
  <c r="P172" i="10"/>
  <c r="N172" i="10"/>
  <c r="N171" i="10"/>
  <c r="P171" i="10"/>
  <c r="M171" i="10"/>
  <c r="Q171" i="10"/>
  <c r="N169" i="10"/>
  <c r="R169" i="10"/>
  <c r="O169" i="10"/>
  <c r="P179" i="22"/>
  <c r="K179" i="22"/>
  <c r="M179" i="22"/>
  <c r="K18" i="22"/>
  <c r="I18" i="22"/>
  <c r="J18" i="22"/>
  <c r="O100" i="22"/>
  <c r="N100" i="22"/>
  <c r="K100" i="22"/>
  <c r="M163" i="10"/>
  <c r="N163" i="10"/>
  <c r="O119" i="10"/>
  <c r="N119" i="10"/>
  <c r="L60" i="22"/>
  <c r="L19" i="22"/>
  <c r="M57" i="22"/>
  <c r="P57" i="22"/>
  <c r="N62" i="22"/>
  <c r="K51" i="22"/>
  <c r="K57" i="22"/>
  <c r="J17" i="22"/>
  <c r="L17" i="22"/>
  <c r="G445" i="13"/>
  <c r="G435" i="13"/>
  <c r="G431" i="13"/>
  <c r="G132" i="13"/>
  <c r="N132" i="13" s="1"/>
  <c r="G140" i="13"/>
  <c r="G193" i="13"/>
  <c r="G199" i="13"/>
  <c r="G209" i="13"/>
  <c r="G190" i="13"/>
  <c r="G98" i="13"/>
  <c r="G67" i="13"/>
  <c r="G38" i="13"/>
  <c r="G360" i="13"/>
  <c r="G420" i="13"/>
  <c r="F231" i="10"/>
  <c r="G223" i="13"/>
  <c r="F70" i="10"/>
  <c r="Q70" i="10" s="1"/>
  <c r="F162" i="10"/>
  <c r="P162" i="10" s="1"/>
  <c r="F280" i="10"/>
  <c r="F295" i="10"/>
  <c r="F63" i="10"/>
  <c r="F7" i="10"/>
  <c r="F206" i="10"/>
  <c r="F88" i="10"/>
  <c r="F65" i="10"/>
  <c r="Q65" i="10" s="1"/>
  <c r="F9" i="10"/>
  <c r="F193" i="10"/>
  <c r="F208" i="10"/>
  <c r="F257" i="10"/>
  <c r="F90" i="10"/>
  <c r="F49" i="10"/>
  <c r="H49" i="10" s="1"/>
  <c r="F136" i="10"/>
  <c r="F120" i="10"/>
  <c r="F164" i="10"/>
  <c r="F285" i="10"/>
  <c r="F300" i="10"/>
  <c r="F209" i="10"/>
  <c r="F26" i="10"/>
  <c r="F66" i="10"/>
  <c r="F91" i="10"/>
  <c r="F15" i="10"/>
  <c r="F194" i="10"/>
  <c r="F234" i="10"/>
  <c r="F258" i="10"/>
  <c r="F210" i="10"/>
  <c r="F145" i="10"/>
  <c r="F134" i="10"/>
  <c r="F113" i="10"/>
  <c r="F71" i="10"/>
  <c r="Q71" i="10" s="1"/>
  <c r="F94" i="10"/>
  <c r="F238" i="10"/>
  <c r="N238" i="10" s="1"/>
  <c r="F261" i="10"/>
  <c r="F148" i="10"/>
  <c r="F117" i="10"/>
  <c r="F173" i="10"/>
  <c r="F265" i="10"/>
  <c r="F147" i="10"/>
  <c r="F264" i="10"/>
  <c r="F286" i="10"/>
  <c r="F116" i="10"/>
  <c r="F301" i="10"/>
  <c r="F73" i="10"/>
  <c r="Q73" i="10" s="1"/>
  <c r="F19" i="10"/>
  <c r="F240" i="10"/>
  <c r="F96" i="10"/>
  <c r="F216" i="10"/>
  <c r="F135" i="10"/>
  <c r="F114" i="10"/>
  <c r="F95" i="10"/>
  <c r="F146" i="10"/>
  <c r="F72" i="10"/>
  <c r="Q72" i="10" s="1"/>
  <c r="F197" i="10"/>
  <c r="F215" i="10"/>
  <c r="F239" i="10"/>
  <c r="F133" i="10"/>
  <c r="F112" i="10"/>
  <c r="F68" i="10"/>
  <c r="Q68" i="10" s="1"/>
  <c r="F93" i="10"/>
  <c r="F22" i="10"/>
  <c r="F196" i="10"/>
  <c r="F236" i="10"/>
  <c r="F260" i="10"/>
  <c r="F144" i="10"/>
  <c r="F212" i="10"/>
  <c r="F51" i="10"/>
  <c r="H51" i="10" s="1"/>
  <c r="F288" i="10"/>
  <c r="F302" i="10"/>
  <c r="F75" i="10"/>
  <c r="F98" i="10"/>
  <c r="F29" i="10"/>
  <c r="F23" i="10"/>
  <c r="F284" i="10"/>
  <c r="F299" i="10"/>
  <c r="G205" i="13"/>
  <c r="G178" i="13"/>
  <c r="S178" i="13" s="1"/>
  <c r="G170" i="13"/>
  <c r="G92" i="13"/>
  <c r="G113" i="13"/>
  <c r="G106" i="13"/>
  <c r="G407" i="13"/>
  <c r="G392" i="13"/>
  <c r="G166" i="13"/>
  <c r="G162" i="13"/>
  <c r="G158" i="13"/>
  <c r="G148" i="13"/>
  <c r="G120" i="13"/>
  <c r="S120" i="13" s="1"/>
  <c r="G127" i="13"/>
  <c r="G243" i="13"/>
  <c r="G252" i="13"/>
  <c r="G270" i="13"/>
  <c r="G421" i="13"/>
  <c r="G402" i="13"/>
  <c r="G397" i="13"/>
  <c r="G387" i="13"/>
  <c r="G225" i="13"/>
  <c r="G286" i="13"/>
  <c r="R286" i="13" s="1"/>
  <c r="G413" i="13"/>
  <c r="P413" i="13" s="1"/>
  <c r="G99" i="13"/>
  <c r="G210" i="13"/>
  <c r="G152" i="13"/>
  <c r="G144" i="13"/>
  <c r="G185" i="13"/>
  <c r="G426" i="13"/>
  <c r="N426" i="13" s="1"/>
  <c r="G436" i="13"/>
  <c r="P436" i="13" s="1"/>
  <c r="G446" i="13"/>
  <c r="G440" i="13"/>
  <c r="G119" i="13"/>
  <c r="G126" i="13"/>
  <c r="G204" i="13"/>
  <c r="S204" i="13" s="1"/>
  <c r="G112" i="13"/>
  <c r="G105" i="13"/>
  <c r="G241" i="13"/>
  <c r="G250" i="13"/>
  <c r="G268" i="13"/>
  <c r="G232" i="13"/>
  <c r="G260" i="13"/>
  <c r="G276" i="13"/>
  <c r="G189" i="13"/>
  <c r="G194" i="13"/>
  <c r="G184" i="13"/>
  <c r="G430" i="13"/>
  <c r="G246" i="13"/>
  <c r="G102" i="13"/>
  <c r="G109" i="13"/>
  <c r="G439" i="13"/>
  <c r="G405" i="13"/>
  <c r="G390" i="13"/>
  <c r="G88" i="13"/>
  <c r="G257" i="13"/>
  <c r="G273" i="13"/>
  <c r="G281" i="13"/>
  <c r="G380" i="13"/>
  <c r="G412" i="13"/>
  <c r="G419" i="13"/>
  <c r="G400" i="13"/>
  <c r="G395" i="13"/>
  <c r="G385" i="13"/>
  <c r="G116" i="13"/>
  <c r="G219" i="13"/>
  <c r="G237" i="13"/>
  <c r="G265" i="13"/>
  <c r="G95" i="13"/>
  <c r="G424" i="13"/>
  <c r="G429" i="13"/>
  <c r="G444" i="13"/>
  <c r="P444" i="13" s="1"/>
  <c r="G203" i="13"/>
  <c r="G173" i="13"/>
  <c r="G165" i="13"/>
  <c r="G157" i="13"/>
  <c r="G177" i="13"/>
  <c r="G169" i="13"/>
  <c r="G161" i="13"/>
  <c r="G147" i="13"/>
  <c r="G135" i="13"/>
  <c r="G208" i="13"/>
  <c r="G198" i="13"/>
  <c r="G139" i="13"/>
  <c r="G131" i="13"/>
  <c r="G365" i="13"/>
  <c r="G334" i="13"/>
  <c r="G324" i="13"/>
  <c r="G319" i="13"/>
  <c r="G76" i="13"/>
  <c r="G57" i="13"/>
  <c r="G52" i="13"/>
  <c r="G47" i="13"/>
  <c r="G19" i="13"/>
  <c r="G33" i="13"/>
  <c r="G64" i="13"/>
  <c r="G329" i="13"/>
  <c r="G314" i="13"/>
  <c r="G42" i="13"/>
  <c r="G239" i="13"/>
  <c r="G248" i="13"/>
  <c r="G266" i="13"/>
  <c r="G310" i="13"/>
  <c r="G230" i="13"/>
  <c r="G258" i="13"/>
  <c r="G274" i="13"/>
  <c r="G350" i="13"/>
  <c r="G355" i="13"/>
  <c r="G370" i="13"/>
  <c r="G70" i="13"/>
  <c r="I20" i="22"/>
  <c r="L20" i="22"/>
  <c r="M60" i="22"/>
  <c r="K60" i="22"/>
  <c r="L62" i="22"/>
  <c r="M62" i="22"/>
  <c r="G345" i="13"/>
  <c r="O345" i="13" s="1"/>
  <c r="S283" i="13"/>
  <c r="O283" i="13"/>
  <c r="P283" i="13"/>
  <c r="Q283" i="13"/>
  <c r="N283" i="13"/>
  <c r="R283" i="13"/>
  <c r="N191" i="10"/>
  <c r="O191" i="10"/>
  <c r="M191" i="10"/>
  <c r="P191" i="10"/>
  <c r="Q191" i="10"/>
  <c r="R191" i="10"/>
  <c r="C5" i="5"/>
  <c r="J7" i="8"/>
  <c r="I48" i="8" s="1"/>
  <c r="R101" i="10"/>
  <c r="P101" i="10"/>
  <c r="I32" i="1"/>
  <c r="J32" i="1" s="1"/>
  <c r="K32" i="1" s="1"/>
  <c r="I28" i="1"/>
  <c r="J28" i="1" s="1"/>
  <c r="K28" i="1" s="1"/>
  <c r="I43" i="1"/>
  <c r="J43" i="1" s="1"/>
  <c r="K43" i="1" s="1"/>
  <c r="N76" i="10"/>
  <c r="O76" i="10"/>
  <c r="R76" i="10"/>
  <c r="P76" i="10"/>
  <c r="M76" i="10"/>
  <c r="R74" i="10"/>
  <c r="O74" i="10"/>
  <c r="M74" i="10"/>
  <c r="P74" i="10"/>
  <c r="N74" i="10"/>
  <c r="I55" i="1"/>
  <c r="F765" i="11"/>
  <c r="D56" i="1"/>
  <c r="E56" i="1" s="1"/>
  <c r="O242" i="10"/>
  <c r="R242" i="10"/>
  <c r="M242" i="10"/>
  <c r="N242" i="10"/>
  <c r="P242" i="10"/>
  <c r="Q242" i="10"/>
  <c r="C30" i="25"/>
  <c r="C520" i="11"/>
  <c r="M243" i="10"/>
  <c r="O243" i="10"/>
  <c r="P243" i="10"/>
  <c r="Q243" i="10"/>
  <c r="N243" i="10"/>
  <c r="R243" i="10"/>
  <c r="C522" i="11"/>
  <c r="G30" i="25"/>
  <c r="I30" i="25"/>
  <c r="C523" i="11"/>
  <c r="G434" i="13"/>
  <c r="G425" i="13"/>
  <c r="G69" i="13"/>
  <c r="AE151" i="8"/>
  <c r="W151" i="8"/>
  <c r="S151" i="8"/>
  <c r="AA151" i="8"/>
  <c r="O151" i="8"/>
  <c r="O127" i="8"/>
  <c r="S127" i="8"/>
  <c r="W127" i="8"/>
  <c r="F846" i="11"/>
  <c r="K127" i="8"/>
  <c r="S130" i="8"/>
  <c r="W130" i="8"/>
  <c r="O130" i="8"/>
  <c r="S128" i="8"/>
  <c r="W128" i="8"/>
  <c r="O128" i="8"/>
  <c r="K128" i="8"/>
  <c r="K130" i="8"/>
  <c r="O231" i="13" l="1"/>
  <c r="P231" i="13"/>
  <c r="Q231" i="13"/>
  <c r="N231" i="13"/>
  <c r="S231" i="13"/>
  <c r="F133" i="22"/>
  <c r="N66" i="10"/>
  <c r="Q66" i="10"/>
  <c r="M63" i="10"/>
  <c r="Q63" i="10"/>
  <c r="O75" i="10"/>
  <c r="Q75" i="10"/>
  <c r="C679" i="11"/>
  <c r="S240" i="13"/>
  <c r="O240" i="13"/>
  <c r="Q240" i="13"/>
  <c r="R240" i="13"/>
  <c r="N240" i="13"/>
  <c r="S150" i="8"/>
  <c r="O150" i="8"/>
  <c r="W150" i="8"/>
  <c r="O157" i="8"/>
  <c r="W157" i="8"/>
  <c r="S157" i="8"/>
  <c r="AE157" i="8"/>
  <c r="O126" i="8"/>
  <c r="AE150" i="8"/>
  <c r="AA150" i="8"/>
  <c r="O76" i="8"/>
  <c r="S170" i="8"/>
  <c r="AA86" i="8"/>
  <c r="AE111" i="8"/>
  <c r="K111" i="8"/>
  <c r="W152" i="8"/>
  <c r="K168" i="8"/>
  <c r="S152" i="8"/>
  <c r="AE152" i="8"/>
  <c r="AA152" i="8"/>
  <c r="O152" i="8"/>
  <c r="J51" i="8"/>
  <c r="J61" i="8"/>
  <c r="AE76" i="8"/>
  <c r="O166" i="8"/>
  <c r="AA111" i="8"/>
  <c r="W129" i="8"/>
  <c r="S129" i="8"/>
  <c r="O129" i="8"/>
  <c r="J62" i="1"/>
  <c r="K62" i="1" s="1"/>
  <c r="J60" i="1"/>
  <c r="K60" i="1" s="1"/>
  <c r="J24" i="1"/>
  <c r="K24" i="1" s="1"/>
  <c r="J67" i="1"/>
  <c r="K67" i="1" s="1"/>
  <c r="K6" i="5" s="1"/>
  <c r="J63" i="1"/>
  <c r="K63" i="1" s="1"/>
  <c r="G6" i="5" s="1"/>
  <c r="J52" i="1"/>
  <c r="K52" i="1" s="1"/>
  <c r="J34" i="1"/>
  <c r="K34" i="1" s="1"/>
  <c r="J73" i="1"/>
  <c r="K73" i="1" s="1"/>
  <c r="J16" i="1"/>
  <c r="K16" i="1" s="1"/>
  <c r="O5" i="5" s="1"/>
  <c r="J77" i="1"/>
  <c r="K77" i="1" s="1"/>
  <c r="F6" i="5" s="1"/>
  <c r="S228" i="13"/>
  <c r="P228" i="13"/>
  <c r="O228" i="13"/>
  <c r="N228" i="13"/>
  <c r="Q90" i="13"/>
  <c r="P90" i="13"/>
  <c r="N90" i="13"/>
  <c r="S90" i="13"/>
  <c r="R90" i="13"/>
  <c r="O90" i="13"/>
  <c r="R228" i="13"/>
  <c r="Q228" i="13"/>
  <c r="C597" i="11"/>
  <c r="F597" i="11" s="1"/>
  <c r="F609" i="11" s="1"/>
  <c r="C598" i="11"/>
  <c r="C764" i="11"/>
  <c r="C844" i="11"/>
  <c r="F844" i="11" s="1"/>
  <c r="N222" i="13"/>
  <c r="S222" i="13"/>
  <c r="O222" i="13"/>
  <c r="R222" i="13"/>
  <c r="P222" i="13"/>
  <c r="Q222" i="13"/>
  <c r="C914" i="11"/>
  <c r="F914" i="11" s="1"/>
  <c r="F934" i="11" s="1"/>
  <c r="W106" i="8"/>
  <c r="O106" i="8"/>
  <c r="S106" i="8"/>
  <c r="AA106" i="8"/>
  <c r="AE106" i="8"/>
  <c r="K106" i="8"/>
  <c r="C525" i="11"/>
  <c r="F525" i="11" s="1"/>
  <c r="C599" i="11"/>
  <c r="K182" i="8"/>
  <c r="AE182" i="8"/>
  <c r="O182" i="8"/>
  <c r="P406" i="13"/>
  <c r="N391" i="13"/>
  <c r="S391" i="13"/>
  <c r="Q97" i="13"/>
  <c r="P97" i="13"/>
  <c r="O97" i="13"/>
  <c r="N97" i="13"/>
  <c r="O259" i="13"/>
  <c r="N259" i="13"/>
  <c r="S118" i="13"/>
  <c r="N104" i="13"/>
  <c r="R104" i="13"/>
  <c r="S104" i="13"/>
  <c r="O104" i="13"/>
  <c r="R97" i="13"/>
  <c r="P104" i="13"/>
  <c r="Q118" i="13"/>
  <c r="O118" i="13"/>
  <c r="N118" i="13"/>
  <c r="R118" i="13"/>
  <c r="R391" i="13"/>
  <c r="Q391" i="13"/>
  <c r="P391" i="13"/>
  <c r="S183" i="13"/>
  <c r="Q183" i="13"/>
  <c r="N183" i="13"/>
  <c r="P183" i="13"/>
  <c r="O183" i="13"/>
  <c r="R151" i="13"/>
  <c r="O151" i="13"/>
  <c r="S151" i="13"/>
  <c r="Q151" i="13"/>
  <c r="N151" i="13"/>
  <c r="C761" i="11"/>
  <c r="F761" i="11" s="1"/>
  <c r="F784" i="11" s="1"/>
  <c r="F682" i="11"/>
  <c r="F607" i="11"/>
  <c r="W131" i="8"/>
  <c r="W76" i="8"/>
  <c r="F629" i="11"/>
  <c r="AA76" i="8"/>
  <c r="S131" i="8"/>
  <c r="O131" i="8"/>
  <c r="J80" i="1"/>
  <c r="K80" i="1" s="1"/>
  <c r="J74" i="1"/>
  <c r="K74" i="1" s="1"/>
  <c r="O139" i="8"/>
  <c r="J71" i="1"/>
  <c r="K71" i="1" s="1"/>
  <c r="S76" i="8"/>
  <c r="J17" i="1"/>
  <c r="K17" i="1" s="1"/>
  <c r="P5" i="5" s="1"/>
  <c r="J50" i="1"/>
  <c r="K50" i="1" s="1"/>
  <c r="J65" i="1"/>
  <c r="K65" i="1" s="1"/>
  <c r="I6" i="5" s="1"/>
  <c r="S406" i="13"/>
  <c r="R401" i="13"/>
  <c r="O406" i="13"/>
  <c r="P275" i="13"/>
  <c r="Q259" i="13"/>
  <c r="S259" i="13"/>
  <c r="P259" i="13"/>
  <c r="I28" i="11"/>
  <c r="I33" i="11" s="1"/>
  <c r="N396" i="13"/>
  <c r="I36" i="11"/>
  <c r="S396" i="13"/>
  <c r="O396" i="13"/>
  <c r="R396" i="13"/>
  <c r="Q396" i="13"/>
  <c r="R406" i="13"/>
  <c r="Q282" i="13"/>
  <c r="N401" i="13"/>
  <c r="Q401" i="13"/>
  <c r="P282" i="13"/>
  <c r="S401" i="13"/>
  <c r="S282" i="13"/>
  <c r="P401" i="13"/>
  <c r="Q406" i="13"/>
  <c r="P386" i="13"/>
  <c r="P267" i="13"/>
  <c r="S386" i="13"/>
  <c r="R267" i="13"/>
  <c r="Q267" i="13"/>
  <c r="O386" i="13"/>
  <c r="C915" i="11"/>
  <c r="N275" i="13"/>
  <c r="S267" i="13"/>
  <c r="O275" i="13"/>
  <c r="Q275" i="13"/>
  <c r="O282" i="13"/>
  <c r="R282" i="13"/>
  <c r="W181" i="8"/>
  <c r="S86" i="8"/>
  <c r="Q381" i="13"/>
  <c r="K86" i="8"/>
  <c r="R381" i="13"/>
  <c r="S275" i="13"/>
  <c r="N381" i="13"/>
  <c r="AE86" i="8"/>
  <c r="R386" i="13"/>
  <c r="O381" i="13"/>
  <c r="N386" i="13"/>
  <c r="AE181" i="8"/>
  <c r="N267" i="13"/>
  <c r="P79" i="13"/>
  <c r="S79" i="13"/>
  <c r="Q79" i="13"/>
  <c r="O323" i="13"/>
  <c r="P323" i="13"/>
  <c r="N323" i="13"/>
  <c r="R323" i="13"/>
  <c r="Q323" i="13"/>
  <c r="J13" i="11"/>
  <c r="J15" i="11"/>
  <c r="J16" i="11"/>
  <c r="J14" i="11"/>
  <c r="J17" i="11"/>
  <c r="O79" i="13"/>
  <c r="J18" i="1"/>
  <c r="K18" i="1" s="1"/>
  <c r="J68" i="1"/>
  <c r="K68" i="1" s="1"/>
  <c r="L6" i="5" s="1"/>
  <c r="K162" i="8"/>
  <c r="J64" i="1"/>
  <c r="N79" i="13"/>
  <c r="O162" i="8"/>
  <c r="W162" i="8"/>
  <c r="J19" i="11"/>
  <c r="I57" i="1"/>
  <c r="E57" i="1"/>
  <c r="Q143" i="13"/>
  <c r="P318" i="13"/>
  <c r="N325" i="13"/>
  <c r="G5" i="5"/>
  <c r="J5" i="5"/>
  <c r="Z152" i="8"/>
  <c r="M5" i="5"/>
  <c r="J37" i="1"/>
  <c r="K37" i="1" s="1"/>
  <c r="H5" i="5"/>
  <c r="J6" i="5"/>
  <c r="D5" i="5"/>
  <c r="F5" i="5"/>
  <c r="O6" i="5"/>
  <c r="E6" i="5"/>
  <c r="I5" i="5"/>
  <c r="L5" i="5"/>
  <c r="P6" i="5"/>
  <c r="J115" i="8"/>
  <c r="E5" i="5"/>
  <c r="Q413" i="13"/>
  <c r="P363" i="13"/>
  <c r="O188" i="13"/>
  <c r="R413" i="13"/>
  <c r="Q318" i="13"/>
  <c r="S413" i="13"/>
  <c r="N441" i="13"/>
  <c r="N188" i="13"/>
  <c r="N436" i="13"/>
  <c r="R325" i="13"/>
  <c r="O426" i="13"/>
  <c r="P426" i="13"/>
  <c r="Q426" i="13"/>
  <c r="R369" i="13"/>
  <c r="S363" i="13"/>
  <c r="O369" i="13"/>
  <c r="P368" i="13"/>
  <c r="S369" i="13"/>
  <c r="S358" i="13"/>
  <c r="O354" i="13"/>
  <c r="R353" i="13"/>
  <c r="S353" i="13"/>
  <c r="P19" i="13"/>
  <c r="R19" i="13"/>
  <c r="O19" i="13"/>
  <c r="N19" i="13"/>
  <c r="Q19" i="13"/>
  <c r="Q286" i="13"/>
  <c r="R204" i="13"/>
  <c r="O178" i="13"/>
  <c r="Q178" i="13"/>
  <c r="R178" i="13"/>
  <c r="R123" i="13"/>
  <c r="P123" i="13"/>
  <c r="N123" i="13"/>
  <c r="S123" i="13"/>
  <c r="S111" i="13"/>
  <c r="P111" i="13"/>
  <c r="Q111" i="13"/>
  <c r="S56" i="13"/>
  <c r="O20" i="13"/>
  <c r="R20" i="13"/>
  <c r="O14" i="13"/>
  <c r="O13" i="13" s="1"/>
  <c r="I37" i="36" s="1"/>
  <c r="Q14" i="13"/>
  <c r="Q13" i="13" s="1"/>
  <c r="I39" i="36" s="1"/>
  <c r="P14" i="13"/>
  <c r="P13" i="13" s="1"/>
  <c r="I38" i="36" s="1"/>
  <c r="R14" i="13"/>
  <c r="R13" i="13" s="1"/>
  <c r="I40" i="36" s="1"/>
  <c r="O12" i="13"/>
  <c r="O11" i="13" s="1"/>
  <c r="I27" i="36" s="1"/>
  <c r="I32" i="36" s="1"/>
  <c r="M115" i="22"/>
  <c r="K115" i="22"/>
  <c r="M97" i="22"/>
  <c r="N97" i="22"/>
  <c r="N221" i="13"/>
  <c r="O221" i="13"/>
  <c r="S221" i="13"/>
  <c r="Q221" i="13"/>
  <c r="O53" i="13"/>
  <c r="S53" i="13"/>
  <c r="Q53" i="13"/>
  <c r="S174" i="13"/>
  <c r="P278" i="13"/>
  <c r="Q278" i="13"/>
  <c r="O278" i="13"/>
  <c r="P132" i="13"/>
  <c r="R120" i="13"/>
  <c r="P20" i="13"/>
  <c r="O63" i="10"/>
  <c r="R238" i="10"/>
  <c r="R66" i="10"/>
  <c r="N63" i="10"/>
  <c r="P63" i="10"/>
  <c r="R63" i="10"/>
  <c r="O238" i="10"/>
  <c r="M75" i="10"/>
  <c r="P75" i="10"/>
  <c r="N75" i="10"/>
  <c r="R75" i="10"/>
  <c r="F763" i="11"/>
  <c r="AA154" i="8"/>
  <c r="W111" i="8"/>
  <c r="K157" i="8"/>
  <c r="O168" i="8"/>
  <c r="K175" i="8"/>
  <c r="W170" i="8"/>
  <c r="S175" i="8"/>
  <c r="K126" i="8"/>
  <c r="O138" i="8"/>
  <c r="AA162" i="8"/>
  <c r="S111" i="8"/>
  <c r="W86" i="8"/>
  <c r="S168" i="8"/>
  <c r="S139" i="8"/>
  <c r="AE166" i="8"/>
  <c r="W166" i="8"/>
  <c r="AA166" i="8"/>
  <c r="O175" i="8"/>
  <c r="O98" i="8"/>
  <c r="W175" i="8"/>
  <c r="AE168" i="8"/>
  <c r="AE175" i="8"/>
  <c r="W168" i="8"/>
  <c r="S166" i="8"/>
  <c r="AE160" i="8"/>
  <c r="O154" i="8"/>
  <c r="S160" i="8"/>
  <c r="S180" i="8"/>
  <c r="AA160" i="8"/>
  <c r="W154" i="8"/>
  <c r="W160" i="8"/>
  <c r="K174" i="8"/>
  <c r="AE177" i="8"/>
  <c r="S182" i="8"/>
  <c r="K160" i="8"/>
  <c r="O158" i="8"/>
  <c r="AE154" i="8"/>
  <c r="S154" i="8"/>
  <c r="W158" i="8"/>
  <c r="W182" i="8"/>
  <c r="O181" i="8"/>
  <c r="AA182" i="8"/>
  <c r="S162" i="8"/>
  <c r="O178" i="8"/>
  <c r="W139" i="8"/>
  <c r="S178" i="8"/>
  <c r="S174" i="8"/>
  <c r="K104" i="8"/>
  <c r="S104" i="8"/>
  <c r="S181" i="8"/>
  <c r="O104" i="8"/>
  <c r="W104" i="8"/>
  <c r="K178" i="8"/>
  <c r="O183" i="8"/>
  <c r="AA181" i="8"/>
  <c r="N154" i="8"/>
  <c r="AA104" i="8"/>
  <c r="AA177" i="8"/>
  <c r="O177" i="8"/>
  <c r="W174" i="8"/>
  <c r="W177" i="8"/>
  <c r="K177" i="8"/>
  <c r="AE183" i="8"/>
  <c r="W153" i="8"/>
  <c r="AA180" i="8"/>
  <c r="O153" i="8"/>
  <c r="AE178" i="8"/>
  <c r="S153" i="8"/>
  <c r="AE153" i="8"/>
  <c r="W180" i="8"/>
  <c r="O174" i="8"/>
  <c r="O180" i="8"/>
  <c r="AA178" i="8"/>
  <c r="AA158" i="8"/>
  <c r="S158" i="8"/>
  <c r="K158" i="8"/>
  <c r="AA153" i="8"/>
  <c r="K180" i="8"/>
  <c r="AE174" i="8"/>
  <c r="C680" i="11"/>
  <c r="C845" i="11"/>
  <c r="F785" i="11"/>
  <c r="F913" i="11"/>
  <c r="F796" i="11"/>
  <c r="F774" i="11"/>
  <c r="AA98" i="8"/>
  <c r="AA116" i="8"/>
  <c r="Z154" i="8"/>
  <c r="V154" i="8"/>
  <c r="AD153" i="8"/>
  <c r="R154" i="8"/>
  <c r="S82" i="8"/>
  <c r="AD152" i="8"/>
  <c r="Z151" i="8"/>
  <c r="R151" i="8"/>
  <c r="N150" i="8"/>
  <c r="J159" i="8"/>
  <c r="K72" i="8"/>
  <c r="AA72" i="8"/>
  <c r="W72" i="8"/>
  <c r="S72" i="8"/>
  <c r="AA82" i="8"/>
  <c r="W98" i="8"/>
  <c r="AE98" i="8"/>
  <c r="K82" i="8"/>
  <c r="AE116" i="8"/>
  <c r="W116" i="8"/>
  <c r="O116" i="8"/>
  <c r="W137" i="8"/>
  <c r="S137" i="8"/>
  <c r="AE82" i="8"/>
  <c r="S116" i="8"/>
  <c r="K137" i="8"/>
  <c r="S133" i="8"/>
  <c r="S132" i="8"/>
  <c r="W133" i="8"/>
  <c r="AE68" i="8"/>
  <c r="K68" i="8"/>
  <c r="AA68" i="8"/>
  <c r="W68" i="8"/>
  <c r="S68" i="8"/>
  <c r="O68" i="8"/>
  <c r="K133" i="8"/>
  <c r="W132" i="8"/>
  <c r="K74" i="8"/>
  <c r="AE74" i="8"/>
  <c r="AA74" i="8"/>
  <c r="S74" i="8"/>
  <c r="W74" i="8"/>
  <c r="O74" i="8"/>
  <c r="O72" i="8"/>
  <c r="K138" i="8"/>
  <c r="W138" i="8"/>
  <c r="O132" i="8"/>
  <c r="W82" i="8"/>
  <c r="S98" i="8"/>
  <c r="S183" i="8"/>
  <c r="W126" i="8"/>
  <c r="W183" i="8"/>
  <c r="AE72" i="8"/>
  <c r="AA183" i="8"/>
  <c r="AE118" i="8"/>
  <c r="AA118" i="8"/>
  <c r="W118" i="8"/>
  <c r="S118" i="8"/>
  <c r="O118" i="8"/>
  <c r="K118" i="8"/>
  <c r="AD151" i="8"/>
  <c r="R150" i="8"/>
  <c r="R153" i="8"/>
  <c r="R152" i="8"/>
  <c r="AD150" i="8"/>
  <c r="J69" i="1"/>
  <c r="K69" i="1" s="1"/>
  <c r="J78" i="1"/>
  <c r="K78" i="1" s="1"/>
  <c r="N151" i="8"/>
  <c r="V156" i="8"/>
  <c r="V151" i="8"/>
  <c r="J70" i="1"/>
  <c r="K70" i="1" s="1"/>
  <c r="N152" i="8"/>
  <c r="N153" i="8"/>
  <c r="V153" i="8"/>
  <c r="Z153" i="8"/>
  <c r="V150" i="8"/>
  <c r="V152" i="8"/>
  <c r="Z150" i="8"/>
  <c r="J130" i="8"/>
  <c r="R128" i="8"/>
  <c r="J131" i="8"/>
  <c r="R127" i="8"/>
  <c r="AD183" i="8"/>
  <c r="N181" i="8"/>
  <c r="V133" i="8"/>
  <c r="V182" i="8"/>
  <c r="N127" i="8"/>
  <c r="Z181" i="8"/>
  <c r="R181" i="8"/>
  <c r="N131" i="8"/>
  <c r="R132" i="8"/>
  <c r="R131" i="8"/>
  <c r="R130" i="8"/>
  <c r="K41" i="8"/>
  <c r="D43" i="8"/>
  <c r="AE61" i="8"/>
  <c r="O61" i="8"/>
  <c r="AA61" i="8"/>
  <c r="W61" i="8"/>
  <c r="S61" i="8"/>
  <c r="J79" i="1"/>
  <c r="K79" i="1" s="1"/>
  <c r="Q188" i="13"/>
  <c r="P188" i="13"/>
  <c r="S188" i="13"/>
  <c r="R143" i="13"/>
  <c r="P143" i="13"/>
  <c r="O143" i="13"/>
  <c r="N143" i="13"/>
  <c r="S132" i="13"/>
  <c r="M162" i="10"/>
  <c r="N278" i="13"/>
  <c r="S198" i="8"/>
  <c r="AE198" i="8"/>
  <c r="AA198" i="8"/>
  <c r="O198" i="8"/>
  <c r="K198" i="8"/>
  <c r="W198" i="8"/>
  <c r="K114" i="8"/>
  <c r="AE114" i="8"/>
  <c r="AA114" i="8"/>
  <c r="W114" i="8"/>
  <c r="S114" i="8"/>
  <c r="O114" i="8"/>
  <c r="C596" i="11"/>
  <c r="O132" i="13"/>
  <c r="N162" i="10"/>
  <c r="S278" i="13"/>
  <c r="O441" i="13"/>
  <c r="S368" i="13"/>
  <c r="P221" i="13"/>
  <c r="N368" i="13"/>
  <c r="D29" i="8"/>
  <c r="K29" i="8" s="1"/>
  <c r="D25" i="8"/>
  <c r="K25" i="8" s="1"/>
  <c r="D27" i="8"/>
  <c r="D23" i="8"/>
  <c r="K21" i="8"/>
  <c r="S179" i="8"/>
  <c r="AA179" i="8"/>
  <c r="AE179" i="8"/>
  <c r="K179" i="8"/>
  <c r="W179" i="8"/>
  <c r="O179" i="8"/>
  <c r="S345" i="13"/>
  <c r="Q368" i="13"/>
  <c r="N20" i="13"/>
  <c r="S90" i="8"/>
  <c r="AE90" i="8"/>
  <c r="AA90" i="8"/>
  <c r="W90" i="8"/>
  <c r="O90" i="8"/>
  <c r="K90" i="8"/>
  <c r="Q345" i="13"/>
  <c r="R368" i="13"/>
  <c r="S109" i="8"/>
  <c r="O109" i="8"/>
  <c r="AE109" i="8"/>
  <c r="AA109" i="8"/>
  <c r="W109" i="8"/>
  <c r="S94" i="8"/>
  <c r="AA94" i="8"/>
  <c r="AE94" i="8"/>
  <c r="O94" i="8"/>
  <c r="W94" i="8"/>
  <c r="K94" i="8"/>
  <c r="R345" i="13"/>
  <c r="N77" i="22"/>
  <c r="W88" i="8"/>
  <c r="O88" i="8"/>
  <c r="AE88" i="8"/>
  <c r="AA88" i="8"/>
  <c r="S88" i="8"/>
  <c r="K88" i="8"/>
  <c r="K197" i="8"/>
  <c r="W197" i="8"/>
  <c r="O197" i="8"/>
  <c r="AA197" i="8"/>
  <c r="AE197" i="8"/>
  <c r="S197" i="8"/>
  <c r="O201" i="8"/>
  <c r="AA201" i="8"/>
  <c r="AE201" i="8"/>
  <c r="W201" i="8"/>
  <c r="S201" i="8"/>
  <c r="K201" i="8"/>
  <c r="K66" i="8"/>
  <c r="W66" i="8"/>
  <c r="O66" i="8"/>
  <c r="AE66" i="8"/>
  <c r="AA66" i="8"/>
  <c r="S66" i="8"/>
  <c r="K92" i="8"/>
  <c r="AE92" i="8"/>
  <c r="AA92" i="8"/>
  <c r="W92" i="8"/>
  <c r="S92" i="8"/>
  <c r="O92" i="8"/>
  <c r="AE84" i="8"/>
  <c r="W84" i="8"/>
  <c r="K84" i="8"/>
  <c r="AA84" i="8"/>
  <c r="O84" i="8"/>
  <c r="S84" i="8"/>
  <c r="AA96" i="8"/>
  <c r="W96" i="8"/>
  <c r="S96" i="8"/>
  <c r="O96" i="8"/>
  <c r="AE96" i="8"/>
  <c r="K96" i="8"/>
  <c r="O112" i="8"/>
  <c r="AE112" i="8"/>
  <c r="AA112" i="8"/>
  <c r="W112" i="8"/>
  <c r="S112" i="8"/>
  <c r="K112" i="8"/>
  <c r="AA67" i="8"/>
  <c r="K67" i="8"/>
  <c r="AE67" i="8"/>
  <c r="W67" i="8"/>
  <c r="S67" i="8"/>
  <c r="O67" i="8"/>
  <c r="N286" i="13"/>
  <c r="N80" i="22"/>
  <c r="N369" i="13"/>
  <c r="Q325" i="13"/>
  <c r="Q73" i="13"/>
  <c r="Q369" i="13"/>
  <c r="P325" i="13"/>
  <c r="O135" i="8"/>
  <c r="W135" i="8"/>
  <c r="K135" i="8"/>
  <c r="S135" i="8"/>
  <c r="K140" i="8"/>
  <c r="W140" i="8"/>
  <c r="S140" i="8"/>
  <c r="O140" i="8"/>
  <c r="AE64" i="8"/>
  <c r="W64" i="8"/>
  <c r="K64" i="8"/>
  <c r="AA64" i="8"/>
  <c r="S64" i="8"/>
  <c r="O64" i="8"/>
  <c r="K119" i="8"/>
  <c r="AE119" i="8"/>
  <c r="AA119" i="8"/>
  <c r="W119" i="8"/>
  <c r="S119" i="8"/>
  <c r="O119" i="8"/>
  <c r="S78" i="8"/>
  <c r="O78" i="8"/>
  <c r="AE78" i="8"/>
  <c r="AA78" i="8"/>
  <c r="W78" i="8"/>
  <c r="K78" i="8"/>
  <c r="W143" i="8"/>
  <c r="O143" i="8"/>
  <c r="S143" i="8"/>
  <c r="K143" i="8"/>
  <c r="K144" i="8"/>
  <c r="W144" i="8"/>
  <c r="O144" i="8"/>
  <c r="S144" i="8"/>
  <c r="K100" i="8"/>
  <c r="S100" i="8"/>
  <c r="AE100" i="8"/>
  <c r="AA100" i="8"/>
  <c r="W100" i="8"/>
  <c r="O100" i="8"/>
  <c r="O262" i="13"/>
  <c r="N363" i="13"/>
  <c r="O325" i="13"/>
  <c r="Q262" i="13"/>
  <c r="Q123" i="13"/>
  <c r="AA156" i="8"/>
  <c r="W156" i="8"/>
  <c r="S156" i="8"/>
  <c r="AE156" i="8"/>
  <c r="O156" i="8"/>
  <c r="K156" i="8"/>
  <c r="O111" i="13"/>
  <c r="R111" i="13"/>
  <c r="Q125" i="13"/>
  <c r="N125" i="13"/>
  <c r="P125" i="13"/>
  <c r="R125" i="13"/>
  <c r="S125" i="13"/>
  <c r="O125" i="13"/>
  <c r="D35" i="8"/>
  <c r="D39" i="8"/>
  <c r="K31" i="8"/>
  <c r="D37" i="8"/>
  <c r="D33" i="8"/>
  <c r="P262" i="13"/>
  <c r="N262" i="13"/>
  <c r="P328" i="13"/>
  <c r="O358" i="13"/>
  <c r="AE113" i="8"/>
  <c r="AA113" i="8"/>
  <c r="W113" i="8"/>
  <c r="S113" i="8"/>
  <c r="O113" i="8"/>
  <c r="K113" i="8"/>
  <c r="S142" i="8"/>
  <c r="O142" i="8"/>
  <c r="K142" i="8"/>
  <c r="W142" i="8"/>
  <c r="S117" i="8"/>
  <c r="K117" i="8"/>
  <c r="AE117" i="8"/>
  <c r="AA117" i="8"/>
  <c r="O117" i="8"/>
  <c r="W117" i="8"/>
  <c r="C843" i="11"/>
  <c r="R262" i="13"/>
  <c r="N328" i="13"/>
  <c r="J15" i="1"/>
  <c r="K15" i="1" s="1"/>
  <c r="S200" i="8"/>
  <c r="O200" i="8"/>
  <c r="W200" i="8"/>
  <c r="K200" i="8"/>
  <c r="AE200" i="8"/>
  <c r="AA200" i="8"/>
  <c r="D13" i="8"/>
  <c r="D17" i="8"/>
  <c r="D19" i="8"/>
  <c r="D15" i="8"/>
  <c r="K15" i="8" s="1"/>
  <c r="F712" i="11"/>
  <c r="F701" i="11"/>
  <c r="F690" i="11"/>
  <c r="F681" i="11"/>
  <c r="J128" i="8"/>
  <c r="V132" i="8"/>
  <c r="V128" i="8"/>
  <c r="V131" i="8"/>
  <c r="V130" i="8"/>
  <c r="J133" i="8"/>
  <c r="J129" i="8"/>
  <c r="AD181" i="8"/>
  <c r="V127" i="8"/>
  <c r="N183" i="8"/>
  <c r="J51" i="1"/>
  <c r="K51" i="1" s="1"/>
  <c r="J31" i="1"/>
  <c r="K31" i="1" s="1"/>
  <c r="J75" i="1"/>
  <c r="K75" i="1" s="1"/>
  <c r="Z183" i="8"/>
  <c r="N133" i="8"/>
  <c r="R126" i="8"/>
  <c r="V181" i="8"/>
  <c r="R182" i="8"/>
  <c r="Z182" i="8"/>
  <c r="R129" i="8"/>
  <c r="N129" i="8"/>
  <c r="N126" i="8"/>
  <c r="J126" i="8"/>
  <c r="R183" i="8"/>
  <c r="N128" i="8"/>
  <c r="N130" i="8"/>
  <c r="J127" i="8"/>
  <c r="N132" i="8"/>
  <c r="V183" i="8"/>
  <c r="J132" i="8"/>
  <c r="N182" i="8"/>
  <c r="R133" i="8"/>
  <c r="V126" i="8"/>
  <c r="AD182" i="8"/>
  <c r="V129" i="8"/>
  <c r="J88" i="8"/>
  <c r="J96" i="8"/>
  <c r="R90" i="8"/>
  <c r="J90" i="8"/>
  <c r="Z94" i="8"/>
  <c r="AD92" i="8"/>
  <c r="V92" i="8"/>
  <c r="R92" i="8"/>
  <c r="Z161" i="8"/>
  <c r="J161" i="8"/>
  <c r="J38" i="8"/>
  <c r="J22" i="8"/>
  <c r="Z155" i="8"/>
  <c r="N155" i="8"/>
  <c r="J40" i="8"/>
  <c r="J24" i="8"/>
  <c r="AD156" i="8"/>
  <c r="J156" i="8"/>
  <c r="R160" i="8"/>
  <c r="N102" i="8"/>
  <c r="Z65" i="8"/>
  <c r="R65" i="8"/>
  <c r="V84" i="8"/>
  <c r="N84" i="8"/>
  <c r="J67" i="8"/>
  <c r="R104" i="8"/>
  <c r="J104" i="8"/>
  <c r="V68" i="8"/>
  <c r="R68" i="8"/>
  <c r="AD76" i="8"/>
  <c r="J76" i="8"/>
  <c r="Z82" i="8"/>
  <c r="Z159" i="8"/>
  <c r="AD170" i="8"/>
  <c r="N170" i="8"/>
  <c r="Z64" i="8"/>
  <c r="AD166" i="8"/>
  <c r="N166" i="8"/>
  <c r="V164" i="8"/>
  <c r="Z197" i="8"/>
  <c r="J197" i="8"/>
  <c r="AD157" i="8"/>
  <c r="N157" i="8"/>
  <c r="J106" i="8"/>
  <c r="V63" i="8"/>
  <c r="N63" i="8"/>
  <c r="N86" i="8"/>
  <c r="AD98" i="8"/>
  <c r="V98" i="8"/>
  <c r="R98" i="8"/>
  <c r="AD72" i="8"/>
  <c r="J72" i="8"/>
  <c r="AD70" i="8"/>
  <c r="R70" i="8"/>
  <c r="J70" i="8"/>
  <c r="Z78" i="8"/>
  <c r="V80" i="8"/>
  <c r="N80" i="8"/>
  <c r="Z158" i="8"/>
  <c r="J158" i="8"/>
  <c r="R162" i="8"/>
  <c r="V168" i="8"/>
  <c r="Z88" i="8"/>
  <c r="Z96" i="8"/>
  <c r="AD61" i="8"/>
  <c r="R61" i="8"/>
  <c r="Z90" i="8"/>
  <c r="AD94" i="8"/>
  <c r="V94" i="8"/>
  <c r="N94" i="8"/>
  <c r="N92" i="8"/>
  <c r="V161" i="8"/>
  <c r="J50" i="8"/>
  <c r="J34" i="8"/>
  <c r="J18" i="8"/>
  <c r="V155" i="8"/>
  <c r="J155" i="8"/>
  <c r="J36" i="8"/>
  <c r="J20" i="8"/>
  <c r="Z156" i="8"/>
  <c r="AD160" i="8"/>
  <c r="N160" i="8"/>
  <c r="J102" i="8"/>
  <c r="V65" i="8"/>
  <c r="N65" i="8"/>
  <c r="AD67" i="8"/>
  <c r="J154" i="8"/>
  <c r="Z104" i="8"/>
  <c r="J68" i="8"/>
  <c r="Z76" i="8"/>
  <c r="V82" i="8"/>
  <c r="R82" i="8"/>
  <c r="V159" i="8"/>
  <c r="Z170" i="8"/>
  <c r="J170" i="8"/>
  <c r="Z166" i="8"/>
  <c r="J166" i="8"/>
  <c r="R164" i="8"/>
  <c r="V197" i="8"/>
  <c r="Z157" i="8"/>
  <c r="J157" i="8"/>
  <c r="Z106" i="8"/>
  <c r="V66" i="8"/>
  <c r="N66" i="8"/>
  <c r="J63" i="8"/>
  <c r="J86" i="8"/>
  <c r="J153" i="8"/>
  <c r="N98" i="8"/>
  <c r="AD74" i="8"/>
  <c r="R74" i="8"/>
  <c r="J74" i="8"/>
  <c r="Z72" i="8"/>
  <c r="Z70" i="8"/>
  <c r="V78" i="8"/>
  <c r="R78" i="8"/>
  <c r="V158" i="8"/>
  <c r="AD162" i="8"/>
  <c r="N162" i="8"/>
  <c r="J150" i="8"/>
  <c r="AD88" i="8"/>
  <c r="V88" i="8"/>
  <c r="R88" i="8"/>
  <c r="AD96" i="8"/>
  <c r="V96" i="8"/>
  <c r="R96" i="8"/>
  <c r="Z61" i="8"/>
  <c r="AD90" i="8"/>
  <c r="V90" i="8"/>
  <c r="N90" i="8"/>
  <c r="J92" i="8"/>
  <c r="R161" i="8"/>
  <c r="J46" i="8"/>
  <c r="J30" i="8"/>
  <c r="J14" i="8"/>
  <c r="R155" i="8"/>
  <c r="J48" i="8"/>
  <c r="J32" i="8"/>
  <c r="J16" i="8"/>
  <c r="R156" i="8"/>
  <c r="Z160" i="8"/>
  <c r="J160" i="8"/>
  <c r="Z102" i="8"/>
  <c r="J65" i="8"/>
  <c r="AD84" i="8"/>
  <c r="R84" i="8"/>
  <c r="J84" i="8"/>
  <c r="Z67" i="8"/>
  <c r="R67" i="8"/>
  <c r="AD104" i="8"/>
  <c r="V104" i="8"/>
  <c r="N104" i="8"/>
  <c r="AD68" i="8"/>
  <c r="V76" i="8"/>
  <c r="R76" i="8"/>
  <c r="N82" i="8"/>
  <c r="AD159" i="8"/>
  <c r="R159" i="8"/>
  <c r="V170" i="8"/>
  <c r="V64" i="8"/>
  <c r="N64" i="8"/>
  <c r="V166" i="8"/>
  <c r="AD164" i="8"/>
  <c r="N164" i="8"/>
  <c r="R197" i="8"/>
  <c r="V157" i="8"/>
  <c r="AD106" i="8"/>
  <c r="V106" i="8"/>
  <c r="R106" i="8"/>
  <c r="AD66" i="8"/>
  <c r="R66" i="8"/>
  <c r="J66" i="8"/>
  <c r="AD63" i="8"/>
  <c r="Z86" i="8"/>
  <c r="J98" i="8"/>
  <c r="Z74" i="8"/>
  <c r="V72" i="8"/>
  <c r="R72" i="8"/>
  <c r="V70" i="8"/>
  <c r="N70" i="8"/>
  <c r="N78" i="8"/>
  <c r="AD80" i="8"/>
  <c r="R80" i="8"/>
  <c r="J80" i="8"/>
  <c r="R158" i="8"/>
  <c r="Z162" i="8"/>
  <c r="J162" i="8"/>
  <c r="AD168" i="8"/>
  <c r="N88" i="8"/>
  <c r="V61" i="8"/>
  <c r="J94" i="8"/>
  <c r="J42" i="8"/>
  <c r="J44" i="8"/>
  <c r="V160" i="8"/>
  <c r="V102" i="8"/>
  <c r="R102" i="8"/>
  <c r="AD65" i="8"/>
  <c r="V67" i="8"/>
  <c r="R170" i="8"/>
  <c r="R64" i="8"/>
  <c r="R166" i="8"/>
  <c r="V74" i="8"/>
  <c r="V162" i="8"/>
  <c r="Z168" i="8"/>
  <c r="AD100" i="8"/>
  <c r="V100" i="8"/>
  <c r="N100" i="8"/>
  <c r="J31" i="8"/>
  <c r="Z200" i="8"/>
  <c r="J200" i="8"/>
  <c r="N156" i="8"/>
  <c r="N67" i="8"/>
  <c r="J64" i="8"/>
  <c r="N197" i="8"/>
  <c r="N74" i="8"/>
  <c r="J78" i="8"/>
  <c r="J168" i="8"/>
  <c r="R94" i="8"/>
  <c r="J26" i="8"/>
  <c r="J28" i="8"/>
  <c r="AD102" i="8"/>
  <c r="N68" i="8"/>
  <c r="AD82" i="8"/>
  <c r="J82" i="8"/>
  <c r="Z164" i="8"/>
  <c r="N106" i="8"/>
  <c r="R63" i="8"/>
  <c r="R168" i="8"/>
  <c r="J21" i="8"/>
  <c r="V200" i="8"/>
  <c r="N96" i="8"/>
  <c r="N161" i="8"/>
  <c r="N159" i="8"/>
  <c r="Z66" i="8"/>
  <c r="J151" i="8"/>
  <c r="AD78" i="8"/>
  <c r="AD200" i="8"/>
  <c r="N200" i="8"/>
  <c r="AD161" i="8"/>
  <c r="AD155" i="8"/>
  <c r="J12" i="8"/>
  <c r="Z84" i="8"/>
  <c r="AD154" i="8"/>
  <c r="Z68" i="8"/>
  <c r="N76" i="8"/>
  <c r="AD64" i="8"/>
  <c r="J164" i="8"/>
  <c r="AD197" i="8"/>
  <c r="Z63" i="8"/>
  <c r="V86" i="8"/>
  <c r="R86" i="8"/>
  <c r="Z98" i="8"/>
  <c r="N72" i="8"/>
  <c r="Z80" i="8"/>
  <c r="AD158" i="8"/>
  <c r="N168" i="8"/>
  <c r="R100" i="8"/>
  <c r="J100" i="8"/>
  <c r="R200" i="8"/>
  <c r="N61" i="8"/>
  <c r="Z92" i="8"/>
  <c r="J152" i="8"/>
  <c r="R157" i="8"/>
  <c r="AD86" i="8"/>
  <c r="N158" i="8"/>
  <c r="Z100" i="8"/>
  <c r="J41" i="8"/>
  <c r="J55" i="1"/>
  <c r="K55" i="1" s="1"/>
  <c r="J109" i="8"/>
  <c r="N143" i="8"/>
  <c r="V140" i="8"/>
  <c r="N135" i="8"/>
  <c r="V141" i="8"/>
  <c r="R142" i="8"/>
  <c r="N137" i="8"/>
  <c r="R140" i="8"/>
  <c r="V144" i="8"/>
  <c r="N136" i="8"/>
  <c r="Z178" i="8"/>
  <c r="V176" i="8"/>
  <c r="V174" i="8"/>
  <c r="R180" i="8"/>
  <c r="J178" i="8"/>
  <c r="J119" i="8"/>
  <c r="Z198" i="8"/>
  <c r="R198" i="8"/>
  <c r="AD175" i="8"/>
  <c r="Z177" i="8"/>
  <c r="V179" i="8"/>
  <c r="N175" i="8"/>
  <c r="J177" i="8"/>
  <c r="J111" i="8"/>
  <c r="J114" i="8"/>
  <c r="R144" i="8"/>
  <c r="Z115" i="8"/>
  <c r="AD110" i="8"/>
  <c r="AD113" i="8"/>
  <c r="N113" i="8"/>
  <c r="AD118" i="8"/>
  <c r="N118" i="8"/>
  <c r="Z111" i="8"/>
  <c r="AD112" i="8"/>
  <c r="R109" i="8"/>
  <c r="R114" i="8"/>
  <c r="AD117" i="8"/>
  <c r="R116" i="8"/>
  <c r="Z119" i="8"/>
  <c r="R119" i="8"/>
  <c r="V142" i="8"/>
  <c r="R138" i="8"/>
  <c r="V138" i="8"/>
  <c r="V135" i="8"/>
  <c r="R136" i="8"/>
  <c r="J142" i="8"/>
  <c r="V139" i="8"/>
  <c r="N138" i="8"/>
  <c r="V143" i="8"/>
  <c r="V136" i="8"/>
  <c r="J198" i="8"/>
  <c r="AD180" i="8"/>
  <c r="V178" i="8"/>
  <c r="R176" i="8"/>
  <c r="R174" i="8"/>
  <c r="N180" i="8"/>
  <c r="J174" i="8"/>
  <c r="J117" i="8"/>
  <c r="AD201" i="8"/>
  <c r="V201" i="8"/>
  <c r="N201" i="8"/>
  <c r="AD177" i="8"/>
  <c r="Z179" i="8"/>
  <c r="R175" i="8"/>
  <c r="N177" i="8"/>
  <c r="J179" i="8"/>
  <c r="J113" i="8"/>
  <c r="J118" i="8"/>
  <c r="V115" i="8"/>
  <c r="Z110" i="8"/>
  <c r="R110" i="8"/>
  <c r="Z113" i="8"/>
  <c r="Z118" i="8"/>
  <c r="R111" i="8"/>
  <c r="Z112" i="8"/>
  <c r="R112" i="8"/>
  <c r="V109" i="8"/>
  <c r="V114" i="8"/>
  <c r="Z117" i="8"/>
  <c r="R117" i="8"/>
  <c r="V116" i="8"/>
  <c r="J137" i="8"/>
  <c r="N142" i="8"/>
  <c r="R143" i="8"/>
  <c r="V137" i="8"/>
  <c r="R141" i="8"/>
  <c r="J139" i="8"/>
  <c r="R139" i="8"/>
  <c r="N140" i="8"/>
  <c r="N139" i="8"/>
  <c r="AD176" i="8"/>
  <c r="AD174" i="8"/>
  <c r="Z180" i="8"/>
  <c r="R178" i="8"/>
  <c r="N176" i="8"/>
  <c r="N174" i="8"/>
  <c r="J180" i="8"/>
  <c r="J110" i="8"/>
  <c r="AD198" i="8"/>
  <c r="V198" i="8"/>
  <c r="N198" i="8"/>
  <c r="AD179" i="8"/>
  <c r="V175" i="8"/>
  <c r="R177" i="8"/>
  <c r="N179" i="8"/>
  <c r="J181" i="8"/>
  <c r="J116" i="8"/>
  <c r="J143" i="8"/>
  <c r="N144" i="8"/>
  <c r="R115" i="8"/>
  <c r="R113" i="8"/>
  <c r="R118" i="8"/>
  <c r="V111" i="8"/>
  <c r="AD109" i="8"/>
  <c r="N109" i="8"/>
  <c r="AD114" i="8"/>
  <c r="N114" i="8"/>
  <c r="AD116" i="8"/>
  <c r="N116" i="8"/>
  <c r="V119" i="8"/>
  <c r="N119" i="8"/>
  <c r="R137" i="8"/>
  <c r="N141" i="8"/>
  <c r="J135" i="8"/>
  <c r="J144" i="8"/>
  <c r="J136" i="8"/>
  <c r="R135" i="8"/>
  <c r="J138" i="8"/>
  <c r="AD178" i="8"/>
  <c r="Z176" i="8"/>
  <c r="Z174" i="8"/>
  <c r="V180" i="8"/>
  <c r="N178" i="8"/>
  <c r="J176" i="8"/>
  <c r="J182" i="8"/>
  <c r="J112" i="8"/>
  <c r="Z201" i="8"/>
  <c r="R201" i="8"/>
  <c r="J201" i="8"/>
  <c r="Z175" i="8"/>
  <c r="V177" i="8"/>
  <c r="R179" i="8"/>
  <c r="J175" i="8"/>
  <c r="J183" i="8"/>
  <c r="J140" i="8"/>
  <c r="J141" i="8"/>
  <c r="AD115" i="8"/>
  <c r="N115" i="8"/>
  <c r="V110" i="8"/>
  <c r="N110" i="8"/>
  <c r="V113" i="8"/>
  <c r="V118" i="8"/>
  <c r="AD111" i="8"/>
  <c r="N111" i="8"/>
  <c r="V112" i="8"/>
  <c r="N112" i="8"/>
  <c r="Z109" i="8"/>
  <c r="Z114" i="8"/>
  <c r="V117" i="8"/>
  <c r="N117" i="8"/>
  <c r="Z116" i="8"/>
  <c r="AD119" i="8"/>
  <c r="I54" i="1"/>
  <c r="I21" i="1"/>
  <c r="J21" i="1" s="1"/>
  <c r="K21" i="1" s="1"/>
  <c r="I19" i="1"/>
  <c r="J19" i="1" s="1"/>
  <c r="K19" i="1" s="1"/>
  <c r="I20" i="1"/>
  <c r="S313" i="13"/>
  <c r="R313" i="13"/>
  <c r="N313" i="13"/>
  <c r="Q313" i="13"/>
  <c r="P313" i="13"/>
  <c r="O313" i="13"/>
  <c r="R53" i="13"/>
  <c r="P53" i="13"/>
  <c r="S73" i="13"/>
  <c r="N73" i="13"/>
  <c r="O73" i="13"/>
  <c r="R73" i="13"/>
  <c r="P358" i="13"/>
  <c r="R358" i="13"/>
  <c r="N358" i="13"/>
  <c r="I50" i="8"/>
  <c r="P345" i="13"/>
  <c r="N345" i="13"/>
  <c r="S426" i="13"/>
  <c r="R426" i="13"/>
  <c r="O413" i="13"/>
  <c r="N413" i="13"/>
  <c r="N178" i="13"/>
  <c r="P178" i="13"/>
  <c r="R132" i="13"/>
  <c r="Q132" i="13"/>
  <c r="Q162" i="10"/>
  <c r="R12" i="13"/>
  <c r="R11" i="13" s="1"/>
  <c r="I30" i="36" s="1"/>
  <c r="I35" i="36" s="1"/>
  <c r="P441" i="13"/>
  <c r="P113" i="22"/>
  <c r="O77" i="22"/>
  <c r="P80" i="22"/>
  <c r="O80" i="22"/>
  <c r="P97" i="22"/>
  <c r="Q328" i="13"/>
  <c r="S328" i="13"/>
  <c r="R328" i="13"/>
  <c r="M154" i="22"/>
  <c r="S318" i="13"/>
  <c r="N318" i="13"/>
  <c r="R318" i="13"/>
  <c r="P174" i="13"/>
  <c r="Q174" i="13"/>
  <c r="O174" i="13"/>
  <c r="N174" i="13"/>
  <c r="Q43" i="13"/>
  <c r="P43" i="13"/>
  <c r="S43" i="13"/>
  <c r="O43" i="13"/>
  <c r="R43" i="13"/>
  <c r="N43" i="13"/>
  <c r="L8" i="22"/>
  <c r="J8" i="22"/>
  <c r="K8" i="22"/>
  <c r="I8" i="22"/>
  <c r="O284" i="13"/>
  <c r="Q284" i="13"/>
  <c r="N284" i="13"/>
  <c r="P284" i="13"/>
  <c r="S284" i="13"/>
  <c r="R284" i="13"/>
  <c r="M64" i="22"/>
  <c r="K64" i="22"/>
  <c r="P64" i="22"/>
  <c r="L64" i="22"/>
  <c r="O64" i="22"/>
  <c r="N64" i="22"/>
  <c r="N167" i="22"/>
  <c r="L167" i="22"/>
  <c r="M167" i="22"/>
  <c r="J167" i="22"/>
  <c r="K167" i="22"/>
  <c r="O61" i="22"/>
  <c r="L61" i="22"/>
  <c r="N61" i="22"/>
  <c r="M61" i="22"/>
  <c r="P61" i="22"/>
  <c r="K61" i="22"/>
  <c r="L178" i="22"/>
  <c r="P178" i="22"/>
  <c r="N178" i="22"/>
  <c r="M178" i="22"/>
  <c r="K178" i="22"/>
  <c r="O178" i="22"/>
  <c r="L140" i="22"/>
  <c r="K140" i="22"/>
  <c r="N140" i="22"/>
  <c r="O140" i="22"/>
  <c r="P140" i="22"/>
  <c r="M140" i="22"/>
  <c r="M177" i="22"/>
  <c r="L177" i="22"/>
  <c r="P177" i="22"/>
  <c r="K177" i="22"/>
  <c r="O177" i="22"/>
  <c r="N177" i="22"/>
  <c r="O141" i="22"/>
  <c r="M141" i="22"/>
  <c r="K141" i="22"/>
  <c r="L141" i="22"/>
  <c r="P141" i="22"/>
  <c r="N141" i="22"/>
  <c r="L59" i="22"/>
  <c r="O59" i="22"/>
  <c r="K59" i="22"/>
  <c r="P59" i="22"/>
  <c r="N59" i="22"/>
  <c r="M59" i="22"/>
  <c r="P81" i="22"/>
  <c r="O81" i="22"/>
  <c r="K81" i="22"/>
  <c r="N81" i="22"/>
  <c r="M81" i="22"/>
  <c r="L81" i="22"/>
  <c r="J9" i="22"/>
  <c r="L9" i="22"/>
  <c r="I9" i="22"/>
  <c r="K9" i="22"/>
  <c r="I7" i="22"/>
  <c r="J7" i="22"/>
  <c r="L7" i="22"/>
  <c r="K7" i="22"/>
  <c r="P16" i="13"/>
  <c r="P15" i="13" s="1"/>
  <c r="I43" i="36" s="1"/>
  <c r="I48" i="36" s="1"/>
  <c r="N16" i="13"/>
  <c r="N15" i="13" s="1"/>
  <c r="I41" i="36" s="1"/>
  <c r="I46" i="36" s="1"/>
  <c r="Q16" i="13"/>
  <c r="Q15" i="13" s="1"/>
  <c r="I44" i="36" s="1"/>
  <c r="I49" i="36" s="1"/>
  <c r="R16" i="13"/>
  <c r="R15" i="13" s="1"/>
  <c r="I45" i="36" s="1"/>
  <c r="I50" i="36" s="1"/>
  <c r="O16" i="13"/>
  <c r="O15" i="13" s="1"/>
  <c r="I42" i="36" s="1"/>
  <c r="I47" i="36" s="1"/>
  <c r="S48" i="13"/>
  <c r="O48" i="13"/>
  <c r="N48" i="13"/>
  <c r="R48" i="13"/>
  <c r="P48" i="13"/>
  <c r="Q48" i="13"/>
  <c r="R330" i="13"/>
  <c r="P330" i="13"/>
  <c r="O330" i="13"/>
  <c r="S330" i="13"/>
  <c r="Q330" i="13"/>
  <c r="R354" i="13"/>
  <c r="N354" i="13"/>
  <c r="S354" i="13"/>
  <c r="Q354" i="13"/>
  <c r="Q32" i="13"/>
  <c r="O32" i="13"/>
  <c r="P32" i="13"/>
  <c r="R32" i="13"/>
  <c r="N32" i="13"/>
  <c r="S32" i="13"/>
  <c r="S315" i="13"/>
  <c r="R315" i="13"/>
  <c r="N315" i="13"/>
  <c r="O315" i="13"/>
  <c r="P315" i="13"/>
  <c r="Q315" i="13"/>
  <c r="S41" i="13"/>
  <c r="Q41" i="13"/>
  <c r="P41" i="13"/>
  <c r="O41" i="13"/>
  <c r="R41" i="13"/>
  <c r="N41" i="13"/>
  <c r="N31" i="13"/>
  <c r="Q31" i="13"/>
  <c r="S31" i="13"/>
  <c r="R31" i="13"/>
  <c r="O31" i="13"/>
  <c r="P31" i="13"/>
  <c r="S333" i="13"/>
  <c r="N333" i="13"/>
  <c r="P333" i="13"/>
  <c r="Q333" i="13"/>
  <c r="R333" i="13"/>
  <c r="O333" i="13"/>
  <c r="S348" i="13"/>
  <c r="P348" i="13"/>
  <c r="Q348" i="13"/>
  <c r="R348" i="13"/>
  <c r="N348" i="13"/>
  <c r="O348" i="13"/>
  <c r="O18" i="13"/>
  <c r="Q18" i="13"/>
  <c r="P18" i="13"/>
  <c r="R18" i="13"/>
  <c r="N18" i="13"/>
  <c r="R51" i="13"/>
  <c r="P51" i="13"/>
  <c r="O51" i="13"/>
  <c r="S51" i="13"/>
  <c r="Q51" i="13"/>
  <c r="N51" i="13"/>
  <c r="S75" i="13"/>
  <c r="R75" i="13"/>
  <c r="N75" i="13"/>
  <c r="Q75" i="13"/>
  <c r="P75" i="13"/>
  <c r="O75" i="13"/>
  <c r="O363" i="13"/>
  <c r="Q363" i="13"/>
  <c r="Q91" i="13"/>
  <c r="N91" i="13"/>
  <c r="R91" i="13"/>
  <c r="O91" i="13"/>
  <c r="P91" i="13"/>
  <c r="S91" i="13"/>
  <c r="P200" i="13"/>
  <c r="Q200" i="13"/>
  <c r="S200" i="13"/>
  <c r="R200" i="13"/>
  <c r="N200" i="13"/>
  <c r="O200" i="13"/>
  <c r="P234" i="13"/>
  <c r="N234" i="13"/>
  <c r="Q234" i="13"/>
  <c r="O234" i="13"/>
  <c r="R234" i="13"/>
  <c r="S234" i="13"/>
  <c r="N309" i="13"/>
  <c r="S309" i="13"/>
  <c r="P309" i="13"/>
  <c r="Q309" i="13"/>
  <c r="O309" i="13"/>
  <c r="R309" i="13"/>
  <c r="P63" i="13"/>
  <c r="N63" i="13"/>
  <c r="S63" i="13"/>
  <c r="R63" i="13"/>
  <c r="O63" i="13"/>
  <c r="Q63" i="13"/>
  <c r="P343" i="13"/>
  <c r="S343" i="13"/>
  <c r="N343" i="13"/>
  <c r="R343" i="13"/>
  <c r="O343" i="13"/>
  <c r="Q343" i="13"/>
  <c r="K77" i="22"/>
  <c r="P77" i="22"/>
  <c r="S66" i="13"/>
  <c r="O66" i="13"/>
  <c r="N66" i="13"/>
  <c r="R66" i="13"/>
  <c r="P66" i="13"/>
  <c r="Q66" i="13"/>
  <c r="M87" i="22"/>
  <c r="N87" i="22"/>
  <c r="P87" i="22"/>
  <c r="L87" i="22"/>
  <c r="O87" i="22"/>
  <c r="K87" i="22"/>
  <c r="P116" i="22"/>
  <c r="K116" i="22"/>
  <c r="O116" i="22"/>
  <c r="L116" i="22"/>
  <c r="M116" i="22"/>
  <c r="N116" i="22"/>
  <c r="M155" i="22"/>
  <c r="L155" i="22"/>
  <c r="K155" i="22"/>
  <c r="N155" i="22"/>
  <c r="P155" i="22"/>
  <c r="O155" i="22"/>
  <c r="N83" i="22"/>
  <c r="M83" i="22"/>
  <c r="L83" i="22"/>
  <c r="K83" i="22"/>
  <c r="O83" i="22"/>
  <c r="P83" i="22"/>
  <c r="L115" i="22"/>
  <c r="O115" i="22"/>
  <c r="N115" i="22"/>
  <c r="I12" i="22"/>
  <c r="L12" i="22"/>
  <c r="J12" i="22"/>
  <c r="K12" i="22"/>
  <c r="L166" i="22"/>
  <c r="K166" i="22"/>
  <c r="O154" i="22"/>
  <c r="P154" i="22"/>
  <c r="K113" i="22"/>
  <c r="N113" i="22"/>
  <c r="M101" i="22"/>
  <c r="P101" i="22"/>
  <c r="O101" i="22"/>
  <c r="K101" i="22"/>
  <c r="L101" i="22"/>
  <c r="N101" i="22"/>
  <c r="O97" i="22"/>
  <c r="L97" i="22"/>
  <c r="M49" i="22"/>
  <c r="K49" i="22"/>
  <c r="L49" i="22"/>
  <c r="O49" i="22"/>
  <c r="P49" i="22"/>
  <c r="N49" i="22"/>
  <c r="N12" i="13"/>
  <c r="N11" i="13" s="1"/>
  <c r="I26" i="36" s="1"/>
  <c r="I31" i="36" s="1"/>
  <c r="Q12" i="13"/>
  <c r="Q11" i="13" s="1"/>
  <c r="I29" i="36" s="1"/>
  <c r="I34" i="36" s="1"/>
  <c r="S349" i="13"/>
  <c r="Q349" i="13"/>
  <c r="R349" i="13"/>
  <c r="P349" i="13"/>
  <c r="O349" i="13"/>
  <c r="N349" i="13"/>
  <c r="R58" i="13"/>
  <c r="Q58" i="13"/>
  <c r="P58" i="13"/>
  <c r="S58" i="13"/>
  <c r="N58" i="13"/>
  <c r="O58" i="13"/>
  <c r="S37" i="13"/>
  <c r="P37" i="13"/>
  <c r="O37" i="13"/>
  <c r="R37" i="13"/>
  <c r="N37" i="13"/>
  <c r="Q37" i="13"/>
  <c r="R359" i="13"/>
  <c r="Q359" i="13"/>
  <c r="P359" i="13"/>
  <c r="S359" i="13"/>
  <c r="N359" i="13"/>
  <c r="O359" i="13"/>
  <c r="Q344" i="13"/>
  <c r="S344" i="13"/>
  <c r="N344" i="13"/>
  <c r="O344" i="13"/>
  <c r="R344" i="13"/>
  <c r="P344" i="13"/>
  <c r="P22" i="13"/>
  <c r="P21" i="13" s="1"/>
  <c r="R22" i="13"/>
  <c r="R21" i="13" s="1"/>
  <c r="N22" i="13"/>
  <c r="N21" i="13" s="1"/>
  <c r="I61" i="36" s="1"/>
  <c r="O22" i="13"/>
  <c r="O21" i="13" s="1"/>
  <c r="Q22" i="13"/>
  <c r="Q21" i="13" s="1"/>
  <c r="Q320" i="13"/>
  <c r="S320" i="13"/>
  <c r="O320" i="13"/>
  <c r="R320" i="13"/>
  <c r="N320" i="13"/>
  <c r="P320" i="13"/>
  <c r="S335" i="13"/>
  <c r="P335" i="13"/>
  <c r="N335" i="13"/>
  <c r="Q335" i="13"/>
  <c r="R335" i="13"/>
  <c r="O335" i="13"/>
  <c r="S36" i="13"/>
  <c r="Q36" i="13"/>
  <c r="P36" i="13"/>
  <c r="O36" i="13"/>
  <c r="R36" i="13"/>
  <c r="N36" i="13"/>
  <c r="P353" i="13"/>
  <c r="O353" i="13"/>
  <c r="N353" i="13"/>
  <c r="R78" i="13"/>
  <c r="R77" i="13" s="1"/>
  <c r="S78" i="13"/>
  <c r="P78" i="13"/>
  <c r="O78" i="13"/>
  <c r="Q78" i="13"/>
  <c r="N78" i="13"/>
  <c r="N308" i="13"/>
  <c r="Q308" i="13"/>
  <c r="P308" i="13"/>
  <c r="R308" i="13"/>
  <c r="O308" i="13"/>
  <c r="S308" i="13"/>
  <c r="S46" i="13"/>
  <c r="O46" i="13"/>
  <c r="N46" i="13"/>
  <c r="R46" i="13"/>
  <c r="Q46" i="13"/>
  <c r="P46" i="13"/>
  <c r="P56" i="13"/>
  <c r="O56" i="13"/>
  <c r="N56" i="13"/>
  <c r="Q56" i="13"/>
  <c r="S195" i="13"/>
  <c r="P195" i="13"/>
  <c r="Q195" i="13"/>
  <c r="N195" i="13"/>
  <c r="O195" i="13"/>
  <c r="R195" i="13"/>
  <c r="S136" i="13"/>
  <c r="O136" i="13"/>
  <c r="N136" i="13"/>
  <c r="R136" i="13"/>
  <c r="Q136" i="13"/>
  <c r="P136" i="13"/>
  <c r="R441" i="13"/>
  <c r="S441" i="13"/>
  <c r="O131" i="13"/>
  <c r="S131" i="13"/>
  <c r="N131" i="13"/>
  <c r="N130" i="13" s="1"/>
  <c r="I119" i="36" s="1"/>
  <c r="P131" i="13"/>
  <c r="Q131" i="13"/>
  <c r="R131" i="13"/>
  <c r="J16" i="22"/>
  <c r="K16" i="22"/>
  <c r="L16" i="22"/>
  <c r="I16" i="22"/>
  <c r="L85" i="22"/>
  <c r="N85" i="22"/>
  <c r="P85" i="22"/>
  <c r="M85" i="22"/>
  <c r="O85" i="22"/>
  <c r="K85" i="22"/>
  <c r="O99" i="22"/>
  <c r="K99" i="22"/>
  <c r="L99" i="22"/>
  <c r="P99" i="22"/>
  <c r="N99" i="22"/>
  <c r="M99" i="22"/>
  <c r="K169" i="22"/>
  <c r="M169" i="22"/>
  <c r="L169" i="22"/>
  <c r="N169" i="22"/>
  <c r="J169" i="22"/>
  <c r="M180" i="22"/>
  <c r="N180" i="22"/>
  <c r="L180" i="22"/>
  <c r="O180" i="22"/>
  <c r="P180" i="22"/>
  <c r="K180" i="22"/>
  <c r="M79" i="22"/>
  <c r="O79" i="22"/>
  <c r="P79" i="22"/>
  <c r="N79" i="22"/>
  <c r="K79" i="22"/>
  <c r="L79" i="22"/>
  <c r="M63" i="22"/>
  <c r="K63" i="22"/>
  <c r="N63" i="22"/>
  <c r="L63" i="22"/>
  <c r="O63" i="22"/>
  <c r="P63" i="22"/>
  <c r="K165" i="22"/>
  <c r="L165" i="22"/>
  <c r="J165" i="22"/>
  <c r="M165" i="22"/>
  <c r="N165" i="22"/>
  <c r="K50" i="22"/>
  <c r="M50" i="22"/>
  <c r="L50" i="22"/>
  <c r="N50" i="22"/>
  <c r="P50" i="22"/>
  <c r="O50" i="22"/>
  <c r="S70" i="13"/>
  <c r="O70" i="13"/>
  <c r="N70" i="13"/>
  <c r="R70" i="13"/>
  <c r="Q70" i="13"/>
  <c r="P70" i="13"/>
  <c r="S355" i="13"/>
  <c r="P355" i="13"/>
  <c r="N355" i="13"/>
  <c r="R355" i="13"/>
  <c r="Q355" i="13"/>
  <c r="O355" i="13"/>
  <c r="O274" i="13"/>
  <c r="S274" i="13"/>
  <c r="N274" i="13"/>
  <c r="R274" i="13"/>
  <c r="Q274" i="13"/>
  <c r="P274" i="13"/>
  <c r="S230" i="13"/>
  <c r="P230" i="13"/>
  <c r="N230" i="13"/>
  <c r="Q230" i="13"/>
  <c r="R230" i="13"/>
  <c r="O230" i="13"/>
  <c r="P266" i="13"/>
  <c r="R266" i="13"/>
  <c r="S266" i="13"/>
  <c r="Q266" i="13"/>
  <c r="N266" i="13"/>
  <c r="O266" i="13"/>
  <c r="S239" i="13"/>
  <c r="P239" i="13"/>
  <c r="N239" i="13"/>
  <c r="Q239" i="13"/>
  <c r="R239" i="13"/>
  <c r="O239" i="13"/>
  <c r="S314" i="13"/>
  <c r="Q314" i="13"/>
  <c r="R314" i="13"/>
  <c r="P314" i="13"/>
  <c r="O314" i="13"/>
  <c r="N314" i="13"/>
  <c r="P64" i="13"/>
  <c r="O64" i="13"/>
  <c r="Q64" i="13"/>
  <c r="N64" i="13"/>
  <c r="R64" i="13"/>
  <c r="S64" i="13"/>
  <c r="S52" i="13"/>
  <c r="R52" i="13"/>
  <c r="O52" i="13"/>
  <c r="N52" i="13"/>
  <c r="Q52" i="13"/>
  <c r="P52" i="13"/>
  <c r="R76" i="13"/>
  <c r="S76" i="13"/>
  <c r="Q76" i="13"/>
  <c r="P76" i="13"/>
  <c r="O76" i="13"/>
  <c r="N76" i="13"/>
  <c r="Q324" i="13"/>
  <c r="N324" i="13"/>
  <c r="S324" i="13"/>
  <c r="S322" i="13" s="1"/>
  <c r="O324" i="13"/>
  <c r="R324" i="13"/>
  <c r="P324" i="13"/>
  <c r="R365" i="13"/>
  <c r="R362" i="13" s="1"/>
  <c r="N365" i="13"/>
  <c r="O365" i="13"/>
  <c r="S365" i="13"/>
  <c r="Q365" i="13"/>
  <c r="P365" i="13"/>
  <c r="P135" i="13"/>
  <c r="O135" i="13"/>
  <c r="S135" i="13"/>
  <c r="N135" i="13"/>
  <c r="R135" i="13"/>
  <c r="Q135" i="13"/>
  <c r="S161" i="13"/>
  <c r="O161" i="13"/>
  <c r="N161" i="13"/>
  <c r="R161" i="13"/>
  <c r="Q161" i="13"/>
  <c r="P161" i="13"/>
  <c r="O177" i="13"/>
  <c r="P177" i="13"/>
  <c r="S177" i="13"/>
  <c r="Q177" i="13"/>
  <c r="N177" i="13"/>
  <c r="R177" i="13"/>
  <c r="R165" i="13"/>
  <c r="N165" i="13"/>
  <c r="S165" i="13"/>
  <c r="P165" i="13"/>
  <c r="O165" i="13"/>
  <c r="Q165" i="13"/>
  <c r="Q203" i="13"/>
  <c r="N203" i="13"/>
  <c r="S203" i="13"/>
  <c r="O203" i="13"/>
  <c r="P203" i="13"/>
  <c r="R203" i="13"/>
  <c r="N424" i="13"/>
  <c r="O424" i="13"/>
  <c r="P424" i="13"/>
  <c r="Q424" i="13"/>
  <c r="R424" i="13"/>
  <c r="S424" i="13"/>
  <c r="R265" i="13"/>
  <c r="P265" i="13"/>
  <c r="S265" i="13"/>
  <c r="N265" i="13"/>
  <c r="O265" i="13"/>
  <c r="Q265" i="13"/>
  <c r="S219" i="13"/>
  <c r="Q219" i="13"/>
  <c r="P219" i="13"/>
  <c r="O219" i="13"/>
  <c r="N219" i="13"/>
  <c r="R219" i="13"/>
  <c r="S385" i="13"/>
  <c r="R385" i="13"/>
  <c r="N385" i="13"/>
  <c r="Q385" i="13"/>
  <c r="P385" i="13"/>
  <c r="O385" i="13"/>
  <c r="P400" i="13"/>
  <c r="S400" i="13"/>
  <c r="O400" i="13"/>
  <c r="Q400" i="13"/>
  <c r="N400" i="13"/>
  <c r="R400" i="13"/>
  <c r="N412" i="13"/>
  <c r="S412" i="13"/>
  <c r="P412" i="13"/>
  <c r="P411" i="13" s="1"/>
  <c r="Q412" i="13"/>
  <c r="O412" i="13"/>
  <c r="R412" i="13"/>
  <c r="N281" i="13"/>
  <c r="O281" i="13"/>
  <c r="P281" i="13"/>
  <c r="Q281" i="13"/>
  <c r="S281" i="13"/>
  <c r="R281" i="13"/>
  <c r="S257" i="13"/>
  <c r="P257" i="13"/>
  <c r="R257" i="13"/>
  <c r="O257" i="13"/>
  <c r="Q257" i="13"/>
  <c r="N257" i="13"/>
  <c r="O390" i="13"/>
  <c r="Q390" i="13"/>
  <c r="P390" i="13"/>
  <c r="N390" i="13"/>
  <c r="S390" i="13"/>
  <c r="R390" i="13"/>
  <c r="N439" i="13"/>
  <c r="P439" i="13"/>
  <c r="O439" i="13"/>
  <c r="R439" i="13"/>
  <c r="Q439" i="13"/>
  <c r="S439" i="13"/>
  <c r="Q102" i="13"/>
  <c r="P102" i="13"/>
  <c r="S102" i="13"/>
  <c r="O102" i="13"/>
  <c r="N102" i="13"/>
  <c r="R102" i="13"/>
  <c r="S194" i="13"/>
  <c r="Q194" i="13"/>
  <c r="R194" i="13"/>
  <c r="O194" i="13"/>
  <c r="N194" i="13"/>
  <c r="P194" i="13"/>
  <c r="R276" i="13"/>
  <c r="Q276" i="13"/>
  <c r="S276" i="13"/>
  <c r="P276" i="13"/>
  <c r="O276" i="13"/>
  <c r="N276" i="13"/>
  <c r="S232" i="13"/>
  <c r="P232" i="13"/>
  <c r="N232" i="13"/>
  <c r="Q232" i="13"/>
  <c r="R232" i="13"/>
  <c r="O232" i="13"/>
  <c r="S250" i="13"/>
  <c r="P250" i="13"/>
  <c r="N250" i="13"/>
  <c r="R250" i="13"/>
  <c r="O250" i="13"/>
  <c r="Q250" i="13"/>
  <c r="N105" i="13"/>
  <c r="R105" i="13"/>
  <c r="Q105" i="13"/>
  <c r="P105" i="13"/>
  <c r="O105" i="13"/>
  <c r="S105" i="13"/>
  <c r="P204" i="13"/>
  <c r="Q204" i="13"/>
  <c r="N204" i="13"/>
  <c r="O204" i="13"/>
  <c r="O119" i="13"/>
  <c r="Q119" i="13"/>
  <c r="R119" i="13"/>
  <c r="N119" i="13"/>
  <c r="P119" i="13"/>
  <c r="S119" i="13"/>
  <c r="N446" i="13"/>
  <c r="P446" i="13"/>
  <c r="O446" i="13"/>
  <c r="R446" i="13"/>
  <c r="S446" i="13"/>
  <c r="Q446" i="13"/>
  <c r="S144" i="13"/>
  <c r="P144" i="13"/>
  <c r="O144" i="13"/>
  <c r="N144" i="13"/>
  <c r="R144" i="13"/>
  <c r="Q144" i="13"/>
  <c r="N210" i="13"/>
  <c r="O210" i="13"/>
  <c r="P210" i="13"/>
  <c r="Q210" i="13"/>
  <c r="S210" i="13"/>
  <c r="R210" i="13"/>
  <c r="S225" i="13"/>
  <c r="O225" i="13"/>
  <c r="P225" i="13"/>
  <c r="N225" i="13"/>
  <c r="Q225" i="13"/>
  <c r="R225" i="13"/>
  <c r="O397" i="13"/>
  <c r="R397" i="13"/>
  <c r="S397" i="13"/>
  <c r="Q397" i="13"/>
  <c r="N397" i="13"/>
  <c r="P397" i="13"/>
  <c r="N421" i="13"/>
  <c r="O421" i="13"/>
  <c r="S421" i="13"/>
  <c r="Q421" i="13"/>
  <c r="R421" i="13"/>
  <c r="P421" i="13"/>
  <c r="Q252" i="13"/>
  <c r="N252" i="13"/>
  <c r="S252" i="13"/>
  <c r="P252" i="13"/>
  <c r="O252" i="13"/>
  <c r="R252" i="13"/>
  <c r="S127" i="13"/>
  <c r="R127" i="13"/>
  <c r="Q127" i="13"/>
  <c r="P127" i="13"/>
  <c r="O127" i="13"/>
  <c r="N127" i="13"/>
  <c r="R148" i="13"/>
  <c r="S148" i="13"/>
  <c r="Q148" i="13"/>
  <c r="P148" i="13"/>
  <c r="O148" i="13"/>
  <c r="N148" i="13"/>
  <c r="S162" i="13"/>
  <c r="Q162" i="13"/>
  <c r="P162" i="13"/>
  <c r="O162" i="13"/>
  <c r="N162" i="13"/>
  <c r="R162" i="13"/>
  <c r="P392" i="13"/>
  <c r="Q392" i="13"/>
  <c r="N392" i="13"/>
  <c r="O392" i="13"/>
  <c r="R392" i="13"/>
  <c r="S392" i="13"/>
  <c r="S106" i="13"/>
  <c r="Q106" i="13"/>
  <c r="P106" i="13"/>
  <c r="O106" i="13"/>
  <c r="N106" i="13"/>
  <c r="R106" i="13"/>
  <c r="S92" i="13"/>
  <c r="P92" i="13"/>
  <c r="Q92" i="13"/>
  <c r="N92" i="13"/>
  <c r="R92" i="13"/>
  <c r="O92" i="13"/>
  <c r="O299" i="10"/>
  <c r="Q299" i="10"/>
  <c r="M299" i="10"/>
  <c r="R299" i="10"/>
  <c r="N299" i="10"/>
  <c r="P299" i="10"/>
  <c r="K23" i="10"/>
  <c r="N23" i="10"/>
  <c r="L23" i="10"/>
  <c r="M23" i="10"/>
  <c r="R98" i="10"/>
  <c r="M98" i="10"/>
  <c r="Q98" i="10"/>
  <c r="N98" i="10"/>
  <c r="O98" i="10"/>
  <c r="P98" i="10"/>
  <c r="R288" i="10"/>
  <c r="O288" i="10"/>
  <c r="N288" i="10"/>
  <c r="M288" i="10"/>
  <c r="Q288" i="10"/>
  <c r="P288" i="10"/>
  <c r="N212" i="10"/>
  <c r="Q212" i="10"/>
  <c r="P212" i="10"/>
  <c r="O212" i="10"/>
  <c r="M212" i="10"/>
  <c r="R212" i="10"/>
  <c r="R260" i="10"/>
  <c r="O260" i="10"/>
  <c r="Q260" i="10"/>
  <c r="M260" i="10"/>
  <c r="N260" i="10"/>
  <c r="P260" i="10"/>
  <c r="N196" i="10"/>
  <c r="O196" i="10"/>
  <c r="M196" i="10"/>
  <c r="R196" i="10"/>
  <c r="Q196" i="10"/>
  <c r="P196" i="10"/>
  <c r="R93" i="10"/>
  <c r="N93" i="10"/>
  <c r="O93" i="10"/>
  <c r="M93" i="10"/>
  <c r="Q93" i="10"/>
  <c r="P93" i="10"/>
  <c r="Q112" i="10"/>
  <c r="O112" i="10"/>
  <c r="M112" i="10"/>
  <c r="P112" i="10"/>
  <c r="R112" i="10"/>
  <c r="N112" i="10"/>
  <c r="O239" i="10"/>
  <c r="R239" i="10"/>
  <c r="Q239" i="10"/>
  <c r="P239" i="10"/>
  <c r="M239" i="10"/>
  <c r="N239" i="10"/>
  <c r="P197" i="10"/>
  <c r="R197" i="10"/>
  <c r="Q197" i="10"/>
  <c r="O197" i="10"/>
  <c r="N197" i="10"/>
  <c r="M197" i="10"/>
  <c r="R146" i="10"/>
  <c r="Q146" i="10"/>
  <c r="N146" i="10"/>
  <c r="O146" i="10"/>
  <c r="M146" i="10"/>
  <c r="P146" i="10"/>
  <c r="Q114" i="10"/>
  <c r="O114" i="10"/>
  <c r="R114" i="10"/>
  <c r="M114" i="10"/>
  <c r="P114" i="10"/>
  <c r="N114" i="10"/>
  <c r="N216" i="10"/>
  <c r="O216" i="10"/>
  <c r="Q216" i="10"/>
  <c r="R216" i="10"/>
  <c r="M216" i="10"/>
  <c r="P216" i="10"/>
  <c r="Q240" i="10"/>
  <c r="O240" i="10"/>
  <c r="N240" i="10"/>
  <c r="M240" i="10"/>
  <c r="P240" i="10"/>
  <c r="R240" i="10"/>
  <c r="N73" i="10"/>
  <c r="R73" i="10"/>
  <c r="M73" i="10"/>
  <c r="O73" i="10"/>
  <c r="P73" i="10"/>
  <c r="O301" i="10"/>
  <c r="Q301" i="10"/>
  <c r="P301" i="10"/>
  <c r="M301" i="10"/>
  <c r="R301" i="10"/>
  <c r="N301" i="10"/>
  <c r="R286" i="10"/>
  <c r="P286" i="10"/>
  <c r="Q286" i="10"/>
  <c r="N286" i="10"/>
  <c r="O286" i="10"/>
  <c r="M286" i="10"/>
  <c r="Q147" i="10"/>
  <c r="M147" i="10"/>
  <c r="O147" i="10"/>
  <c r="N147" i="10"/>
  <c r="R147" i="10"/>
  <c r="P147" i="10"/>
  <c r="N173" i="10"/>
  <c r="P173" i="10"/>
  <c r="R173" i="10"/>
  <c r="Q173" i="10"/>
  <c r="M173" i="10"/>
  <c r="O173" i="10"/>
  <c r="N148" i="10"/>
  <c r="Q148" i="10"/>
  <c r="R148" i="10"/>
  <c r="P148" i="10"/>
  <c r="O148" i="10"/>
  <c r="M148" i="10"/>
  <c r="M238" i="10"/>
  <c r="Q238" i="10"/>
  <c r="P238" i="10"/>
  <c r="O71" i="10"/>
  <c r="M71" i="10"/>
  <c r="N71" i="10"/>
  <c r="R71" i="10"/>
  <c r="P71" i="10"/>
  <c r="R134" i="10"/>
  <c r="N134" i="10"/>
  <c r="P134" i="10"/>
  <c r="M134" i="10"/>
  <c r="Q134" i="10"/>
  <c r="O134" i="10"/>
  <c r="P210" i="10"/>
  <c r="Q210" i="10"/>
  <c r="M210" i="10"/>
  <c r="N210" i="10"/>
  <c r="O210" i="10"/>
  <c r="R210" i="10"/>
  <c r="R234" i="10"/>
  <c r="P234" i="10"/>
  <c r="N234" i="10"/>
  <c r="Q234" i="10"/>
  <c r="M234" i="10"/>
  <c r="O234" i="10"/>
  <c r="M15" i="10"/>
  <c r="K15" i="10"/>
  <c r="L15" i="10"/>
  <c r="N15" i="10"/>
  <c r="P66" i="10"/>
  <c r="O66" i="10"/>
  <c r="M66" i="10"/>
  <c r="M209" i="10"/>
  <c r="O209" i="10"/>
  <c r="P209" i="10"/>
  <c r="R209" i="10"/>
  <c r="N209" i="10"/>
  <c r="Q209" i="10"/>
  <c r="M285" i="10"/>
  <c r="O285" i="10"/>
  <c r="R285" i="10"/>
  <c r="N285" i="10"/>
  <c r="P285" i="10"/>
  <c r="Q285" i="10"/>
  <c r="R136" i="10"/>
  <c r="P136" i="10"/>
  <c r="N136" i="10"/>
  <c r="O136" i="10"/>
  <c r="Q136" i="10"/>
  <c r="M136" i="10"/>
  <c r="P90" i="10"/>
  <c r="N90" i="10"/>
  <c r="R90" i="10"/>
  <c r="Q90" i="10"/>
  <c r="M90" i="10"/>
  <c r="O90" i="10"/>
  <c r="O208" i="10"/>
  <c r="N208" i="10"/>
  <c r="P208" i="10"/>
  <c r="M208" i="10"/>
  <c r="R208" i="10"/>
  <c r="Q208" i="10"/>
  <c r="M9" i="10"/>
  <c r="K9" i="10"/>
  <c r="N9" i="10"/>
  <c r="L9" i="10"/>
  <c r="Q88" i="10"/>
  <c r="R88" i="10"/>
  <c r="O88" i="10"/>
  <c r="P88" i="10"/>
  <c r="N88" i="10"/>
  <c r="M88" i="10"/>
  <c r="K7" i="10"/>
  <c r="L7" i="10"/>
  <c r="M7" i="10"/>
  <c r="N7" i="10"/>
  <c r="O295" i="10"/>
  <c r="Q295" i="10"/>
  <c r="M295" i="10"/>
  <c r="N295" i="10"/>
  <c r="P295" i="10"/>
  <c r="R295" i="10"/>
  <c r="O162" i="10"/>
  <c r="R162" i="10"/>
  <c r="L13" i="22"/>
  <c r="J13" i="22"/>
  <c r="I13" i="22"/>
  <c r="K13" i="22"/>
  <c r="S360" i="13"/>
  <c r="O360" i="13"/>
  <c r="Q360" i="13"/>
  <c r="N360" i="13"/>
  <c r="P360" i="13"/>
  <c r="R360" i="13"/>
  <c r="S67" i="13"/>
  <c r="Q67" i="13"/>
  <c r="P67" i="13"/>
  <c r="O67" i="13"/>
  <c r="N67" i="13"/>
  <c r="R67" i="13"/>
  <c r="S190" i="13"/>
  <c r="O190" i="13"/>
  <c r="N190" i="13"/>
  <c r="R190" i="13"/>
  <c r="Q190" i="13"/>
  <c r="P190" i="13"/>
  <c r="S209" i="13"/>
  <c r="R209" i="13"/>
  <c r="N209" i="13"/>
  <c r="O209" i="13"/>
  <c r="P209" i="13"/>
  <c r="Q209" i="13"/>
  <c r="S199" i="13"/>
  <c r="O199" i="13"/>
  <c r="N199" i="13"/>
  <c r="P199" i="13"/>
  <c r="Q199" i="13"/>
  <c r="R199" i="13"/>
  <c r="S140" i="13"/>
  <c r="O140" i="13"/>
  <c r="N140" i="13"/>
  <c r="R140" i="13"/>
  <c r="Q140" i="13"/>
  <c r="P140" i="13"/>
  <c r="N431" i="13"/>
  <c r="P431" i="13"/>
  <c r="O431" i="13"/>
  <c r="S431" i="13"/>
  <c r="Q431" i="13"/>
  <c r="R431" i="13"/>
  <c r="N445" i="13"/>
  <c r="O445" i="13"/>
  <c r="Q445" i="13"/>
  <c r="P445" i="13"/>
  <c r="R445" i="13"/>
  <c r="S445" i="13"/>
  <c r="N54" i="22"/>
  <c r="K54" i="22"/>
  <c r="O54" i="22"/>
  <c r="M54" i="22"/>
  <c r="L54" i="22"/>
  <c r="P54" i="22"/>
  <c r="P109" i="22"/>
  <c r="N109" i="22"/>
  <c r="O109" i="22"/>
  <c r="L109" i="22"/>
  <c r="K109" i="22"/>
  <c r="M109" i="22"/>
  <c r="P157" i="22"/>
  <c r="O157" i="22"/>
  <c r="M157" i="22"/>
  <c r="L157" i="22"/>
  <c r="N157" i="22"/>
  <c r="K157" i="22"/>
  <c r="K143" i="22"/>
  <c r="L143" i="22"/>
  <c r="O143" i="22"/>
  <c r="N143" i="22"/>
  <c r="P143" i="22"/>
  <c r="M143" i="22"/>
  <c r="O88" i="22"/>
  <c r="K88" i="22"/>
  <c r="M88" i="22"/>
  <c r="L88" i="22"/>
  <c r="P88" i="22"/>
  <c r="N88" i="22"/>
  <c r="L10" i="22"/>
  <c r="I10" i="22"/>
  <c r="K10" i="22"/>
  <c r="J10" i="22"/>
  <c r="L78" i="22"/>
  <c r="P78" i="22"/>
  <c r="O78" i="22"/>
  <c r="N78" i="22"/>
  <c r="M78" i="22"/>
  <c r="K78" i="22"/>
  <c r="K139" i="22"/>
  <c r="N139" i="22"/>
  <c r="O139" i="22"/>
  <c r="P139" i="22"/>
  <c r="M139" i="22"/>
  <c r="L139" i="22"/>
  <c r="R370" i="13"/>
  <c r="Q370" i="13"/>
  <c r="S370" i="13"/>
  <c r="O370" i="13"/>
  <c r="N370" i="13"/>
  <c r="P370" i="13"/>
  <c r="S350" i="13"/>
  <c r="R350" i="13"/>
  <c r="N350" i="13"/>
  <c r="O350" i="13"/>
  <c r="P350" i="13"/>
  <c r="Q350" i="13"/>
  <c r="N258" i="13"/>
  <c r="P258" i="13"/>
  <c r="O258" i="13"/>
  <c r="Q258" i="13"/>
  <c r="R258" i="13"/>
  <c r="S258" i="13"/>
  <c r="N310" i="13"/>
  <c r="P310" i="13"/>
  <c r="R310" i="13"/>
  <c r="Q310" i="13"/>
  <c r="S310" i="13"/>
  <c r="O310" i="13"/>
  <c r="S248" i="13"/>
  <c r="R248" i="13"/>
  <c r="Q248" i="13"/>
  <c r="N248" i="13"/>
  <c r="P248" i="13"/>
  <c r="O248" i="13"/>
  <c r="S42" i="13"/>
  <c r="N42" i="13"/>
  <c r="R42" i="13"/>
  <c r="Q42" i="13"/>
  <c r="P42" i="13"/>
  <c r="O42" i="13"/>
  <c r="R329" i="13"/>
  <c r="Q329" i="13"/>
  <c r="N329" i="13"/>
  <c r="P329" i="13"/>
  <c r="S329" i="13"/>
  <c r="O329" i="13"/>
  <c r="P33" i="13"/>
  <c r="N33" i="13"/>
  <c r="O33" i="13"/>
  <c r="S33" i="13"/>
  <c r="Q33" i="13"/>
  <c r="R33" i="13"/>
  <c r="S47" i="13"/>
  <c r="P47" i="13"/>
  <c r="O47" i="13"/>
  <c r="N47" i="13"/>
  <c r="R47" i="13"/>
  <c r="Q47" i="13"/>
  <c r="S57" i="13"/>
  <c r="R57" i="13"/>
  <c r="O57" i="13"/>
  <c r="N57" i="13"/>
  <c r="Q57" i="13"/>
  <c r="P57" i="13"/>
  <c r="R319" i="13"/>
  <c r="S319" i="13"/>
  <c r="P319" i="13"/>
  <c r="O319" i="13"/>
  <c r="Q319" i="13"/>
  <c r="N319" i="13"/>
  <c r="P334" i="13"/>
  <c r="S334" i="13"/>
  <c r="R334" i="13"/>
  <c r="O334" i="13"/>
  <c r="N334" i="13"/>
  <c r="Q334" i="13"/>
  <c r="Q139" i="13"/>
  <c r="P139" i="13"/>
  <c r="S139" i="13"/>
  <c r="O139" i="13"/>
  <c r="N139" i="13"/>
  <c r="R139" i="13"/>
  <c r="Q208" i="13"/>
  <c r="N208" i="13"/>
  <c r="R208" i="13"/>
  <c r="O208" i="13"/>
  <c r="P208" i="13"/>
  <c r="S208" i="13"/>
  <c r="S147" i="13"/>
  <c r="R147" i="13"/>
  <c r="P147" i="13"/>
  <c r="O147" i="13"/>
  <c r="N147" i="13"/>
  <c r="Q147" i="13"/>
  <c r="S169" i="13"/>
  <c r="O169" i="13"/>
  <c r="N169" i="13"/>
  <c r="P169" i="13"/>
  <c r="Q169" i="13"/>
  <c r="R169" i="13"/>
  <c r="S157" i="13"/>
  <c r="Q157" i="13"/>
  <c r="P157" i="13"/>
  <c r="O157" i="13"/>
  <c r="N157" i="13"/>
  <c r="R157" i="13"/>
  <c r="S173" i="13"/>
  <c r="R173" i="13"/>
  <c r="Q173" i="13"/>
  <c r="N173" i="13"/>
  <c r="O173" i="13"/>
  <c r="P173" i="13"/>
  <c r="N444" i="13"/>
  <c r="O444" i="13"/>
  <c r="R444" i="13"/>
  <c r="S444" i="13"/>
  <c r="Q444" i="13"/>
  <c r="N429" i="13"/>
  <c r="P429" i="13"/>
  <c r="S429" i="13"/>
  <c r="O429" i="13"/>
  <c r="Q429" i="13"/>
  <c r="R429" i="13"/>
  <c r="R95" i="13"/>
  <c r="Q95" i="13"/>
  <c r="S95" i="13"/>
  <c r="P95" i="13"/>
  <c r="O95" i="13"/>
  <c r="N95" i="13"/>
  <c r="S237" i="13"/>
  <c r="P237" i="13"/>
  <c r="O237" i="13"/>
  <c r="N237" i="13"/>
  <c r="R237" i="13"/>
  <c r="Q237" i="13"/>
  <c r="P116" i="13"/>
  <c r="O116" i="13"/>
  <c r="R116" i="13"/>
  <c r="N116" i="13"/>
  <c r="Q116" i="13"/>
  <c r="S116" i="13"/>
  <c r="O395" i="13"/>
  <c r="Q395" i="13"/>
  <c r="S395" i="13"/>
  <c r="N395" i="13"/>
  <c r="R395" i="13"/>
  <c r="P395" i="13"/>
  <c r="R419" i="13"/>
  <c r="N419" i="13"/>
  <c r="Q419" i="13"/>
  <c r="S419" i="13"/>
  <c r="P419" i="13"/>
  <c r="O419" i="13"/>
  <c r="R380" i="13"/>
  <c r="Q380" i="13"/>
  <c r="S380" i="13"/>
  <c r="S379" i="13" s="1"/>
  <c r="O380" i="13"/>
  <c r="N380" i="13"/>
  <c r="P380" i="13"/>
  <c r="P379" i="13" s="1"/>
  <c r="I582" i="36" s="1"/>
  <c r="P273" i="13"/>
  <c r="S273" i="13"/>
  <c r="Q273" i="13"/>
  <c r="N273" i="13"/>
  <c r="O273" i="13"/>
  <c r="R273" i="13"/>
  <c r="P88" i="13"/>
  <c r="Q88" i="13"/>
  <c r="O88" i="13"/>
  <c r="S88" i="13"/>
  <c r="R88" i="13"/>
  <c r="N88" i="13"/>
  <c r="R405" i="13"/>
  <c r="N405" i="13"/>
  <c r="O405" i="13"/>
  <c r="P405" i="13"/>
  <c r="S405" i="13"/>
  <c r="Q405" i="13"/>
  <c r="O109" i="13"/>
  <c r="N109" i="13"/>
  <c r="R109" i="13"/>
  <c r="Q109" i="13"/>
  <c r="P109" i="13"/>
  <c r="S109" i="13"/>
  <c r="R246" i="13"/>
  <c r="P246" i="13"/>
  <c r="O246" i="13"/>
  <c r="S246" i="13"/>
  <c r="N246" i="13"/>
  <c r="Q246" i="13"/>
  <c r="P184" i="13"/>
  <c r="R184" i="13"/>
  <c r="O184" i="13"/>
  <c r="S184" i="13"/>
  <c r="Q184" i="13"/>
  <c r="N184" i="13"/>
  <c r="S189" i="13"/>
  <c r="N189" i="13"/>
  <c r="R189" i="13"/>
  <c r="Q189" i="13"/>
  <c r="P189" i="13"/>
  <c r="O189" i="13"/>
  <c r="S260" i="13"/>
  <c r="O260" i="13"/>
  <c r="P260" i="13"/>
  <c r="R260" i="13"/>
  <c r="N260" i="13"/>
  <c r="Q260" i="13"/>
  <c r="N268" i="13"/>
  <c r="O268" i="13"/>
  <c r="R268" i="13"/>
  <c r="S268" i="13"/>
  <c r="Q268" i="13"/>
  <c r="P268" i="13"/>
  <c r="S241" i="13"/>
  <c r="P241" i="13"/>
  <c r="N241" i="13"/>
  <c r="Q241" i="13"/>
  <c r="R241" i="13"/>
  <c r="O241" i="13"/>
  <c r="P112" i="13"/>
  <c r="O112" i="13"/>
  <c r="S112" i="13"/>
  <c r="N112" i="13"/>
  <c r="R112" i="13"/>
  <c r="Q112" i="13"/>
  <c r="Q126" i="13"/>
  <c r="P126" i="13"/>
  <c r="R126" i="13"/>
  <c r="O126" i="13"/>
  <c r="N126" i="13"/>
  <c r="S126" i="13"/>
  <c r="N440" i="13"/>
  <c r="R440" i="13"/>
  <c r="Q440" i="13"/>
  <c r="O440" i="13"/>
  <c r="P440" i="13"/>
  <c r="S440" i="13"/>
  <c r="S436" i="13"/>
  <c r="R436" i="13"/>
  <c r="Q436" i="13"/>
  <c r="O436" i="13"/>
  <c r="S185" i="13"/>
  <c r="P185" i="13"/>
  <c r="O185" i="13"/>
  <c r="N185" i="13"/>
  <c r="R185" i="13"/>
  <c r="Q185" i="13"/>
  <c r="S152" i="13"/>
  <c r="R152" i="13"/>
  <c r="O152" i="13"/>
  <c r="N152" i="13"/>
  <c r="Q152" i="13"/>
  <c r="P152" i="13"/>
  <c r="P150" i="13" s="1"/>
  <c r="P99" i="13"/>
  <c r="O99" i="13"/>
  <c r="S99" i="13"/>
  <c r="N99" i="13"/>
  <c r="R99" i="13"/>
  <c r="Q99" i="13"/>
  <c r="P286" i="13"/>
  <c r="O286" i="13"/>
  <c r="S286" i="13"/>
  <c r="O387" i="13"/>
  <c r="S387" i="13"/>
  <c r="R387" i="13"/>
  <c r="N387" i="13"/>
  <c r="P387" i="13"/>
  <c r="Q387" i="13"/>
  <c r="O402" i="13"/>
  <c r="S402" i="13"/>
  <c r="R402" i="13"/>
  <c r="N402" i="13"/>
  <c r="Q402" i="13"/>
  <c r="P402" i="13"/>
  <c r="S270" i="13"/>
  <c r="R270" i="13"/>
  <c r="Q270" i="13"/>
  <c r="O270" i="13"/>
  <c r="P270" i="13"/>
  <c r="N270" i="13"/>
  <c r="S243" i="13"/>
  <c r="P243" i="13"/>
  <c r="N243" i="13"/>
  <c r="Q243" i="13"/>
  <c r="R243" i="13"/>
  <c r="O243" i="13"/>
  <c r="Q120" i="13"/>
  <c r="P120" i="13"/>
  <c r="O120" i="13"/>
  <c r="N120" i="13"/>
  <c r="S158" i="13"/>
  <c r="R158" i="13"/>
  <c r="O158" i="13"/>
  <c r="P158" i="13"/>
  <c r="Q158" i="13"/>
  <c r="N158" i="13"/>
  <c r="S166" i="13"/>
  <c r="N166" i="13"/>
  <c r="R166" i="13"/>
  <c r="Q166" i="13"/>
  <c r="P166" i="13"/>
  <c r="O166" i="13"/>
  <c r="O407" i="13"/>
  <c r="R407" i="13"/>
  <c r="N407" i="13"/>
  <c r="S407" i="13"/>
  <c r="Q407" i="13"/>
  <c r="P407" i="13"/>
  <c r="S113" i="13"/>
  <c r="O113" i="13"/>
  <c r="N113" i="13"/>
  <c r="R113" i="13"/>
  <c r="Q113" i="13"/>
  <c r="P113" i="13"/>
  <c r="S170" i="13"/>
  <c r="O170" i="13"/>
  <c r="N170" i="13"/>
  <c r="P170" i="13"/>
  <c r="Q170" i="13"/>
  <c r="R170" i="13"/>
  <c r="R205" i="13"/>
  <c r="S205" i="13"/>
  <c r="P205" i="13"/>
  <c r="Q205" i="13"/>
  <c r="N205" i="13"/>
  <c r="O205" i="13"/>
  <c r="O284" i="10"/>
  <c r="M284" i="10"/>
  <c r="R284" i="10"/>
  <c r="N284" i="10"/>
  <c r="Q284" i="10"/>
  <c r="P284" i="10"/>
  <c r="N29" i="10"/>
  <c r="M29" i="10"/>
  <c r="K29" i="10"/>
  <c r="L29" i="10"/>
  <c r="O302" i="10"/>
  <c r="P302" i="10"/>
  <c r="Q302" i="10"/>
  <c r="N302" i="10"/>
  <c r="M302" i="10"/>
  <c r="R302" i="10"/>
  <c r="P144" i="10"/>
  <c r="N144" i="10"/>
  <c r="O144" i="10"/>
  <c r="M144" i="10"/>
  <c r="R144" i="10"/>
  <c r="Q144" i="10"/>
  <c r="N236" i="10"/>
  <c r="O236" i="10"/>
  <c r="P236" i="10"/>
  <c r="M236" i="10"/>
  <c r="R236" i="10"/>
  <c r="Q236" i="10"/>
  <c r="M22" i="10"/>
  <c r="K22" i="10"/>
  <c r="N22" i="10"/>
  <c r="L22" i="10"/>
  <c r="O68" i="10"/>
  <c r="P68" i="10"/>
  <c r="N68" i="10"/>
  <c r="M68" i="10"/>
  <c r="R68" i="10"/>
  <c r="N133" i="10"/>
  <c r="O133" i="10"/>
  <c r="M133" i="10"/>
  <c r="R133" i="10"/>
  <c r="Q133" i="10"/>
  <c r="P133" i="10"/>
  <c r="M215" i="10"/>
  <c r="N215" i="10"/>
  <c r="R215" i="10"/>
  <c r="Q215" i="10"/>
  <c r="O215" i="10"/>
  <c r="P215" i="10"/>
  <c r="R72" i="10"/>
  <c r="O72" i="10"/>
  <c r="P72" i="10"/>
  <c r="N72" i="10"/>
  <c r="M72" i="10"/>
  <c r="Q95" i="10"/>
  <c r="R95" i="10"/>
  <c r="P95" i="10"/>
  <c r="O95" i="10"/>
  <c r="N95" i="10"/>
  <c r="M95" i="10"/>
  <c r="Q135" i="10"/>
  <c r="N135" i="10"/>
  <c r="O135" i="10"/>
  <c r="R135" i="10"/>
  <c r="M135" i="10"/>
  <c r="P135" i="10"/>
  <c r="M96" i="10"/>
  <c r="N96" i="10"/>
  <c r="O96" i="10"/>
  <c r="Q96" i="10"/>
  <c r="P96" i="10"/>
  <c r="R96" i="10"/>
  <c r="N19" i="10"/>
  <c r="L19" i="10"/>
  <c r="K19" i="10"/>
  <c r="M19" i="10"/>
  <c r="M116" i="10"/>
  <c r="R116" i="10"/>
  <c r="Q116" i="10"/>
  <c r="O116" i="10"/>
  <c r="N116" i="10"/>
  <c r="P116" i="10"/>
  <c r="R264" i="10"/>
  <c r="N264" i="10"/>
  <c r="Q264" i="10"/>
  <c r="O264" i="10"/>
  <c r="M264" i="10"/>
  <c r="P264" i="10"/>
  <c r="M265" i="10"/>
  <c r="P265" i="10"/>
  <c r="O265" i="10"/>
  <c r="R265" i="10"/>
  <c r="N265" i="10"/>
  <c r="Q265" i="10"/>
  <c r="R117" i="10"/>
  <c r="Q117" i="10"/>
  <c r="M117" i="10"/>
  <c r="O117" i="10"/>
  <c r="P117" i="10"/>
  <c r="N117" i="10"/>
  <c r="M261" i="10"/>
  <c r="R261" i="10"/>
  <c r="O261" i="10"/>
  <c r="P261" i="10"/>
  <c r="N261" i="10"/>
  <c r="Q261" i="10"/>
  <c r="O94" i="10"/>
  <c r="Q94" i="10"/>
  <c r="M94" i="10"/>
  <c r="N94" i="10"/>
  <c r="P94" i="10"/>
  <c r="R94" i="10"/>
  <c r="R113" i="10"/>
  <c r="N113" i="10"/>
  <c r="Q113" i="10"/>
  <c r="P113" i="10"/>
  <c r="O113" i="10"/>
  <c r="M113" i="10"/>
  <c r="N145" i="10"/>
  <c r="Q145" i="10"/>
  <c r="M145" i="10"/>
  <c r="R145" i="10"/>
  <c r="O145" i="10"/>
  <c r="P145" i="10"/>
  <c r="R258" i="10"/>
  <c r="O258" i="10"/>
  <c r="P258" i="10"/>
  <c r="Q258" i="10"/>
  <c r="N258" i="10"/>
  <c r="M258" i="10"/>
  <c r="N194" i="10"/>
  <c r="P194" i="10"/>
  <c r="Q194" i="10"/>
  <c r="O194" i="10"/>
  <c r="M194" i="10"/>
  <c r="R194" i="10"/>
  <c r="Q91" i="10"/>
  <c r="P91" i="10"/>
  <c r="N91" i="10"/>
  <c r="R91" i="10"/>
  <c r="O91" i="10"/>
  <c r="M91" i="10"/>
  <c r="L26" i="10"/>
  <c r="M26" i="10"/>
  <c r="N26" i="10"/>
  <c r="K26" i="10"/>
  <c r="N300" i="10"/>
  <c r="R300" i="10"/>
  <c r="M300" i="10"/>
  <c r="O300" i="10"/>
  <c r="P300" i="10"/>
  <c r="Q300" i="10"/>
  <c r="M164" i="10"/>
  <c r="Q164" i="10"/>
  <c r="O164" i="10"/>
  <c r="N164" i="10"/>
  <c r="R164" i="10"/>
  <c r="P164" i="10"/>
  <c r="M120" i="10"/>
  <c r="P120" i="10"/>
  <c r="R120" i="10"/>
  <c r="N120" i="10"/>
  <c r="O120" i="10"/>
  <c r="Q120" i="10"/>
  <c r="N257" i="10"/>
  <c r="M257" i="10"/>
  <c r="R257" i="10"/>
  <c r="O257" i="10"/>
  <c r="P257" i="10"/>
  <c r="Q257" i="10"/>
  <c r="M193" i="10"/>
  <c r="R193" i="10"/>
  <c r="P193" i="10"/>
  <c r="O193" i="10"/>
  <c r="Q193" i="10"/>
  <c r="N193" i="10"/>
  <c r="R65" i="10"/>
  <c r="O65" i="10"/>
  <c r="M65" i="10"/>
  <c r="P65" i="10"/>
  <c r="N65" i="10"/>
  <c r="O206" i="10"/>
  <c r="N206" i="10"/>
  <c r="M206" i="10"/>
  <c r="P206" i="10"/>
  <c r="Q206" i="10"/>
  <c r="R206" i="10"/>
  <c r="M280" i="10"/>
  <c r="P280" i="10"/>
  <c r="Q280" i="10"/>
  <c r="N280" i="10"/>
  <c r="O280" i="10"/>
  <c r="R280" i="10"/>
  <c r="P70" i="10"/>
  <c r="N70" i="10"/>
  <c r="R70" i="10"/>
  <c r="M70" i="10"/>
  <c r="O70" i="10"/>
  <c r="Q223" i="13"/>
  <c r="R223" i="13"/>
  <c r="S223" i="13"/>
  <c r="O223" i="13"/>
  <c r="P223" i="13"/>
  <c r="N223" i="13"/>
  <c r="Q231" i="10"/>
  <c r="R231" i="10"/>
  <c r="O231" i="10"/>
  <c r="P231" i="10"/>
  <c r="M231" i="10"/>
  <c r="N231" i="10"/>
  <c r="P420" i="13"/>
  <c r="S420" i="13"/>
  <c r="Q420" i="13"/>
  <c r="R420" i="13"/>
  <c r="N420" i="13"/>
  <c r="O420" i="13"/>
  <c r="S38" i="13"/>
  <c r="Q38" i="13"/>
  <c r="P38" i="13"/>
  <c r="O38" i="13"/>
  <c r="N38" i="13"/>
  <c r="R38" i="13"/>
  <c r="Q98" i="13"/>
  <c r="P98" i="13"/>
  <c r="S98" i="13"/>
  <c r="O98" i="13"/>
  <c r="N98" i="13"/>
  <c r="R98" i="13"/>
  <c r="R193" i="13"/>
  <c r="O193" i="13"/>
  <c r="S193" i="13"/>
  <c r="P193" i="13"/>
  <c r="Q193" i="13"/>
  <c r="N193" i="13"/>
  <c r="N435" i="13"/>
  <c r="P435" i="13"/>
  <c r="O435" i="13"/>
  <c r="Q435" i="13"/>
  <c r="R435" i="13"/>
  <c r="S435" i="13"/>
  <c r="I89" i="8"/>
  <c r="AC171" i="8"/>
  <c r="AC167" i="8"/>
  <c r="AC163" i="8"/>
  <c r="Y171" i="8"/>
  <c r="Y167" i="8"/>
  <c r="Y163" i="8"/>
  <c r="U171" i="8"/>
  <c r="U163" i="8"/>
  <c r="Q167" i="8"/>
  <c r="Q163" i="8"/>
  <c r="M163" i="8"/>
  <c r="M171" i="8"/>
  <c r="M165" i="8"/>
  <c r="I38" i="8"/>
  <c r="I32" i="8"/>
  <c r="I16" i="8"/>
  <c r="I163" i="8"/>
  <c r="I62" i="8"/>
  <c r="I81" i="8"/>
  <c r="I22" i="8"/>
  <c r="I30" i="8"/>
  <c r="I85" i="8"/>
  <c r="I97" i="8"/>
  <c r="I93" i="8"/>
  <c r="I99" i="8"/>
  <c r="I26" i="8"/>
  <c r="I91" i="8"/>
  <c r="I73" i="8"/>
  <c r="I107" i="8"/>
  <c r="I20" i="8"/>
  <c r="I46" i="8"/>
  <c r="I79" i="8"/>
  <c r="I40" i="8"/>
  <c r="I165" i="8"/>
  <c r="I77" i="8"/>
  <c r="I95" i="8"/>
  <c r="I105" i="8"/>
  <c r="I167" i="8"/>
  <c r="AC107" i="8"/>
  <c r="AC99" i="8"/>
  <c r="AC93" i="8"/>
  <c r="AC165" i="8"/>
  <c r="Y169" i="8"/>
  <c r="U167" i="8"/>
  <c r="Q171" i="8"/>
  <c r="Q169" i="8"/>
  <c r="I101" i="8"/>
  <c r="I12" i="8"/>
  <c r="I34" i="8"/>
  <c r="I169" i="8"/>
  <c r="I42" i="8"/>
  <c r="I75" i="8"/>
  <c r="I44" i="8"/>
  <c r="I83" i="8"/>
  <c r="I87" i="8"/>
  <c r="I18" i="8"/>
  <c r="I69" i="8"/>
  <c r="I171" i="8"/>
  <c r="AC103" i="8"/>
  <c r="AC89" i="8"/>
  <c r="AC83" i="8"/>
  <c r="AC77" i="8"/>
  <c r="AC69" i="8"/>
  <c r="AC105" i="8"/>
  <c r="AC91" i="8"/>
  <c r="AC85" i="8"/>
  <c r="AC71" i="8"/>
  <c r="Y107" i="8"/>
  <c r="Y99" i="8"/>
  <c r="Y93" i="8"/>
  <c r="Y87" i="8"/>
  <c r="Y79" i="8"/>
  <c r="Y73" i="8"/>
  <c r="U101" i="8"/>
  <c r="U95" i="8"/>
  <c r="U81" i="8"/>
  <c r="U75" i="8"/>
  <c r="U62" i="8"/>
  <c r="Y105" i="8"/>
  <c r="Y91" i="8"/>
  <c r="Y85" i="8"/>
  <c r="Y71" i="8"/>
  <c r="U107" i="8"/>
  <c r="U99" i="8"/>
  <c r="U93" i="8"/>
  <c r="U87" i="8"/>
  <c r="U79" i="8"/>
  <c r="U73" i="8"/>
  <c r="Q101" i="8"/>
  <c r="Q95" i="8"/>
  <c r="Q81" i="8"/>
  <c r="Q75" i="8"/>
  <c r="Q62" i="8"/>
  <c r="M101" i="8"/>
  <c r="M95" i="8"/>
  <c r="M81" i="8"/>
  <c r="Q103" i="8"/>
  <c r="Q97" i="8"/>
  <c r="Q89" i="8"/>
  <c r="Q83" i="8"/>
  <c r="Q77" i="8"/>
  <c r="Q69" i="8"/>
  <c r="M103" i="8"/>
  <c r="M97" i="8"/>
  <c r="M89" i="8"/>
  <c r="M83" i="8"/>
  <c r="M69" i="8"/>
  <c r="M77" i="8"/>
  <c r="M71" i="8"/>
  <c r="AC169" i="8"/>
  <c r="Y165" i="8"/>
  <c r="U165" i="8"/>
  <c r="Q165" i="8"/>
  <c r="M167" i="8"/>
  <c r="M169" i="8"/>
  <c r="I24" i="8"/>
  <c r="I28" i="8"/>
  <c r="I36" i="8"/>
  <c r="AC87" i="8"/>
  <c r="AC73" i="8"/>
  <c r="AC101" i="8"/>
  <c r="AC75" i="8"/>
  <c r="Y103" i="8"/>
  <c r="Y89" i="8"/>
  <c r="Y77" i="8"/>
  <c r="U105" i="8"/>
  <c r="U91" i="8"/>
  <c r="Y95" i="8"/>
  <c r="Y81" i="8"/>
  <c r="Y62" i="8"/>
  <c r="U97" i="8"/>
  <c r="U83" i="8"/>
  <c r="U69" i="8"/>
  <c r="Q85" i="8"/>
  <c r="Q71" i="8"/>
  <c r="M85" i="8"/>
  <c r="Q99" i="8"/>
  <c r="Q87" i="8"/>
  <c r="Q73" i="8"/>
  <c r="M99" i="8"/>
  <c r="M87" i="8"/>
  <c r="M73" i="8"/>
  <c r="M75" i="8"/>
  <c r="U169" i="8"/>
  <c r="I103" i="8"/>
  <c r="I71" i="8"/>
  <c r="I14" i="8"/>
  <c r="AC97" i="8"/>
  <c r="AC79" i="8"/>
  <c r="AC95" i="8"/>
  <c r="AC81" i="8"/>
  <c r="AC62" i="8"/>
  <c r="Y97" i="8"/>
  <c r="Y83" i="8"/>
  <c r="Y69" i="8"/>
  <c r="U85" i="8"/>
  <c r="U71" i="8"/>
  <c r="Y101" i="8"/>
  <c r="Y75" i="8"/>
  <c r="U103" i="8"/>
  <c r="U89" i="8"/>
  <c r="U77" i="8"/>
  <c r="Q105" i="8"/>
  <c r="Q91" i="8"/>
  <c r="M105" i="8"/>
  <c r="M91" i="8"/>
  <c r="Q107" i="8"/>
  <c r="Q93" i="8"/>
  <c r="Q79" i="8"/>
  <c r="M107" i="8"/>
  <c r="M93" i="8"/>
  <c r="M79" i="8"/>
  <c r="M62" i="8"/>
  <c r="O72" i="13"/>
  <c r="N72" i="13"/>
  <c r="R72" i="13"/>
  <c r="Q72" i="13"/>
  <c r="P72" i="13"/>
  <c r="P71" i="13" s="1"/>
  <c r="I321" i="36" s="1"/>
  <c r="S72" i="13"/>
  <c r="S69" i="13"/>
  <c r="O69" i="13"/>
  <c r="N69" i="13"/>
  <c r="R69" i="13"/>
  <c r="Q69" i="13"/>
  <c r="P69" i="13"/>
  <c r="N425" i="13"/>
  <c r="Q425" i="13"/>
  <c r="O425" i="13"/>
  <c r="R425" i="13"/>
  <c r="P425" i="13"/>
  <c r="S425" i="13"/>
  <c r="N434" i="13"/>
  <c r="R434" i="13"/>
  <c r="Q434" i="13"/>
  <c r="S434" i="13"/>
  <c r="O434" i="13"/>
  <c r="P434" i="13"/>
  <c r="C527" i="11"/>
  <c r="I56" i="1"/>
  <c r="J56" i="1" s="1"/>
  <c r="K56" i="1" s="1"/>
  <c r="P198" i="13"/>
  <c r="Q198" i="13"/>
  <c r="N198" i="13"/>
  <c r="S198" i="13"/>
  <c r="R198" i="13"/>
  <c r="O198" i="13"/>
  <c r="N430" i="13"/>
  <c r="O430" i="13"/>
  <c r="R430" i="13"/>
  <c r="P430" i="13"/>
  <c r="S430" i="13"/>
  <c r="Q430" i="13"/>
  <c r="C526" i="11"/>
  <c r="C524" i="11"/>
  <c r="F788" i="11"/>
  <c r="F777" i="11"/>
  <c r="F799" i="11"/>
  <c r="F936" i="11"/>
  <c r="F945" i="11"/>
  <c r="F927" i="11"/>
  <c r="F874" i="11"/>
  <c r="F856" i="11"/>
  <c r="F865" i="11"/>
  <c r="F863" i="11"/>
  <c r="F872" i="11"/>
  <c r="F854" i="11"/>
  <c r="K117" i="22" l="1"/>
  <c r="K102" i="22"/>
  <c r="L117" i="22"/>
  <c r="K145" i="22"/>
  <c r="H571" i="36" s="1"/>
  <c r="Q81" i="10"/>
  <c r="K159" i="22"/>
  <c r="F679" i="11"/>
  <c r="O81" i="10"/>
  <c r="O83" i="10" s="1"/>
  <c r="M81" i="10"/>
  <c r="M82" i="10" s="1"/>
  <c r="J170" i="22"/>
  <c r="R81" i="10"/>
  <c r="P81" i="10"/>
  <c r="P83" i="10" s="1"/>
  <c r="N81" i="10"/>
  <c r="N82" i="10" s="1"/>
  <c r="I62" i="36"/>
  <c r="I12" i="36"/>
  <c r="H573" i="36"/>
  <c r="H883" i="36"/>
  <c r="H563" i="36"/>
  <c r="H953" i="36"/>
  <c r="H810" i="36"/>
  <c r="H807" i="36"/>
  <c r="H727" i="36"/>
  <c r="H724" i="36"/>
  <c r="H644" i="36"/>
  <c r="H641" i="36"/>
  <c r="H885" i="36"/>
  <c r="H882" i="36"/>
  <c r="H565" i="36"/>
  <c r="H562" i="36"/>
  <c r="H955" i="36"/>
  <c r="H952" i="36"/>
  <c r="H809" i="36"/>
  <c r="H726" i="36"/>
  <c r="H643" i="36"/>
  <c r="H884" i="36"/>
  <c r="H564" i="36"/>
  <c r="H954" i="36"/>
  <c r="H725" i="36"/>
  <c r="H642" i="36"/>
  <c r="H565" i="35"/>
  <c r="H562" i="35"/>
  <c r="H808" i="36"/>
  <c r="H728" i="36"/>
  <c r="H885" i="35"/>
  <c r="H882" i="35"/>
  <c r="H811" i="35"/>
  <c r="H808" i="35"/>
  <c r="H953" i="35"/>
  <c r="H645" i="36"/>
  <c r="H811" i="36"/>
  <c r="H955" i="35"/>
  <c r="H884" i="35"/>
  <c r="H954" i="35"/>
  <c r="H807" i="35"/>
  <c r="H883" i="35"/>
  <c r="H810" i="35"/>
  <c r="H728" i="35"/>
  <c r="H725" i="35"/>
  <c r="H643" i="35"/>
  <c r="H952" i="35"/>
  <c r="H642" i="35"/>
  <c r="H809" i="35"/>
  <c r="H727" i="35"/>
  <c r="H724" i="35"/>
  <c r="H564" i="35"/>
  <c r="H645" i="35"/>
  <c r="H726" i="35"/>
  <c r="H644" i="35"/>
  <c r="H641" i="35"/>
  <c r="H563" i="35"/>
  <c r="O506" i="11"/>
  <c r="O505" i="11"/>
  <c r="O504" i="11"/>
  <c r="O503" i="11"/>
  <c r="O502" i="11"/>
  <c r="O476" i="11"/>
  <c r="O475" i="11"/>
  <c r="O474" i="11"/>
  <c r="O473" i="11"/>
  <c r="O472" i="11"/>
  <c r="O482" i="11"/>
  <c r="O481" i="11"/>
  <c r="O480" i="11"/>
  <c r="O479" i="11"/>
  <c r="O478" i="11"/>
  <c r="O490" i="11"/>
  <c r="O491" i="11"/>
  <c r="O493" i="11"/>
  <c r="O492" i="11"/>
  <c r="O511" i="11"/>
  <c r="O510" i="11"/>
  <c r="O509" i="11"/>
  <c r="O508" i="11"/>
  <c r="O512" i="11"/>
  <c r="O517" i="11"/>
  <c r="O516" i="11"/>
  <c r="O515" i="11"/>
  <c r="O514" i="11"/>
  <c r="O499" i="11"/>
  <c r="O498" i="11"/>
  <c r="O497" i="11"/>
  <c r="O496" i="11"/>
  <c r="O500" i="11"/>
  <c r="O488" i="11"/>
  <c r="O487" i="11"/>
  <c r="O486" i="11"/>
  <c r="O485" i="11"/>
  <c r="O824" i="11" s="1"/>
  <c r="O484" i="11"/>
  <c r="P159" i="22"/>
  <c r="O159" i="22"/>
  <c r="N159" i="22"/>
  <c r="L159" i="22"/>
  <c r="M159" i="22"/>
  <c r="F795" i="11"/>
  <c r="F925" i="11"/>
  <c r="F943" i="11"/>
  <c r="F942" i="11"/>
  <c r="F773" i="11"/>
  <c r="F764" i="11"/>
  <c r="F776" i="11" s="1"/>
  <c r="F599" i="11"/>
  <c r="F633" i="11" s="1"/>
  <c r="F620" i="11"/>
  <c r="F705" i="11"/>
  <c r="J29" i="8"/>
  <c r="O61" i="11"/>
  <c r="O62" i="11" s="1"/>
  <c r="J57" i="1"/>
  <c r="K57" i="1" s="1"/>
  <c r="F694" i="11"/>
  <c r="F716" i="11"/>
  <c r="O93" i="11"/>
  <c r="F631" i="11"/>
  <c r="P77" i="13"/>
  <c r="I448" i="11" s="1"/>
  <c r="Q77" i="13"/>
  <c r="S389" i="13"/>
  <c r="F598" i="11"/>
  <c r="K27" i="8"/>
  <c r="J27" i="8"/>
  <c r="S384" i="13"/>
  <c r="N379" i="13"/>
  <c r="I580" i="36" s="1"/>
  <c r="S394" i="13"/>
  <c r="S399" i="13"/>
  <c r="N176" i="13"/>
  <c r="I464" i="36" s="1"/>
  <c r="O150" i="13"/>
  <c r="Q379" i="13"/>
  <c r="I583" i="36" s="1"/>
  <c r="N150" i="13"/>
  <c r="I463" i="36" s="1"/>
  <c r="Q150" i="13"/>
  <c r="S404" i="13"/>
  <c r="F915" i="11"/>
  <c r="F381" i="11"/>
  <c r="O829" i="11"/>
  <c r="O830" i="11"/>
  <c r="O95" i="11"/>
  <c r="O443" i="11"/>
  <c r="F251" i="11"/>
  <c r="F387" i="11"/>
  <c r="F389" i="11"/>
  <c r="F654" i="11"/>
  <c r="F593" i="11" s="1"/>
  <c r="F616" i="11" s="1"/>
  <c r="F184" i="11"/>
  <c r="F243" i="11"/>
  <c r="F382" i="11"/>
  <c r="F457" i="11"/>
  <c r="F104" i="11"/>
  <c r="F893" i="11"/>
  <c r="F842" i="11" s="1"/>
  <c r="F861" i="11" s="1"/>
  <c r="F45" i="11"/>
  <c r="F50" i="11" s="1"/>
  <c r="F105" i="11"/>
  <c r="O398" i="11"/>
  <c r="O666" i="11"/>
  <c r="O459" i="11"/>
  <c r="O973" i="11"/>
  <c r="O971" i="11"/>
  <c r="O264" i="11"/>
  <c r="O903" i="11"/>
  <c r="O197" i="11"/>
  <c r="O902" i="11"/>
  <c r="O249" i="11"/>
  <c r="O167" i="11"/>
  <c r="O166" i="11"/>
  <c r="O893" i="11"/>
  <c r="O331" i="11"/>
  <c r="O103" i="11"/>
  <c r="O97" i="11"/>
  <c r="O310" i="11"/>
  <c r="O457" i="11"/>
  <c r="O108" i="11"/>
  <c r="O562" i="11"/>
  <c r="O182" i="11"/>
  <c r="O892" i="11"/>
  <c r="O650" i="11"/>
  <c r="O100" i="11"/>
  <c r="O753" i="11"/>
  <c r="O885" i="11"/>
  <c r="O727" i="11"/>
  <c r="O582" i="11"/>
  <c r="O832" i="11"/>
  <c r="O906" i="11"/>
  <c r="O954" i="11"/>
  <c r="F258" i="11"/>
  <c r="F170" i="11"/>
  <c r="F314" i="11"/>
  <c r="F395" i="11"/>
  <c r="F653" i="11"/>
  <c r="F592" i="11" s="1"/>
  <c r="F604" i="11" s="1"/>
  <c r="F240" i="11"/>
  <c r="F246" i="11"/>
  <c r="F383" i="11"/>
  <c r="F442" i="11"/>
  <c r="F52" i="11"/>
  <c r="F57" i="11" s="1"/>
  <c r="F961" i="11"/>
  <c r="F910" i="11" s="1"/>
  <c r="F939" i="11" s="1"/>
  <c r="F102" i="11"/>
  <c r="F40" i="11"/>
  <c r="F651" i="11"/>
  <c r="F590" i="11" s="1"/>
  <c r="F624" i="11" s="1"/>
  <c r="F106" i="11"/>
  <c r="O191" i="11"/>
  <c r="O588" i="11"/>
  <c r="O337" i="11"/>
  <c r="O406" i="11"/>
  <c r="O972" i="11"/>
  <c r="O974" i="11"/>
  <c r="O467" i="11"/>
  <c r="O970" i="11"/>
  <c r="O323" i="11"/>
  <c r="O456" i="11"/>
  <c r="O646" i="11"/>
  <c r="O816" i="11"/>
  <c r="O246" i="11"/>
  <c r="O238" i="11"/>
  <c r="O821" i="11"/>
  <c r="O239" i="11"/>
  <c r="O729" i="11"/>
  <c r="O178" i="11"/>
  <c r="O565" i="11"/>
  <c r="O98" i="11"/>
  <c r="O179" i="11"/>
  <c r="O820" i="11"/>
  <c r="O444" i="11"/>
  <c r="O818" i="11"/>
  <c r="O976" i="11"/>
  <c r="O835" i="11"/>
  <c r="O810" i="11"/>
  <c r="O724" i="11"/>
  <c r="O728" i="11"/>
  <c r="O884" i="11"/>
  <c r="O393" i="11"/>
  <c r="F161" i="11"/>
  <c r="F445" i="11"/>
  <c r="F36" i="11"/>
  <c r="O338" i="11"/>
  <c r="O581" i="11"/>
  <c r="O834" i="11"/>
  <c r="O271" i="11"/>
  <c r="O192" i="11"/>
  <c r="O51" i="11"/>
  <c r="O56" i="11" s="1"/>
  <c r="O377" i="11"/>
  <c r="O447" i="11"/>
  <c r="O441" i="11"/>
  <c r="O732" i="11"/>
  <c r="O325" i="11"/>
  <c r="O651" i="11"/>
  <c r="O886" i="11"/>
  <c r="O180" i="11"/>
  <c r="O255" i="11"/>
  <c r="O653" i="11"/>
  <c r="O240" i="11"/>
  <c r="O184" i="11"/>
  <c r="O671" i="11"/>
  <c r="O669" i="11"/>
  <c r="O644" i="11"/>
  <c r="O955" i="11"/>
  <c r="F962" i="11"/>
  <c r="F911" i="11" s="1"/>
  <c r="O400" i="11"/>
  <c r="O455" i="11"/>
  <c r="F318" i="11"/>
  <c r="F169" i="11"/>
  <c r="F244" i="11"/>
  <c r="F388" i="11"/>
  <c r="F53" i="11"/>
  <c r="F58" i="11" s="1"/>
  <c r="F176" i="11"/>
  <c r="F818" i="11"/>
  <c r="F757" i="11" s="1"/>
  <c r="F780" i="11" s="1"/>
  <c r="F247" i="11"/>
  <c r="F253" i="11"/>
  <c r="F390" i="11"/>
  <c r="F448" i="11"/>
  <c r="F51" i="11"/>
  <c r="F56" i="11" s="1"/>
  <c r="F452" i="11"/>
  <c r="F30" i="11"/>
  <c r="F35" i="11" s="1"/>
  <c r="F103" i="11"/>
  <c r="F736" i="11"/>
  <c r="F675" i="11" s="1"/>
  <c r="F709" i="11" s="1"/>
  <c r="O468" i="11"/>
  <c r="O190" i="11"/>
  <c r="O750" i="11"/>
  <c r="O899" i="11"/>
  <c r="O266" i="11"/>
  <c r="O263" i="11"/>
  <c r="O394" i="11"/>
  <c r="O36" i="11"/>
  <c r="O817" i="11"/>
  <c r="O172" i="11"/>
  <c r="O259" i="11"/>
  <c r="O959" i="11"/>
  <c r="O105" i="11"/>
  <c r="O451" i="11"/>
  <c r="O960" i="11"/>
  <c r="O94" i="11"/>
  <c r="O815" i="11"/>
  <c r="O327" i="11"/>
  <c r="O734" i="11"/>
  <c r="O329" i="11"/>
  <c r="O962" i="11"/>
  <c r="O314" i="11"/>
  <c r="O733" i="11"/>
  <c r="O252" i="11"/>
  <c r="O754" i="11"/>
  <c r="O977" i="11"/>
  <c r="O643" i="11"/>
  <c r="O953" i="11"/>
  <c r="O811" i="11"/>
  <c r="F330" i="11"/>
  <c r="O746" i="11"/>
  <c r="O572" i="11"/>
  <c r="F437" i="11"/>
  <c r="F321" i="11"/>
  <c r="F735" i="11"/>
  <c r="F674" i="11" s="1"/>
  <c r="F708" i="11" s="1"/>
  <c r="F385" i="11"/>
  <c r="F101" i="11"/>
  <c r="F734" i="11"/>
  <c r="F673" i="11" s="1"/>
  <c r="F172" i="11"/>
  <c r="F324" i="11"/>
  <c r="F447" i="11"/>
  <c r="F179" i="11"/>
  <c r="F331" i="11"/>
  <c r="F453" i="11"/>
  <c r="F182" i="11"/>
  <c r="F376" i="11"/>
  <c r="F455" i="11"/>
  <c r="F891" i="11"/>
  <c r="F840" i="11" s="1"/>
  <c r="F250" i="11"/>
  <c r="F256" i="11"/>
  <c r="F391" i="11"/>
  <c r="F450" i="11"/>
  <c r="F573" i="11"/>
  <c r="F523" i="11" s="1"/>
  <c r="F454" i="11"/>
  <c r="F93" i="11"/>
  <c r="O461" i="11"/>
  <c r="O831" i="11"/>
  <c r="O901" i="11"/>
  <c r="O268" i="11"/>
  <c r="O116" i="11"/>
  <c r="O342" i="11"/>
  <c r="O399" i="11"/>
  <c r="O272" i="11"/>
  <c r="O460" i="11"/>
  <c r="O124" i="11"/>
  <c r="O115" i="11"/>
  <c r="O648" i="11"/>
  <c r="O571" i="11"/>
  <c r="O446" i="11"/>
  <c r="O737" i="11"/>
  <c r="O317" i="11"/>
  <c r="O109" i="11"/>
  <c r="O168" i="11"/>
  <c r="O333" i="11"/>
  <c r="O248" i="11"/>
  <c r="O376" i="11"/>
  <c r="O814" i="11"/>
  <c r="O165" i="11"/>
  <c r="O453" i="11"/>
  <c r="O568" i="11"/>
  <c r="O454" i="11"/>
  <c r="O378" i="11"/>
  <c r="O566" i="11"/>
  <c r="O326" i="11"/>
  <c r="O975" i="11"/>
  <c r="F248" i="11"/>
  <c r="O833" i="11"/>
  <c r="O163" i="11"/>
  <c r="O726" i="11"/>
  <c r="F54" i="11"/>
  <c r="F59" i="11" s="1"/>
  <c r="O344" i="11"/>
  <c r="O900" i="11"/>
  <c r="O198" i="11"/>
  <c r="O585" i="11"/>
  <c r="O270" i="11"/>
  <c r="O341" i="11"/>
  <c r="O122" i="11"/>
  <c r="O407" i="11"/>
  <c r="O403" i="11"/>
  <c r="O111" i="11"/>
  <c r="O439" i="11"/>
  <c r="O563" i="11"/>
  <c r="O253" i="11"/>
  <c r="O736" i="11"/>
  <c r="O308" i="11"/>
  <c r="O315" i="11"/>
  <c r="O174" i="11"/>
  <c r="O449" i="11"/>
  <c r="O254" i="11"/>
  <c r="O245" i="11"/>
  <c r="O312" i="11"/>
  <c r="O396" i="11"/>
  <c r="O390" i="11"/>
  <c r="O888" i="11"/>
  <c r="O176" i="11"/>
  <c r="O655" i="11"/>
  <c r="O113" i="11"/>
  <c r="O956" i="11"/>
  <c r="O452" i="11"/>
  <c r="O808" i="11"/>
  <c r="F234" i="11"/>
  <c r="O969" i="11"/>
  <c r="O257" i="11"/>
  <c r="O445" i="11"/>
  <c r="O807" i="11"/>
  <c r="F386" i="11"/>
  <c r="F963" i="11"/>
  <c r="F912" i="11" s="1"/>
  <c r="F941" i="11" s="1"/>
  <c r="F396" i="11"/>
  <c r="F456" i="11"/>
  <c r="F100" i="11"/>
  <c r="F817" i="11"/>
  <c r="F756" i="11" s="1"/>
  <c r="F790" i="11" s="1"/>
  <c r="F245" i="11"/>
  <c r="F446" i="11"/>
  <c r="F249" i="11"/>
  <c r="F392" i="11"/>
  <c r="F168" i="11"/>
  <c r="F257" i="11"/>
  <c r="F316" i="11"/>
  <c r="F308" i="11"/>
  <c r="F26" i="11"/>
  <c r="F31" i="11" s="1"/>
  <c r="F572" i="11"/>
  <c r="F522" i="11" s="1"/>
  <c r="F541" i="11" s="1"/>
  <c r="F28" i="11"/>
  <c r="F33" i="11" s="1"/>
  <c r="F55" i="11"/>
  <c r="F60" i="11" s="1"/>
  <c r="O404" i="11"/>
  <c r="O339" i="11"/>
  <c r="O345" i="11"/>
  <c r="O662" i="11"/>
  <c r="O405" i="11"/>
  <c r="O580" i="11"/>
  <c r="O269" i="11"/>
  <c r="O730" i="11"/>
  <c r="O256" i="11"/>
  <c r="O171" i="11"/>
  <c r="O380" i="11"/>
  <c r="O235" i="11"/>
  <c r="O236" i="11"/>
  <c r="O177" i="11"/>
  <c r="O242" i="11"/>
  <c r="O813" i="11"/>
  <c r="O244" i="11"/>
  <c r="O96" i="11"/>
  <c r="O328" i="11"/>
  <c r="O319" i="11"/>
  <c r="O40" i="11"/>
  <c r="O173" i="11"/>
  <c r="O162" i="11"/>
  <c r="O258" i="11"/>
  <c r="O392" i="11"/>
  <c r="O670" i="11"/>
  <c r="O907" i="11"/>
  <c r="O752" i="11"/>
  <c r="O812" i="11"/>
  <c r="O569" i="11"/>
  <c r="O120" i="11"/>
  <c r="O188" i="11"/>
  <c r="O731" i="11"/>
  <c r="O112" i="11"/>
  <c r="F242" i="11"/>
  <c r="F393" i="11"/>
  <c r="F42" i="11"/>
  <c r="F47" i="11" s="1"/>
  <c r="F570" i="11"/>
  <c r="F520" i="11" s="1"/>
  <c r="F252" i="11"/>
  <c r="F394" i="11"/>
  <c r="F255" i="11"/>
  <c r="F171" i="11"/>
  <c r="F173" i="11"/>
  <c r="F319" i="11"/>
  <c r="F317" i="11"/>
  <c r="F443" i="11"/>
  <c r="F98" i="11"/>
  <c r="F111" i="11"/>
  <c r="F113" i="11"/>
  <c r="F107" i="11"/>
  <c r="F41" i="11"/>
  <c r="F46" i="11" s="1"/>
  <c r="F890" i="11"/>
  <c r="F839" i="11" s="1"/>
  <c r="O196" i="11"/>
  <c r="O189" i="11"/>
  <c r="O195" i="11"/>
  <c r="O121" i="11"/>
  <c r="O664" i="11"/>
  <c r="O340" i="11"/>
  <c r="O123" i="11"/>
  <c r="O466" i="11"/>
  <c r="O119" i="11"/>
  <c r="O564" i="11"/>
  <c r="O654" i="11"/>
  <c r="O381" i="11"/>
  <c r="O649" i="11"/>
  <c r="O186" i="11"/>
  <c r="O573" i="11"/>
  <c r="O26" i="11"/>
  <c r="O738" i="11"/>
  <c r="O963" i="11"/>
  <c r="O316" i="11"/>
  <c r="O318" i="11"/>
  <c r="O382" i="11"/>
  <c r="O567" i="11"/>
  <c r="O247" i="11"/>
  <c r="O234" i="11"/>
  <c r="O320" i="11"/>
  <c r="O309" i="11"/>
  <c r="O889" i="11"/>
  <c r="O107" i="11"/>
  <c r="O905" i="11"/>
  <c r="O642" i="11"/>
  <c r="O641" i="11"/>
  <c r="O645" i="11"/>
  <c r="F820" i="11"/>
  <c r="F759" i="11" s="1"/>
  <c r="F782" i="11" s="1"/>
  <c r="F571" i="11"/>
  <c r="F521" i="11" s="1"/>
  <c r="F549" i="11" s="1"/>
  <c r="O401" i="11"/>
  <c r="O332" i="11"/>
  <c r="F444" i="11"/>
  <c r="F27" i="11"/>
  <c r="F32" i="11" s="1"/>
  <c r="F167" i="11"/>
  <c r="F320" i="11"/>
  <c r="F38" i="11"/>
  <c r="O343" i="11"/>
  <c r="O336" i="11"/>
  <c r="O465" i="11"/>
  <c r="O586" i="11"/>
  <c r="O749" i="11"/>
  <c r="O668" i="11"/>
  <c r="O267" i="11"/>
  <c r="O117" i="11"/>
  <c r="O958" i="11"/>
  <c r="O891" i="11"/>
  <c r="O102" i="11"/>
  <c r="O41" i="11"/>
  <c r="O46" i="11" s="1"/>
  <c r="O384" i="11"/>
  <c r="O652" i="11"/>
  <c r="O250" i="11"/>
  <c r="O383" i="11"/>
  <c r="O887" i="11"/>
  <c r="O321" i="11"/>
  <c r="O164" i="11"/>
  <c r="O437" i="11"/>
  <c r="O385" i="11"/>
  <c r="O175" i="11"/>
  <c r="O251" i="11"/>
  <c r="O837" i="11"/>
  <c r="F37" i="11"/>
  <c r="O379" i="11"/>
  <c r="F175" i="11"/>
  <c r="F43" i="11"/>
  <c r="F48" i="11" s="1"/>
  <c r="F323" i="11"/>
  <c r="F29" i="11"/>
  <c r="F34" i="11" s="1"/>
  <c r="F737" i="11"/>
  <c r="F676" i="11" s="1"/>
  <c r="F710" i="11" s="1"/>
  <c r="F178" i="11"/>
  <c r="F322" i="11"/>
  <c r="F99" i="11"/>
  <c r="F325" i="11"/>
  <c r="F174" i="11"/>
  <c r="F180" i="11"/>
  <c r="F326" i="11"/>
  <c r="F449" i="11"/>
  <c r="F110" i="11"/>
  <c r="O402" i="11"/>
  <c r="O194" i="11"/>
  <c r="O118" i="11"/>
  <c r="O193" i="11"/>
  <c r="O667" i="11"/>
  <c r="O335" i="11"/>
  <c r="O584" i="11"/>
  <c r="O745" i="11"/>
  <c r="O262" i="11"/>
  <c r="O583" i="11"/>
  <c r="O751" i="11"/>
  <c r="O391" i="11"/>
  <c r="O386" i="11"/>
  <c r="O388" i="11"/>
  <c r="O181" i="11"/>
  <c r="O104" i="11"/>
  <c r="O170" i="11"/>
  <c r="O183" i="11"/>
  <c r="O313" i="11"/>
  <c r="O570" i="11"/>
  <c r="O110" i="11"/>
  <c r="O961" i="11"/>
  <c r="O442" i="11"/>
  <c r="O324" i="11"/>
  <c r="O101" i="11"/>
  <c r="O311" i="11"/>
  <c r="O99" i="11"/>
  <c r="O647" i="11"/>
  <c r="O322" i="11"/>
  <c r="O836" i="11"/>
  <c r="O882" i="11"/>
  <c r="O725" i="11"/>
  <c r="F652" i="11"/>
  <c r="F591" i="11" s="1"/>
  <c r="F614" i="11" s="1"/>
  <c r="O438" i="11"/>
  <c r="F384" i="11"/>
  <c r="F315" i="11"/>
  <c r="F109" i="11"/>
  <c r="F892" i="11"/>
  <c r="F841" i="11" s="1"/>
  <c r="F851" i="11" s="1"/>
  <c r="Q71" i="13"/>
  <c r="I322" i="36" s="1"/>
  <c r="F185" i="11"/>
  <c r="F112" i="11"/>
  <c r="F241" i="11"/>
  <c r="F332" i="11"/>
  <c r="F39" i="11"/>
  <c r="F177" i="11"/>
  <c r="F183" i="11"/>
  <c r="F329" i="11"/>
  <c r="F327" i="11"/>
  <c r="F451" i="11"/>
  <c r="F819" i="11"/>
  <c r="F758" i="11" s="1"/>
  <c r="F792" i="11" s="1"/>
  <c r="F108" i="11"/>
  <c r="F44" i="11"/>
  <c r="F49" i="11" s="1"/>
  <c r="F960" i="11"/>
  <c r="F909" i="11" s="1"/>
  <c r="F929" i="11" s="1"/>
  <c r="O464" i="11"/>
  <c r="O587" i="11"/>
  <c r="O463" i="11"/>
  <c r="O748" i="11"/>
  <c r="O904" i="11"/>
  <c r="O265" i="11"/>
  <c r="O665" i="11"/>
  <c r="O747" i="11"/>
  <c r="O462" i="11"/>
  <c r="O663" i="11"/>
  <c r="O828" i="11"/>
  <c r="O161" i="11"/>
  <c r="O169" i="11"/>
  <c r="O448" i="11"/>
  <c r="O330" i="11"/>
  <c r="O440" i="11"/>
  <c r="O890" i="11"/>
  <c r="O819" i="11"/>
  <c r="O185" i="11"/>
  <c r="O395" i="11"/>
  <c r="O450" i="11"/>
  <c r="O243" i="11"/>
  <c r="O735" i="11"/>
  <c r="O389" i="11"/>
  <c r="O241" i="11"/>
  <c r="O957" i="11"/>
  <c r="O387" i="11"/>
  <c r="O237" i="11"/>
  <c r="O106" i="11"/>
  <c r="O809" i="11"/>
  <c r="O952" i="11"/>
  <c r="O883" i="11"/>
  <c r="R379" i="13"/>
  <c r="F738" i="11"/>
  <c r="F677" i="11" s="1"/>
  <c r="F700" i="11" s="1"/>
  <c r="F655" i="11"/>
  <c r="F594" i="11" s="1"/>
  <c r="F628" i="11" s="1"/>
  <c r="F821" i="11"/>
  <c r="F760" i="11" s="1"/>
  <c r="F259" i="11"/>
  <c r="F186" i="11"/>
  <c r="F333" i="11"/>
  <c r="F328" i="11"/>
  <c r="F254" i="11"/>
  <c r="F181" i="11"/>
  <c r="I38" i="11"/>
  <c r="I39" i="11"/>
  <c r="I321" i="11"/>
  <c r="I582" i="11"/>
  <c r="I37" i="11"/>
  <c r="I30" i="11"/>
  <c r="I35" i="11" s="1"/>
  <c r="I27" i="11"/>
  <c r="I32" i="11" s="1"/>
  <c r="I40" i="11"/>
  <c r="I29" i="11"/>
  <c r="I34" i="11" s="1"/>
  <c r="I119" i="11"/>
  <c r="I26" i="11"/>
  <c r="I31" i="11" s="1"/>
  <c r="I42" i="11"/>
  <c r="I47" i="11" s="1"/>
  <c r="I45" i="11"/>
  <c r="I50" i="11" s="1"/>
  <c r="I41" i="11"/>
  <c r="I46" i="11" s="1"/>
  <c r="I43" i="11"/>
  <c r="I48" i="11" s="1"/>
  <c r="I61" i="11"/>
  <c r="I62" i="11" s="1"/>
  <c r="I44" i="11"/>
  <c r="I49" i="11" s="1"/>
  <c r="H884" i="11"/>
  <c r="O379" i="13"/>
  <c r="I581" i="36" s="1"/>
  <c r="K64" i="1"/>
  <c r="H6" i="5" s="1"/>
  <c r="S74" i="13"/>
  <c r="S77" i="13"/>
  <c r="N322" i="13"/>
  <c r="I812" i="36" s="1"/>
  <c r="O77" i="13"/>
  <c r="I447" i="36" s="1"/>
  <c r="F786" i="11"/>
  <c r="F797" i="11"/>
  <c r="F775" i="11"/>
  <c r="N77" i="13"/>
  <c r="I446" i="36" s="1"/>
  <c r="P362" i="13"/>
  <c r="I892" i="36" s="1"/>
  <c r="O367" i="13"/>
  <c r="I961" i="36" s="1"/>
  <c r="S411" i="13"/>
  <c r="N74" i="13"/>
  <c r="I385" i="36" s="1"/>
  <c r="N142" i="13"/>
  <c r="I340" i="36" s="1"/>
  <c r="O423" i="13"/>
  <c r="Q142" i="13"/>
  <c r="O130" i="13"/>
  <c r="Q394" i="13"/>
  <c r="I831" i="36" s="1"/>
  <c r="R322" i="13"/>
  <c r="I816" i="36" s="1"/>
  <c r="O317" i="13"/>
  <c r="I730" i="36" s="1"/>
  <c r="S65" i="13"/>
  <c r="Q411" i="13"/>
  <c r="Q176" i="13"/>
  <c r="S362" i="13"/>
  <c r="N62" i="13"/>
  <c r="I102" i="36" s="1"/>
  <c r="O411" i="13"/>
  <c r="P428" i="13"/>
  <c r="N362" i="13"/>
  <c r="I890" i="36" s="1"/>
  <c r="O142" i="13"/>
  <c r="R55" i="13"/>
  <c r="N6" i="5"/>
  <c r="N5" i="5"/>
  <c r="M6" i="5"/>
  <c r="K5" i="5"/>
  <c r="D6" i="5"/>
  <c r="N327" i="13"/>
  <c r="I886" i="36" s="1"/>
  <c r="P130" i="13"/>
  <c r="N187" i="13"/>
  <c r="I196" i="36" s="1"/>
  <c r="R411" i="13"/>
  <c r="N50" i="13"/>
  <c r="I377" i="36" s="1"/>
  <c r="R134" i="13"/>
  <c r="P394" i="13"/>
  <c r="I830" i="36" s="1"/>
  <c r="O172" i="13"/>
  <c r="S307" i="13"/>
  <c r="N134" i="13"/>
  <c r="I193" i="36" s="1"/>
  <c r="P138" i="13"/>
  <c r="P423" i="13"/>
  <c r="N172" i="13"/>
  <c r="I403" i="36" s="1"/>
  <c r="Q40" i="13"/>
  <c r="I238" i="36" s="1"/>
  <c r="Q423" i="13"/>
  <c r="P40" i="13"/>
  <c r="I237" i="36" s="1"/>
  <c r="Q55" i="13"/>
  <c r="I441" i="36" s="1"/>
  <c r="N55" i="13"/>
  <c r="I438" i="36" s="1"/>
  <c r="P317" i="13"/>
  <c r="I731" i="36" s="1"/>
  <c r="Q322" i="13"/>
  <c r="I815" i="36" s="1"/>
  <c r="O71" i="13"/>
  <c r="I320" i="36" s="1"/>
  <c r="N332" i="13"/>
  <c r="I956" i="36" s="1"/>
  <c r="R35" i="13"/>
  <c r="I166" i="36" s="1"/>
  <c r="N35" i="13"/>
  <c r="I162" i="36" s="1"/>
  <c r="Q428" i="13"/>
  <c r="S423" i="13"/>
  <c r="Q433" i="13"/>
  <c r="N411" i="13"/>
  <c r="P367" i="13"/>
  <c r="I962" i="36" s="1"/>
  <c r="N367" i="13"/>
  <c r="I960" i="36" s="1"/>
  <c r="S367" i="13"/>
  <c r="S357" i="13"/>
  <c r="P357" i="13"/>
  <c r="I819" i="36" s="1"/>
  <c r="Q357" i="13"/>
  <c r="I820" i="36" s="1"/>
  <c r="Q352" i="13"/>
  <c r="I737" i="36" s="1"/>
  <c r="Q327" i="13"/>
  <c r="I889" i="36" s="1"/>
  <c r="O322" i="13"/>
  <c r="I813" i="36" s="1"/>
  <c r="P322" i="13"/>
  <c r="I814" i="36" s="1"/>
  <c r="Q367" i="13"/>
  <c r="I963" i="36" s="1"/>
  <c r="S352" i="13"/>
  <c r="O347" i="13"/>
  <c r="I652" i="36" s="1"/>
  <c r="P347" i="13"/>
  <c r="I653" i="36" s="1"/>
  <c r="R367" i="13"/>
  <c r="S332" i="13"/>
  <c r="P332" i="13"/>
  <c r="I958" i="36" s="1"/>
  <c r="R312" i="13"/>
  <c r="I650" i="36" s="1"/>
  <c r="N312" i="13"/>
  <c r="I646" i="36" s="1"/>
  <c r="O176" i="13"/>
  <c r="H642" i="11"/>
  <c r="H726" i="11"/>
  <c r="N192" i="13"/>
  <c r="I270" i="36" s="1"/>
  <c r="H811" i="11"/>
  <c r="S45" i="13"/>
  <c r="R65" i="13"/>
  <c r="I176" i="36" s="1"/>
  <c r="P55" i="13"/>
  <c r="I440" i="36" s="1"/>
  <c r="R30" i="13"/>
  <c r="O40" i="13"/>
  <c r="I236" i="36" s="1"/>
  <c r="N65" i="13"/>
  <c r="I172" i="36" s="1"/>
  <c r="N71" i="13"/>
  <c r="I319" i="36" s="1"/>
  <c r="S68" i="13"/>
  <c r="Q68" i="13"/>
  <c r="I248" i="36" s="1"/>
  <c r="R68" i="13"/>
  <c r="I249" i="36" s="1"/>
  <c r="S202" i="13"/>
  <c r="Q187" i="13"/>
  <c r="P176" i="13"/>
  <c r="Q172" i="13"/>
  <c r="P146" i="13"/>
  <c r="P142" i="13"/>
  <c r="Q138" i="13"/>
  <c r="Q134" i="13"/>
  <c r="Q130" i="13"/>
  <c r="P74" i="13"/>
  <c r="I387" i="36" s="1"/>
  <c r="Q74" i="13"/>
  <c r="I388" i="36" s="1"/>
  <c r="R74" i="13"/>
  <c r="O74" i="13"/>
  <c r="I386" i="36" s="1"/>
  <c r="N68" i="13"/>
  <c r="I245" i="36" s="1"/>
  <c r="O68" i="13"/>
  <c r="I246" i="36" s="1"/>
  <c r="Q65" i="13"/>
  <c r="I175" i="36" s="1"/>
  <c r="P62" i="13"/>
  <c r="I104" i="36" s="1"/>
  <c r="S50" i="13"/>
  <c r="Q45" i="13"/>
  <c r="I312" i="36" s="1"/>
  <c r="O45" i="13"/>
  <c r="I310" i="36" s="1"/>
  <c r="S40" i="13"/>
  <c r="S35" i="13"/>
  <c r="O35" i="13"/>
  <c r="I163" i="36" s="1"/>
  <c r="H728" i="11"/>
  <c r="H564" i="11"/>
  <c r="H955" i="11"/>
  <c r="H883" i="11"/>
  <c r="H643" i="11"/>
  <c r="N170" i="22"/>
  <c r="M117" i="22"/>
  <c r="O117" i="22"/>
  <c r="N117" i="22"/>
  <c r="P117" i="22"/>
  <c r="L170" i="22"/>
  <c r="N145" i="22"/>
  <c r="L145" i="22"/>
  <c r="P145" i="22"/>
  <c r="O145" i="22"/>
  <c r="M145" i="22"/>
  <c r="P68" i="13"/>
  <c r="I247" i="36" s="1"/>
  <c r="N317" i="13"/>
  <c r="I729" i="36" s="1"/>
  <c r="S317" i="13"/>
  <c r="N418" i="13"/>
  <c r="P50" i="13"/>
  <c r="I379" i="36" s="1"/>
  <c r="S327" i="13"/>
  <c r="P65" i="13"/>
  <c r="I174" i="36" s="1"/>
  <c r="Q362" i="13"/>
  <c r="I893" i="36" s="1"/>
  <c r="P45" i="13"/>
  <c r="I311" i="36" s="1"/>
  <c r="I276" i="36" s="1"/>
  <c r="R197" i="13"/>
  <c r="O197" i="13"/>
  <c r="P172" i="13"/>
  <c r="R192" i="13"/>
  <c r="S428" i="13"/>
  <c r="R187" i="13"/>
  <c r="R423" i="13"/>
  <c r="Q146" i="13"/>
  <c r="Q199" i="10"/>
  <c r="Q204" i="10" s="1"/>
  <c r="Q245" i="10"/>
  <c r="Q248" i="10" s="1"/>
  <c r="O245" i="10"/>
  <c r="O248" i="10" s="1"/>
  <c r="O199" i="10"/>
  <c r="O200" i="10" s="1"/>
  <c r="R245" i="10"/>
  <c r="R246" i="10" s="1"/>
  <c r="R199" i="10"/>
  <c r="R202" i="10" s="1"/>
  <c r="P245" i="10"/>
  <c r="P250" i="10" s="1"/>
  <c r="O221" i="10"/>
  <c r="N199" i="10"/>
  <c r="N203" i="10" s="1"/>
  <c r="P199" i="10"/>
  <c r="M199" i="10"/>
  <c r="M200" i="10" s="1"/>
  <c r="M245" i="10"/>
  <c r="M248" i="10" s="1"/>
  <c r="Q221" i="10"/>
  <c r="M102" i="10"/>
  <c r="R102" i="10"/>
  <c r="N245" i="10"/>
  <c r="N248" i="10" s="1"/>
  <c r="R221" i="10"/>
  <c r="R225" i="10" s="1"/>
  <c r="P221" i="10"/>
  <c r="P223" i="10" s="1"/>
  <c r="M221" i="10"/>
  <c r="M226" i="10" s="1"/>
  <c r="N221" i="10"/>
  <c r="N102" i="10"/>
  <c r="P102" i="10"/>
  <c r="O102" i="10"/>
  <c r="O981" i="11"/>
  <c r="J25" i="8"/>
  <c r="F924" i="11"/>
  <c r="F933" i="11"/>
  <c r="F680" i="11"/>
  <c r="F845" i="11"/>
  <c r="F926" i="11"/>
  <c r="F935" i="11"/>
  <c r="F944" i="11"/>
  <c r="J15" i="8"/>
  <c r="O989" i="11"/>
  <c r="O1001" i="11"/>
  <c r="O992" i="11"/>
  <c r="O659" i="11"/>
  <c r="O1000" i="11"/>
  <c r="O433" i="13"/>
  <c r="N138" i="13"/>
  <c r="I267" i="36" s="1"/>
  <c r="R317" i="13"/>
  <c r="I733" i="36" s="1"/>
  <c r="R307" i="13"/>
  <c r="H562" i="11"/>
  <c r="H727" i="11"/>
  <c r="N17" i="13"/>
  <c r="I51" i="36" s="1"/>
  <c r="I56" i="36" s="1"/>
  <c r="N352" i="13"/>
  <c r="I734" i="36" s="1"/>
  <c r="F596" i="11"/>
  <c r="O138" i="13"/>
  <c r="H565" i="11"/>
  <c r="H644" i="11"/>
  <c r="P352" i="13"/>
  <c r="I736" i="36" s="1"/>
  <c r="N197" i="13"/>
  <c r="I343" i="36" s="1"/>
  <c r="Q197" i="13"/>
  <c r="P327" i="13"/>
  <c r="I888" i="36" s="1"/>
  <c r="P307" i="13"/>
  <c r="I568" i="36" s="1"/>
  <c r="P197" i="13"/>
  <c r="N423" i="13"/>
  <c r="Q192" i="13"/>
  <c r="Q404" i="13"/>
  <c r="I972" i="36" s="1"/>
  <c r="S138" i="13"/>
  <c r="N307" i="13"/>
  <c r="I566" i="36" s="1"/>
  <c r="H885" i="11"/>
  <c r="H641" i="11"/>
  <c r="R62" i="13"/>
  <c r="J23" i="8"/>
  <c r="K23" i="8"/>
  <c r="K19" i="8"/>
  <c r="J19" i="8"/>
  <c r="S192" i="13"/>
  <c r="O55" i="13"/>
  <c r="I439" i="36" s="1"/>
  <c r="R327" i="13"/>
  <c r="H807" i="11"/>
  <c r="Q62" i="13"/>
  <c r="I105" i="36" s="1"/>
  <c r="O980" i="11"/>
  <c r="K17" i="8"/>
  <c r="J17" i="8"/>
  <c r="M170" i="22"/>
  <c r="O988" i="11"/>
  <c r="K13" i="8"/>
  <c r="J13" i="8"/>
  <c r="S55" i="13"/>
  <c r="K170" i="22"/>
  <c r="K33" i="8"/>
  <c r="J33" i="8"/>
  <c r="P35" i="13"/>
  <c r="I164" i="36" s="1"/>
  <c r="O187" i="13"/>
  <c r="N443" i="13"/>
  <c r="N146" i="13"/>
  <c r="I402" i="36" s="1"/>
  <c r="R45" i="13"/>
  <c r="I313" i="36" s="1"/>
  <c r="R40" i="13"/>
  <c r="I239" i="36" s="1"/>
  <c r="H645" i="11"/>
  <c r="O312" i="13"/>
  <c r="I647" i="36" s="1"/>
  <c r="Q35" i="13"/>
  <c r="I165" i="36" s="1"/>
  <c r="P187" i="13"/>
  <c r="O146" i="13"/>
  <c r="Q332" i="13"/>
  <c r="I959" i="36" s="1"/>
  <c r="N45" i="13"/>
  <c r="I309" i="36" s="1"/>
  <c r="N40" i="13"/>
  <c r="I235" i="36" s="1"/>
  <c r="Q347" i="13"/>
  <c r="I654" i="36" s="1"/>
  <c r="H882" i="11"/>
  <c r="O65" i="13"/>
  <c r="I173" i="36" s="1"/>
  <c r="P312" i="13"/>
  <c r="I648" i="36" s="1"/>
  <c r="K37" i="8"/>
  <c r="J37" i="8"/>
  <c r="K39" i="8"/>
  <c r="J39" i="8"/>
  <c r="R332" i="13"/>
  <c r="N347" i="13"/>
  <c r="I651" i="36" s="1"/>
  <c r="O134" i="13"/>
  <c r="S312" i="13"/>
  <c r="K35" i="8"/>
  <c r="J35" i="8"/>
  <c r="F843" i="11"/>
  <c r="D45" i="8"/>
  <c r="K43" i="8"/>
  <c r="J43" i="8"/>
  <c r="P134" i="13"/>
  <c r="P207" i="13"/>
  <c r="Q30" i="13"/>
  <c r="I97" i="36" s="1"/>
  <c r="S347" i="13"/>
  <c r="H808" i="11"/>
  <c r="R50" i="13"/>
  <c r="H810" i="11"/>
  <c r="O428" i="13"/>
  <c r="S30" i="13"/>
  <c r="H563" i="11"/>
  <c r="R347" i="13"/>
  <c r="I655" i="36" s="1"/>
  <c r="N428" i="13"/>
  <c r="N433" i="13"/>
  <c r="S71" i="13"/>
  <c r="N394" i="13"/>
  <c r="I828" i="36" s="1"/>
  <c r="Q317" i="13"/>
  <c r="I732" i="36" s="1"/>
  <c r="O30" i="13"/>
  <c r="I95" i="36" s="1"/>
  <c r="H952" i="11"/>
  <c r="R17" i="13"/>
  <c r="I55" i="36" s="1"/>
  <c r="I60" i="36" s="1"/>
  <c r="N30" i="13"/>
  <c r="I94" i="36" s="1"/>
  <c r="O307" i="13"/>
  <c r="I567" i="36" s="1"/>
  <c r="H724" i="11"/>
  <c r="H954" i="11"/>
  <c r="O357" i="13"/>
  <c r="I818" i="36" s="1"/>
  <c r="P17" i="13"/>
  <c r="I53" i="36" s="1"/>
  <c r="I58" i="36" s="1"/>
  <c r="Q207" i="13"/>
  <c r="P30" i="13"/>
  <c r="I96" i="36" s="1"/>
  <c r="H725" i="11"/>
  <c r="H809" i="11"/>
  <c r="O17" i="13"/>
  <c r="I52" i="36" s="1"/>
  <c r="I57" i="36" s="1"/>
  <c r="O332" i="13"/>
  <c r="I957" i="36" s="1"/>
  <c r="S197" i="13"/>
  <c r="R71" i="13"/>
  <c r="I323" i="36" s="1"/>
  <c r="O394" i="13"/>
  <c r="I829" i="36" s="1"/>
  <c r="R138" i="13"/>
  <c r="O327" i="13"/>
  <c r="I887" i="36" s="1"/>
  <c r="Q307" i="13"/>
  <c r="I569" i="36" s="1"/>
  <c r="H953" i="11"/>
  <c r="R352" i="13"/>
  <c r="I738" i="36" s="1"/>
  <c r="F535" i="11"/>
  <c r="F544" i="11"/>
  <c r="F553" i="11"/>
  <c r="F713" i="11"/>
  <c r="F691" i="11"/>
  <c r="F702" i="11"/>
  <c r="F715" i="11"/>
  <c r="F704" i="11"/>
  <c r="F693" i="11"/>
  <c r="O823" i="11"/>
  <c r="O896" i="11"/>
  <c r="O985" i="11"/>
  <c r="O984" i="11"/>
  <c r="O967" i="11"/>
  <c r="O996" i="11"/>
  <c r="O993" i="11"/>
  <c r="O997" i="11"/>
  <c r="J54" i="1"/>
  <c r="K54" i="1" s="1"/>
  <c r="J20" i="1"/>
  <c r="K20" i="1" s="1"/>
  <c r="P433" i="13"/>
  <c r="O342" i="13"/>
  <c r="I571" i="36" s="1"/>
  <c r="R428" i="13"/>
  <c r="S433" i="13"/>
  <c r="R433" i="13"/>
  <c r="P192" i="13"/>
  <c r="O192" i="13"/>
  <c r="O418" i="13"/>
  <c r="S187" i="13"/>
  <c r="R394" i="13"/>
  <c r="I832" i="36" s="1"/>
  <c r="O207" i="13"/>
  <c r="N207" i="13"/>
  <c r="I466" i="36" s="1"/>
  <c r="P443" i="13"/>
  <c r="R357" i="13"/>
  <c r="I821" i="36" s="1"/>
  <c r="N357" i="13"/>
  <c r="I817" i="36" s="1"/>
  <c r="S134" i="13"/>
  <c r="O362" i="13"/>
  <c r="I891" i="36" s="1"/>
  <c r="Q50" i="13"/>
  <c r="I380" i="36" s="1"/>
  <c r="O50" i="13"/>
  <c r="I378" i="36" s="1"/>
  <c r="Q17" i="13"/>
  <c r="I54" i="36" s="1"/>
  <c r="I59" i="36" s="1"/>
  <c r="S62" i="13"/>
  <c r="O62" i="13"/>
  <c r="I103" i="36" s="1"/>
  <c r="Q312" i="13"/>
  <c r="I649" i="36" s="1"/>
  <c r="O352" i="13"/>
  <c r="I735" i="36" s="1"/>
  <c r="Q342" i="13"/>
  <c r="I573" i="36" s="1"/>
  <c r="R342" i="13"/>
  <c r="S342" i="13"/>
  <c r="N342" i="13"/>
  <c r="I570" i="36" s="1"/>
  <c r="P342" i="13"/>
  <c r="I572" i="36" s="1"/>
  <c r="Q182" i="13"/>
  <c r="P182" i="13"/>
  <c r="O389" i="13"/>
  <c r="I746" i="36" s="1"/>
  <c r="R202" i="13"/>
  <c r="O182" i="13"/>
  <c r="O404" i="13"/>
  <c r="I970" i="36" s="1"/>
  <c r="R404" i="13"/>
  <c r="Q418" i="13"/>
  <c r="R418" i="13"/>
  <c r="O156" i="13"/>
  <c r="Q156" i="13"/>
  <c r="P168" i="13"/>
  <c r="O168" i="13"/>
  <c r="S207" i="13"/>
  <c r="S443" i="13"/>
  <c r="O443" i="13"/>
  <c r="Q438" i="13"/>
  <c r="O438" i="13"/>
  <c r="N438" i="13"/>
  <c r="P389" i="13"/>
  <c r="I747" i="36" s="1"/>
  <c r="N399" i="13"/>
  <c r="I899" i="36" s="1"/>
  <c r="O399" i="13"/>
  <c r="I900" i="36" s="1"/>
  <c r="P399" i="13"/>
  <c r="I901" i="36" s="1"/>
  <c r="P384" i="13"/>
  <c r="I664" i="36" s="1"/>
  <c r="N384" i="13"/>
  <c r="I662" i="36" s="1"/>
  <c r="P202" i="13"/>
  <c r="Q202" i="13"/>
  <c r="O164" i="13"/>
  <c r="S164" i="13"/>
  <c r="R164" i="13"/>
  <c r="Q160" i="13"/>
  <c r="N160" i="13"/>
  <c r="I194" i="36" s="1"/>
  <c r="S160" i="13"/>
  <c r="N182" i="13"/>
  <c r="I122" i="36" s="1"/>
  <c r="S182" i="13"/>
  <c r="R182" i="13"/>
  <c r="P404" i="13"/>
  <c r="I971" i="36" s="1"/>
  <c r="N404" i="13"/>
  <c r="I969" i="36" s="1"/>
  <c r="S418" i="13"/>
  <c r="N156" i="13"/>
  <c r="I120" i="36" s="1"/>
  <c r="P156" i="13"/>
  <c r="Q168" i="13"/>
  <c r="N168" i="13"/>
  <c r="I341" i="36" s="1"/>
  <c r="Q102" i="10"/>
  <c r="P418" i="13"/>
  <c r="R207" i="13"/>
  <c r="Q443" i="13"/>
  <c r="R443" i="13"/>
  <c r="S438" i="13"/>
  <c r="R438" i="13"/>
  <c r="P438" i="13"/>
  <c r="R389" i="13"/>
  <c r="I749" i="36" s="1"/>
  <c r="N389" i="13"/>
  <c r="I745" i="36" s="1"/>
  <c r="Q389" i="13"/>
  <c r="I748" i="36" s="1"/>
  <c r="R399" i="13"/>
  <c r="Q399" i="13"/>
  <c r="I902" i="36" s="1"/>
  <c r="O384" i="13"/>
  <c r="I663" i="36" s="1"/>
  <c r="Q384" i="13"/>
  <c r="I665" i="36" s="1"/>
  <c r="R384" i="13"/>
  <c r="I666" i="36" s="1"/>
  <c r="O202" i="13"/>
  <c r="N202" i="13"/>
  <c r="I405" i="36" s="1"/>
  <c r="Q164" i="13"/>
  <c r="P164" i="13"/>
  <c r="N164" i="13"/>
  <c r="I268" i="36" s="1"/>
  <c r="P160" i="13"/>
  <c r="R160" i="13"/>
  <c r="O160" i="13"/>
  <c r="F524" i="11"/>
  <c r="F526" i="11"/>
  <c r="F527" i="11"/>
  <c r="I68" i="36" l="1"/>
  <c r="I87" i="36" s="1"/>
  <c r="I676" i="36"/>
  <c r="I721" i="36" s="1"/>
  <c r="I201" i="36"/>
  <c r="I213" i="36" s="1"/>
  <c r="I591" i="36"/>
  <c r="I625" i="36" s="1"/>
  <c r="I274" i="36"/>
  <c r="I297" i="36" s="1"/>
  <c r="I911" i="36"/>
  <c r="I922" i="36" s="1"/>
  <c r="I348" i="36"/>
  <c r="I367" i="36" s="1"/>
  <c r="I275" i="36"/>
  <c r="I287" i="36" s="1"/>
  <c r="I277" i="36"/>
  <c r="I300" i="36" s="1"/>
  <c r="I200" i="36"/>
  <c r="I212" i="36" s="1"/>
  <c r="H570" i="35"/>
  <c r="H572" i="35"/>
  <c r="I67" i="36"/>
  <c r="I77" i="36" s="1"/>
  <c r="I409" i="36"/>
  <c r="I428" i="36" s="1"/>
  <c r="I203" i="36"/>
  <c r="I226" i="36" s="1"/>
  <c r="H573" i="35"/>
  <c r="H571" i="35"/>
  <c r="H570" i="36"/>
  <c r="H572" i="36"/>
  <c r="I839" i="36"/>
  <c r="I849" i="36" s="1"/>
  <c r="I130" i="36"/>
  <c r="I142" i="36" s="1"/>
  <c r="I909" i="36"/>
  <c r="I947" i="36" s="1"/>
  <c r="I129" i="36"/>
  <c r="I141" i="36" s="1"/>
  <c r="I593" i="36"/>
  <c r="I605" i="36" s="1"/>
  <c r="I65" i="36"/>
  <c r="I75" i="36" s="1"/>
  <c r="I592" i="36"/>
  <c r="I615" i="36" s="1"/>
  <c r="I349" i="36"/>
  <c r="I359" i="36" s="1"/>
  <c r="I410" i="36"/>
  <c r="I429" i="36" s="1"/>
  <c r="I841" i="36"/>
  <c r="I869" i="36" s="1"/>
  <c r="I351" i="36"/>
  <c r="I361" i="36" s="1"/>
  <c r="I910" i="36"/>
  <c r="I930" i="36" s="1"/>
  <c r="I758" i="36"/>
  <c r="I770" i="36" s="1"/>
  <c r="I350" i="36"/>
  <c r="I369" i="36" s="1"/>
  <c r="I204" i="36"/>
  <c r="I227" i="36" s="1"/>
  <c r="I912" i="36"/>
  <c r="I941" i="36" s="1"/>
  <c r="I671" i="36"/>
  <c r="I669" i="36"/>
  <c r="I670" i="36"/>
  <c r="G813" i="36"/>
  <c r="G813" i="35"/>
  <c r="G562" i="36"/>
  <c r="G562" i="35"/>
  <c r="P119" i="22"/>
  <c r="H517" i="36"/>
  <c r="H515" i="36"/>
  <c r="H514" i="36"/>
  <c r="H516" i="36"/>
  <c r="H515" i="35"/>
  <c r="H517" i="35"/>
  <c r="H516" i="35"/>
  <c r="H514" i="35"/>
  <c r="I756" i="36"/>
  <c r="H749" i="36"/>
  <c r="H747" i="36"/>
  <c r="H745" i="36"/>
  <c r="H750" i="36"/>
  <c r="H748" i="36"/>
  <c r="H746" i="36"/>
  <c r="H746" i="35"/>
  <c r="H745" i="35"/>
  <c r="H748" i="35"/>
  <c r="H750" i="35"/>
  <c r="H747" i="35"/>
  <c r="H749" i="35"/>
  <c r="G959" i="36"/>
  <c r="G959" i="35"/>
  <c r="H481" i="36"/>
  <c r="H743" i="36" s="1"/>
  <c r="H479" i="36"/>
  <c r="H741" i="36" s="1"/>
  <c r="H482" i="36"/>
  <c r="H744" i="36" s="1"/>
  <c r="H480" i="36"/>
  <c r="H742" i="36" s="1"/>
  <c r="H478" i="36"/>
  <c r="H740" i="36" s="1"/>
  <c r="H479" i="35"/>
  <c r="H741" i="35" s="1"/>
  <c r="H481" i="35"/>
  <c r="H743" i="35" s="1"/>
  <c r="H478" i="35"/>
  <c r="H740" i="35" s="1"/>
  <c r="H480" i="35"/>
  <c r="H742" i="35" s="1"/>
  <c r="H482" i="35"/>
  <c r="H744" i="35" s="1"/>
  <c r="I128" i="36"/>
  <c r="I757" i="36"/>
  <c r="I202" i="36"/>
  <c r="G94" i="36"/>
  <c r="G94" i="35"/>
  <c r="H666" i="36"/>
  <c r="H664" i="36"/>
  <c r="H662" i="36"/>
  <c r="H667" i="36"/>
  <c r="H665" i="36"/>
  <c r="H663" i="36"/>
  <c r="H667" i="35"/>
  <c r="H664" i="35"/>
  <c r="H665" i="35"/>
  <c r="H662" i="35"/>
  <c r="H666" i="35"/>
  <c r="H663" i="35"/>
  <c r="I521" i="36"/>
  <c r="I522" i="36"/>
  <c r="G653" i="36"/>
  <c r="G653" i="35"/>
  <c r="G644" i="36"/>
  <c r="G644" i="35"/>
  <c r="I588" i="36"/>
  <c r="I586" i="36"/>
  <c r="I587" i="36"/>
  <c r="H493" i="36"/>
  <c r="H491" i="36"/>
  <c r="H492" i="36"/>
  <c r="H490" i="36"/>
  <c r="H491" i="35"/>
  <c r="H493" i="35"/>
  <c r="H492" i="35"/>
  <c r="H490" i="35"/>
  <c r="I842" i="36"/>
  <c r="H583" i="36"/>
  <c r="H581" i="36"/>
  <c r="H584" i="36"/>
  <c r="H582" i="36"/>
  <c r="H580" i="36"/>
  <c r="H582" i="35"/>
  <c r="H584" i="35"/>
  <c r="H581" i="35"/>
  <c r="H583" i="35"/>
  <c r="H580" i="35"/>
  <c r="G437" i="36"/>
  <c r="G437" i="35"/>
  <c r="O119" i="22"/>
  <c r="P120" i="22" s="1"/>
  <c r="H512" i="36"/>
  <c r="H510" i="36"/>
  <c r="H508" i="36"/>
  <c r="H509" i="36"/>
  <c r="H511" i="36"/>
  <c r="H512" i="35"/>
  <c r="H509" i="35"/>
  <c r="H511" i="35"/>
  <c r="H508" i="35"/>
  <c r="H510" i="35"/>
  <c r="I590" i="36"/>
  <c r="H832" i="36"/>
  <c r="H830" i="36"/>
  <c r="H828" i="36"/>
  <c r="H833" i="36"/>
  <c r="H831" i="36"/>
  <c r="H829" i="36"/>
  <c r="H833" i="35"/>
  <c r="H828" i="35"/>
  <c r="H832" i="35"/>
  <c r="H829" i="35"/>
  <c r="H831" i="35"/>
  <c r="H830" i="35"/>
  <c r="I278" i="36"/>
  <c r="G310" i="36"/>
  <c r="G310" i="35"/>
  <c r="G821" i="36"/>
  <c r="G821" i="35"/>
  <c r="I673" i="36"/>
  <c r="H488" i="36"/>
  <c r="H827" i="36" s="1"/>
  <c r="H486" i="36"/>
  <c r="H825" i="36" s="1"/>
  <c r="H484" i="36"/>
  <c r="H823" i="36" s="1"/>
  <c r="H487" i="36"/>
  <c r="H826" i="36" s="1"/>
  <c r="H485" i="36"/>
  <c r="H824" i="36" s="1"/>
  <c r="H488" i="35"/>
  <c r="H827" i="35" s="1"/>
  <c r="H485" i="35"/>
  <c r="H824" i="35" s="1"/>
  <c r="H487" i="35"/>
  <c r="H826" i="35" s="1"/>
  <c r="H484" i="35"/>
  <c r="H823" i="35" s="1"/>
  <c r="H486" i="35"/>
  <c r="H825" i="35" s="1"/>
  <c r="I594" i="36"/>
  <c r="H902" i="36"/>
  <c r="H900" i="36"/>
  <c r="H903" i="36"/>
  <c r="H901" i="36"/>
  <c r="H899" i="36"/>
  <c r="H900" i="35"/>
  <c r="H902" i="35"/>
  <c r="H899" i="35"/>
  <c r="H901" i="35"/>
  <c r="H903" i="35"/>
  <c r="I677" i="36"/>
  <c r="G162" i="36"/>
  <c r="G162" i="35"/>
  <c r="G954" i="35"/>
  <c r="G954" i="36"/>
  <c r="H476" i="36"/>
  <c r="H474" i="36"/>
  <c r="H472" i="36"/>
  <c r="H475" i="36"/>
  <c r="H473" i="36"/>
  <c r="H474" i="35"/>
  <c r="H476" i="35"/>
  <c r="H473" i="35"/>
  <c r="H472" i="35"/>
  <c r="H475" i="35"/>
  <c r="I127" i="36"/>
  <c r="H972" i="36"/>
  <c r="H970" i="36"/>
  <c r="H973" i="36"/>
  <c r="H969" i="35"/>
  <c r="H971" i="36"/>
  <c r="H971" i="35"/>
  <c r="H969" i="36"/>
  <c r="H970" i="35"/>
  <c r="H973" i="35"/>
  <c r="H972" i="35"/>
  <c r="I66" i="36"/>
  <c r="I976" i="36"/>
  <c r="I977" i="36"/>
  <c r="I975" i="36"/>
  <c r="G93" i="36"/>
  <c r="G93" i="35"/>
  <c r="G960" i="36"/>
  <c r="G960" i="35"/>
  <c r="H737" i="36"/>
  <c r="H735" i="36"/>
  <c r="H738" i="36"/>
  <c r="H736" i="36"/>
  <c r="H734" i="36"/>
  <c r="H738" i="35"/>
  <c r="H736" i="35"/>
  <c r="H734" i="35"/>
  <c r="H737" i="35"/>
  <c r="H735" i="35"/>
  <c r="H834" i="36"/>
  <c r="H751" i="36"/>
  <c r="H668" i="36"/>
  <c r="H585" i="36"/>
  <c r="H904" i="36"/>
  <c r="H974" i="36"/>
  <c r="H585" i="35"/>
  <c r="H751" i="35"/>
  <c r="H668" i="35"/>
  <c r="H834" i="35"/>
  <c r="H904" i="35"/>
  <c r="H974" i="35"/>
  <c r="I131" i="36"/>
  <c r="G234" i="36"/>
  <c r="G234" i="35"/>
  <c r="G724" i="36"/>
  <c r="G724" i="35"/>
  <c r="H893" i="36"/>
  <c r="H891" i="36"/>
  <c r="H892" i="36"/>
  <c r="H890" i="36"/>
  <c r="H892" i="35"/>
  <c r="H890" i="35"/>
  <c r="H893" i="35"/>
  <c r="H891" i="35"/>
  <c r="I520" i="36"/>
  <c r="G308" i="36"/>
  <c r="G308" i="35"/>
  <c r="G572" i="36"/>
  <c r="G572" i="35"/>
  <c r="G736" i="36"/>
  <c r="G736" i="35"/>
  <c r="H963" i="36"/>
  <c r="H961" i="36"/>
  <c r="H962" i="36"/>
  <c r="H963" i="35"/>
  <c r="H961" i="35"/>
  <c r="H960" i="36"/>
  <c r="H962" i="35"/>
  <c r="H960" i="35"/>
  <c r="I674" i="36"/>
  <c r="G161" i="36"/>
  <c r="G161" i="35"/>
  <c r="G892" i="36"/>
  <c r="G892" i="35"/>
  <c r="I299" i="36"/>
  <c r="I288" i="36"/>
  <c r="H654" i="36"/>
  <c r="H652" i="36"/>
  <c r="H655" i="36"/>
  <c r="H653" i="36"/>
  <c r="H654" i="35"/>
  <c r="H651" i="35"/>
  <c r="H653" i="35"/>
  <c r="H651" i="36"/>
  <c r="H655" i="35"/>
  <c r="H652" i="35"/>
  <c r="I759" i="36"/>
  <c r="I760" i="36"/>
  <c r="G376" i="35"/>
  <c r="G376" i="36"/>
  <c r="I523" i="36"/>
  <c r="I837" i="36"/>
  <c r="I835" i="36"/>
  <c r="I836" i="36"/>
  <c r="G236" i="36"/>
  <c r="G236" i="35"/>
  <c r="H820" i="36"/>
  <c r="H818" i="36"/>
  <c r="H821" i="36"/>
  <c r="H819" i="36"/>
  <c r="H817" i="36"/>
  <c r="H817" i="35"/>
  <c r="H819" i="35"/>
  <c r="H821" i="35"/>
  <c r="H818" i="35"/>
  <c r="H820" i="35"/>
  <c r="I904" i="36"/>
  <c r="I974" i="36"/>
  <c r="I751" i="36"/>
  <c r="I585" i="36"/>
  <c r="I834" i="36"/>
  <c r="I668" i="36"/>
  <c r="I675" i="36"/>
  <c r="I449" i="36"/>
  <c r="I412" i="36" s="1"/>
  <c r="I24" i="36"/>
  <c r="I18" i="36"/>
  <c r="I8" i="36"/>
  <c r="I11" i="36"/>
  <c r="I7" i="36"/>
  <c r="I9" i="36"/>
  <c r="I10" i="36"/>
  <c r="I907" i="36"/>
  <c r="I905" i="36"/>
  <c r="I906" i="36"/>
  <c r="I840" i="36"/>
  <c r="I754" i="36"/>
  <c r="I752" i="36"/>
  <c r="I753" i="36"/>
  <c r="I448" i="36"/>
  <c r="I411" i="36" s="1"/>
  <c r="O205" i="11"/>
  <c r="O217" i="11" s="1"/>
  <c r="O31" i="11"/>
  <c r="I449" i="11"/>
  <c r="F349" i="11"/>
  <c r="F350" i="11"/>
  <c r="F351" i="11"/>
  <c r="F348" i="11"/>
  <c r="F358" i="11" s="1"/>
  <c r="O410" i="11"/>
  <c r="O411" i="11"/>
  <c r="O430" i="11" s="1"/>
  <c r="O412" i="11"/>
  <c r="O409" i="11"/>
  <c r="O419" i="11" s="1"/>
  <c r="O348" i="11"/>
  <c r="O349" i="11"/>
  <c r="O368" i="11" s="1"/>
  <c r="O350" i="11"/>
  <c r="O351" i="11"/>
  <c r="O361" i="11" s="1"/>
  <c r="F410" i="11"/>
  <c r="F411" i="11"/>
  <c r="F412" i="11"/>
  <c r="F409" i="11"/>
  <c r="F419" i="11" s="1"/>
  <c r="O275" i="11"/>
  <c r="O276" i="11"/>
  <c r="O277" i="11"/>
  <c r="O278" i="11"/>
  <c r="O274" i="11"/>
  <c r="O132" i="11"/>
  <c r="O155" i="11" s="1"/>
  <c r="F274" i="11"/>
  <c r="F297" i="11" s="1"/>
  <c r="F275" i="11"/>
  <c r="F298" i="11" s="1"/>
  <c r="F276" i="11"/>
  <c r="F278" i="11"/>
  <c r="F277" i="11"/>
  <c r="O65" i="11"/>
  <c r="O84" i="11" s="1"/>
  <c r="O68" i="11"/>
  <c r="O67" i="11"/>
  <c r="O66" i="11"/>
  <c r="O85" i="11" s="1"/>
  <c r="O131" i="11"/>
  <c r="O130" i="11"/>
  <c r="O129" i="11"/>
  <c r="O152" i="11" s="1"/>
  <c r="O128" i="11"/>
  <c r="O127" i="11"/>
  <c r="O139" i="11" s="1"/>
  <c r="O201" i="11"/>
  <c r="O202" i="11"/>
  <c r="O214" i="11" s="1"/>
  <c r="O203" i="11"/>
  <c r="O215" i="11" s="1"/>
  <c r="O204" i="11"/>
  <c r="O216" i="11" s="1"/>
  <c r="O200" i="11"/>
  <c r="O223" i="11" s="1"/>
  <c r="F201" i="11"/>
  <c r="F224" i="11" s="1"/>
  <c r="F202" i="11"/>
  <c r="F225" i="11" s="1"/>
  <c r="F203" i="11"/>
  <c r="F204" i="11"/>
  <c r="F227" i="11" s="1"/>
  <c r="F200" i="11"/>
  <c r="F212" i="11" s="1"/>
  <c r="F128" i="11"/>
  <c r="F131" i="11"/>
  <c r="F130" i="11"/>
  <c r="F129" i="11"/>
  <c r="F127" i="11"/>
  <c r="F68" i="11"/>
  <c r="F87" i="11" s="1"/>
  <c r="F67" i="11"/>
  <c r="F86" i="11" s="1"/>
  <c r="F66" i="11"/>
  <c r="F85" i="11" s="1"/>
  <c r="F65" i="11"/>
  <c r="F798" i="11"/>
  <c r="F787" i="11"/>
  <c r="F791" i="11"/>
  <c r="F769" i="11"/>
  <c r="F622" i="11"/>
  <c r="F611" i="11"/>
  <c r="F21" i="11"/>
  <c r="F551" i="11"/>
  <c r="F533" i="11"/>
  <c r="F542" i="11"/>
  <c r="F793" i="11"/>
  <c r="F771" i="11"/>
  <c r="F19" i="11"/>
  <c r="F627" i="11"/>
  <c r="F605" i="11"/>
  <c r="O759" i="11"/>
  <c r="O12" i="11"/>
  <c r="F923" i="11"/>
  <c r="F22" i="11"/>
  <c r="O947" i="11"/>
  <c r="F531" i="11"/>
  <c r="F540" i="11"/>
  <c r="O592" i="11"/>
  <c r="O626" i="11" s="1"/>
  <c r="O560" i="11"/>
  <c r="F922" i="11"/>
  <c r="F20" i="11"/>
  <c r="F688" i="11"/>
  <c r="F699" i="11"/>
  <c r="F867" i="11"/>
  <c r="F23" i="11"/>
  <c r="F852" i="11"/>
  <c r="F931" i="11"/>
  <c r="F858" i="11"/>
  <c r="F849" i="11"/>
  <c r="F870" i="11"/>
  <c r="O876" i="11"/>
  <c r="O950" i="11"/>
  <c r="O911" i="11"/>
  <c r="O931" i="11" s="1"/>
  <c r="O39" i="11"/>
  <c r="O559" i="11"/>
  <c r="O207" i="11"/>
  <c r="O230" i="11" s="1"/>
  <c r="O557" i="11"/>
  <c r="O757" i="11"/>
  <c r="O791" i="11" s="1"/>
  <c r="O721" i="11"/>
  <c r="O877" i="11"/>
  <c r="O760" i="11"/>
  <c r="O783" i="11" s="1"/>
  <c r="F794" i="11"/>
  <c r="O910" i="11"/>
  <c r="O930" i="11" s="1"/>
  <c r="I464" i="11"/>
  <c r="O719" i="11"/>
  <c r="O758" i="11"/>
  <c r="O792" i="11" s="1"/>
  <c r="O878" i="11"/>
  <c r="F602" i="11"/>
  <c r="F613" i="11"/>
  <c r="F626" i="11"/>
  <c r="O676" i="11"/>
  <c r="O699" i="11" s="1"/>
  <c r="O70" i="11"/>
  <c r="O89" i="11" s="1"/>
  <c r="O677" i="11"/>
  <c r="O590" i="11"/>
  <c r="O624" i="11" s="1"/>
  <c r="O842" i="11"/>
  <c r="O852" i="11" s="1"/>
  <c r="O71" i="11"/>
  <c r="O81" i="11" s="1"/>
  <c r="O133" i="11"/>
  <c r="O145" i="11" s="1"/>
  <c r="O72" i="11"/>
  <c r="F687" i="11"/>
  <c r="F940" i="11"/>
  <c r="F698" i="11"/>
  <c r="O675" i="11"/>
  <c r="O420" i="11"/>
  <c r="O135" i="11"/>
  <c r="O158" i="11" s="1"/>
  <c r="F772" i="11"/>
  <c r="F783" i="11"/>
  <c r="O840" i="11"/>
  <c r="O859" i="11" s="1"/>
  <c r="O594" i="11"/>
  <c r="O606" i="11" s="1"/>
  <c r="O416" i="11"/>
  <c r="O281" i="11"/>
  <c r="O136" i="11"/>
  <c r="O159" i="11" s="1"/>
  <c r="O674" i="11"/>
  <c r="O697" i="11" s="1"/>
  <c r="O839" i="11"/>
  <c r="O858" i="11" s="1"/>
  <c r="O591" i="11"/>
  <c r="O614" i="11" s="1"/>
  <c r="O280" i="11"/>
  <c r="O292" i="11" s="1"/>
  <c r="O520" i="11"/>
  <c r="O530" i="11" s="1"/>
  <c r="F938" i="11"/>
  <c r="O879" i="11"/>
  <c r="O756" i="11"/>
  <c r="O779" i="11" s="1"/>
  <c r="O841" i="11"/>
  <c r="F781" i="11"/>
  <c r="O909" i="11"/>
  <c r="O929" i="11" s="1"/>
  <c r="O521" i="11"/>
  <c r="O282" i="11"/>
  <c r="F770" i="11"/>
  <c r="O558" i="11"/>
  <c r="O355" i="11"/>
  <c r="O365" i="11" s="1"/>
  <c r="O522" i="11"/>
  <c r="O532" i="11" s="1"/>
  <c r="O206" i="11"/>
  <c r="O218" i="11" s="1"/>
  <c r="O134" i="11"/>
  <c r="O146" i="11" s="1"/>
  <c r="O912" i="11"/>
  <c r="O523" i="11"/>
  <c r="O533" i="11" s="1"/>
  <c r="O431" i="11"/>
  <c r="O673" i="11"/>
  <c r="O685" i="11" s="1"/>
  <c r="O283" i="11"/>
  <c r="O306" i="11" s="1"/>
  <c r="O208" i="11"/>
  <c r="O220" i="11" s="1"/>
  <c r="O279" i="11"/>
  <c r="F288" i="11"/>
  <c r="O209" i="11"/>
  <c r="O232" i="11" s="1"/>
  <c r="O593" i="11"/>
  <c r="O616" i="11" s="1"/>
  <c r="F920" i="11"/>
  <c r="O69" i="11"/>
  <c r="O79" i="11" s="1"/>
  <c r="I580" i="11"/>
  <c r="F632" i="11"/>
  <c r="F610" i="11"/>
  <c r="F621" i="11"/>
  <c r="O762" i="11"/>
  <c r="O796" i="11" s="1"/>
  <c r="O597" i="11"/>
  <c r="O631" i="11" s="1"/>
  <c r="O761" i="11"/>
  <c r="O784" i="11" s="1"/>
  <c r="O844" i="11"/>
  <c r="O872" i="11" s="1"/>
  <c r="O915" i="11"/>
  <c r="O935" i="11" s="1"/>
  <c r="O949" i="11"/>
  <c r="O948" i="11"/>
  <c r="O638" i="11"/>
  <c r="O635" i="11"/>
  <c r="O637" i="11"/>
  <c r="F17" i="11"/>
  <c r="F11" i="11"/>
  <c r="O720" i="11"/>
  <c r="O718" i="11"/>
  <c r="O722" i="11"/>
  <c r="F430" i="11"/>
  <c r="F696" i="11"/>
  <c r="F707" i="11"/>
  <c r="F685" i="11"/>
  <c r="F359" i="11"/>
  <c r="F369" i="11"/>
  <c r="F370" i="11"/>
  <c r="F868" i="11"/>
  <c r="F850" i="11"/>
  <c r="F859" i="11"/>
  <c r="O802" i="11"/>
  <c r="O801" i="11"/>
  <c r="O804" i="11"/>
  <c r="O805" i="11"/>
  <c r="O803" i="11"/>
  <c r="O287" i="11"/>
  <c r="O288" i="11"/>
  <c r="F932" i="11"/>
  <c r="F7" i="11"/>
  <c r="F13" i="11"/>
  <c r="F9" i="11"/>
  <c r="F15" i="11"/>
  <c r="F14" i="11"/>
  <c r="F8" i="11"/>
  <c r="F10" i="11"/>
  <c r="F16" i="11"/>
  <c r="O639" i="11"/>
  <c r="O636" i="11"/>
  <c r="F869" i="11"/>
  <c r="F860" i="11"/>
  <c r="O415" i="11"/>
  <c r="O353" i="11"/>
  <c r="O352" i="11"/>
  <c r="O354" i="11"/>
  <c r="O373" i="11" s="1"/>
  <c r="O413" i="11"/>
  <c r="O414" i="11"/>
  <c r="O424" i="11" s="1"/>
  <c r="O154" i="11"/>
  <c r="O140" i="11"/>
  <c r="F692" i="11"/>
  <c r="F703" i="11"/>
  <c r="F714" i="11"/>
  <c r="I583" i="11"/>
  <c r="I463" i="11"/>
  <c r="I322" i="11"/>
  <c r="F930" i="11"/>
  <c r="F921" i="11"/>
  <c r="F697" i="11"/>
  <c r="F686" i="11"/>
  <c r="F617" i="11"/>
  <c r="F606" i="11"/>
  <c r="F768" i="11"/>
  <c r="F779" i="11"/>
  <c r="F689" i="11"/>
  <c r="F711" i="11"/>
  <c r="F603" i="11"/>
  <c r="F625" i="11"/>
  <c r="F615" i="11"/>
  <c r="F550" i="11"/>
  <c r="F532" i="11"/>
  <c r="F548" i="11"/>
  <c r="F539" i="11"/>
  <c r="F530" i="11"/>
  <c r="O27" i="11"/>
  <c r="O32" i="11" s="1"/>
  <c r="O30" i="11"/>
  <c r="O35" i="11" s="1"/>
  <c r="O52" i="11"/>
  <c r="O57" i="11" s="1"/>
  <c r="O28" i="11"/>
  <c r="O33" i="11" s="1"/>
  <c r="O29" i="11"/>
  <c r="O34" i="11" s="1"/>
  <c r="O37" i="11"/>
  <c r="O43" i="11"/>
  <c r="O48" i="11" s="1"/>
  <c r="O44" i="11"/>
  <c r="O49" i="11" s="1"/>
  <c r="O45" i="11"/>
  <c r="O50" i="11" s="1"/>
  <c r="O42" i="11"/>
  <c r="O47" i="11" s="1"/>
  <c r="O38" i="11"/>
  <c r="I664" i="11"/>
  <c r="I735" i="11"/>
  <c r="I957" i="11"/>
  <c r="I749" i="11"/>
  <c r="I746" i="11"/>
  <c r="I52" i="11"/>
  <c r="I57" i="11" s="1"/>
  <c r="I94" i="11"/>
  <c r="I835" i="11"/>
  <c r="I173" i="11"/>
  <c r="I313" i="11"/>
  <c r="I888" i="11"/>
  <c r="I733" i="11"/>
  <c r="I379" i="11"/>
  <c r="I815" i="11"/>
  <c r="I193" i="11"/>
  <c r="I340" i="11"/>
  <c r="I55" i="11"/>
  <c r="I60" i="11" s="1"/>
  <c r="I654" i="11"/>
  <c r="I122" i="11"/>
  <c r="I817" i="11"/>
  <c r="I829" i="11"/>
  <c r="I754" i="11"/>
  <c r="I651" i="11"/>
  <c r="I402" i="11"/>
  <c r="I267" i="11"/>
  <c r="I586" i="11"/>
  <c r="I104" i="11"/>
  <c r="I319" i="11"/>
  <c r="I653" i="11"/>
  <c r="I960" i="11"/>
  <c r="I731" i="11"/>
  <c r="I385" i="11"/>
  <c r="I447" i="11"/>
  <c r="I343" i="11"/>
  <c r="H514" i="11"/>
  <c r="I962" i="11"/>
  <c r="I812" i="11"/>
  <c r="I662" i="11"/>
  <c r="I573" i="11"/>
  <c r="I96" i="11"/>
  <c r="I97" i="11"/>
  <c r="I235" i="11"/>
  <c r="I566" i="11"/>
  <c r="N103" i="10"/>
  <c r="G572" i="11"/>
  <c r="I729" i="11"/>
  <c r="H478" i="11"/>
  <c r="H740" i="11" s="1"/>
  <c r="I246" i="11"/>
  <c r="I974" i="11"/>
  <c r="I441" i="11"/>
  <c r="I830" i="11"/>
  <c r="I730" i="11"/>
  <c r="I666" i="11"/>
  <c r="I901" i="11"/>
  <c r="I649" i="11"/>
  <c r="I732" i="11"/>
  <c r="I959" i="11"/>
  <c r="I736" i="11"/>
  <c r="G653" i="11"/>
  <c r="G162" i="11"/>
  <c r="G821" i="11"/>
  <c r="H509" i="11"/>
  <c r="I386" i="11"/>
  <c r="I814" i="11"/>
  <c r="I816" i="11"/>
  <c r="I175" i="11"/>
  <c r="I571" i="11"/>
  <c r="I164" i="11"/>
  <c r="I963" i="11"/>
  <c r="I665" i="11"/>
  <c r="I900" i="11"/>
  <c r="I103" i="11"/>
  <c r="I828" i="11"/>
  <c r="I972" i="11"/>
  <c r="G236" i="11"/>
  <c r="G954" i="11"/>
  <c r="I172" i="11"/>
  <c r="I813" i="11"/>
  <c r="I237" i="11"/>
  <c r="I377" i="11"/>
  <c r="I831" i="11"/>
  <c r="I323" i="11"/>
  <c r="I977" i="11"/>
  <c r="G644" i="11"/>
  <c r="I663" i="11"/>
  <c r="I969" i="11"/>
  <c r="I899" i="11"/>
  <c r="I970" i="11"/>
  <c r="I572" i="11"/>
  <c r="I466" i="11"/>
  <c r="I53" i="11"/>
  <c r="I58" i="11" s="1"/>
  <c r="I734" i="11"/>
  <c r="G94" i="11"/>
  <c r="G960" i="11"/>
  <c r="H485" i="11"/>
  <c r="I163" i="11"/>
  <c r="I388" i="11"/>
  <c r="I236" i="11"/>
  <c r="I889" i="11"/>
  <c r="I890" i="11"/>
  <c r="I961" i="11"/>
  <c r="I581" i="11"/>
  <c r="I821" i="11"/>
  <c r="I655" i="11"/>
  <c r="I438" i="11"/>
  <c r="G310" i="11"/>
  <c r="I247" i="11"/>
  <c r="I902" i="11"/>
  <c r="I971" i="11"/>
  <c r="I12" i="11"/>
  <c r="I54" i="11"/>
  <c r="I59" i="11" s="1"/>
  <c r="I738" i="11"/>
  <c r="I818" i="11"/>
  <c r="I165" i="11"/>
  <c r="I670" i="11"/>
  <c r="I51" i="11"/>
  <c r="I56" i="11" s="1"/>
  <c r="I311" i="11"/>
  <c r="H473" i="11"/>
  <c r="I387" i="11"/>
  <c r="I646" i="11"/>
  <c r="I737" i="11"/>
  <c r="I162" i="11"/>
  <c r="I238" i="11"/>
  <c r="I196" i="11"/>
  <c r="I892" i="11"/>
  <c r="I270" i="11"/>
  <c r="G959" i="11"/>
  <c r="I245" i="11"/>
  <c r="I405" i="11"/>
  <c r="I747" i="11"/>
  <c r="I378" i="11"/>
  <c r="I832" i="11"/>
  <c r="I647" i="11"/>
  <c r="G724" i="11"/>
  <c r="I893" i="11"/>
  <c r="I440" i="11"/>
  <c r="I650" i="11"/>
  <c r="I820" i="11"/>
  <c r="I166" i="11"/>
  <c r="I446" i="11"/>
  <c r="I748" i="11"/>
  <c r="I380" i="11"/>
  <c r="I569" i="11"/>
  <c r="G813" i="11"/>
  <c r="G736" i="11"/>
  <c r="I174" i="11"/>
  <c r="I310" i="11"/>
  <c r="I249" i="11"/>
  <c r="I958" i="11"/>
  <c r="I819" i="11"/>
  <c r="I956" i="11"/>
  <c r="I102" i="11"/>
  <c r="I439" i="11"/>
  <c r="I652" i="11"/>
  <c r="I95" i="11"/>
  <c r="I309" i="11"/>
  <c r="N119" i="22"/>
  <c r="I745" i="11"/>
  <c r="I570" i="11"/>
  <c r="I891" i="11"/>
  <c r="I887" i="11"/>
  <c r="I567" i="11"/>
  <c r="I648" i="11"/>
  <c r="I239" i="11"/>
  <c r="I105" i="11"/>
  <c r="I568" i="11"/>
  <c r="P103" i="10"/>
  <c r="G437" i="11"/>
  <c r="M104" i="10"/>
  <c r="G562" i="11"/>
  <c r="G892" i="11"/>
  <c r="H751" i="11"/>
  <c r="I312" i="11"/>
  <c r="I248" i="11"/>
  <c r="I176" i="11"/>
  <c r="I320" i="11"/>
  <c r="I886" i="11"/>
  <c r="I588" i="11"/>
  <c r="I403" i="11"/>
  <c r="S28" i="5"/>
  <c r="F118" i="8" s="1"/>
  <c r="I118" i="8" s="1"/>
  <c r="S29" i="5"/>
  <c r="F119" i="8" s="1"/>
  <c r="S24" i="5"/>
  <c r="F114" i="8" s="1"/>
  <c r="M114" i="8" s="1"/>
  <c r="S26" i="5"/>
  <c r="F116" i="8" s="1"/>
  <c r="S25" i="5"/>
  <c r="F115" i="8" s="1"/>
  <c r="S23" i="5"/>
  <c r="F113" i="8" s="1"/>
  <c r="S27" i="5"/>
  <c r="F117" i="8" s="1"/>
  <c r="Y117" i="8" s="1"/>
  <c r="S12" i="5"/>
  <c r="F51" i="8" s="1"/>
  <c r="S16" i="5"/>
  <c r="F61" i="8" s="1"/>
  <c r="AC61" i="8" s="1"/>
  <c r="S48" i="5"/>
  <c r="S8" i="5"/>
  <c r="F11" i="8" s="1"/>
  <c r="S20" i="5"/>
  <c r="S10" i="5"/>
  <c r="F31" i="8" s="1"/>
  <c r="F35" i="8" s="1"/>
  <c r="I35" i="8" s="1"/>
  <c r="S9" i="5"/>
  <c r="F21" i="8" s="1"/>
  <c r="F29" i="8" s="1"/>
  <c r="I29" i="8" s="1"/>
  <c r="S19" i="5"/>
  <c r="F78" i="8" s="1"/>
  <c r="Q78" i="8" s="1"/>
  <c r="S59" i="5"/>
  <c r="F197" i="8" s="1"/>
  <c r="M197" i="8" s="1"/>
  <c r="S46" i="5"/>
  <c r="S47" i="5"/>
  <c r="F160" i="8" s="1"/>
  <c r="U160" i="8" s="1"/>
  <c r="S11" i="5"/>
  <c r="F41" i="8" s="1"/>
  <c r="S21" i="5"/>
  <c r="F104" i="8" s="1"/>
  <c r="S18" i="5"/>
  <c r="S62" i="5"/>
  <c r="F200" i="8" s="1"/>
  <c r="S17" i="5"/>
  <c r="S35" i="5"/>
  <c r="F132" i="8" s="1"/>
  <c r="Q132" i="8" s="1"/>
  <c r="S55" i="5"/>
  <c r="F182" i="8" s="1"/>
  <c r="AC182" i="8" s="1"/>
  <c r="S42" i="5"/>
  <c r="F143" i="8" s="1"/>
  <c r="Q143" i="8" s="1"/>
  <c r="S33" i="5"/>
  <c r="F126" i="8" s="1"/>
  <c r="Q126" i="8" s="1"/>
  <c r="S54" i="5"/>
  <c r="F181" i="8" s="1"/>
  <c r="Q181" i="8" s="1"/>
  <c r="S51" i="5"/>
  <c r="F175" i="8" s="1"/>
  <c r="Q175" i="8" s="1"/>
  <c r="S38" i="5"/>
  <c r="F135" i="8" s="1"/>
  <c r="S52" i="5"/>
  <c r="F179" i="8" s="1"/>
  <c r="U179" i="8" s="1"/>
  <c r="S56" i="5"/>
  <c r="F183" i="8" s="1"/>
  <c r="S34" i="5"/>
  <c r="S40" i="5"/>
  <c r="S43" i="5"/>
  <c r="F144" i="8" s="1"/>
  <c r="S60" i="5"/>
  <c r="F198" i="8" s="1"/>
  <c r="AC198" i="8" s="1"/>
  <c r="S63" i="5"/>
  <c r="F201" i="8" s="1"/>
  <c r="S53" i="5"/>
  <c r="F180" i="8" s="1"/>
  <c r="S50" i="5"/>
  <c r="S36" i="5"/>
  <c r="F133" i="8" s="1"/>
  <c r="Q133" i="8" s="1"/>
  <c r="S41" i="5"/>
  <c r="F142" i="8" s="1"/>
  <c r="M142" i="8" s="1"/>
  <c r="I668" i="11"/>
  <c r="I904" i="11"/>
  <c r="I751" i="11"/>
  <c r="I585" i="11"/>
  <c r="I834" i="11"/>
  <c r="I587" i="11"/>
  <c r="H834" i="11"/>
  <c r="H492" i="11"/>
  <c r="H967" i="11" s="1"/>
  <c r="H585" i="11"/>
  <c r="H974" i="11"/>
  <c r="H490" i="11"/>
  <c r="O203" i="10"/>
  <c r="O120" i="22"/>
  <c r="H512" i="11"/>
  <c r="H491" i="11"/>
  <c r="H493" i="11"/>
  <c r="H968" i="11" s="1"/>
  <c r="O204" i="10"/>
  <c r="L119" i="22"/>
  <c r="H517" i="11"/>
  <c r="H904" i="11"/>
  <c r="H480" i="11"/>
  <c r="H742" i="11" s="1"/>
  <c r="Q247" i="10"/>
  <c r="O201" i="10"/>
  <c r="H515" i="11"/>
  <c r="H479" i="11"/>
  <c r="H741" i="11" s="1"/>
  <c r="H516" i="11"/>
  <c r="H481" i="11"/>
  <c r="H482" i="11"/>
  <c r="Q246" i="10"/>
  <c r="Q249" i="10"/>
  <c r="R248" i="10"/>
  <c r="R249" i="10"/>
  <c r="R247" i="10"/>
  <c r="Q250" i="10"/>
  <c r="R250" i="10"/>
  <c r="R200" i="10"/>
  <c r="R201" i="10"/>
  <c r="O202" i="10"/>
  <c r="R203" i="10"/>
  <c r="H511" i="11"/>
  <c r="H508" i="11"/>
  <c r="H510" i="11"/>
  <c r="H668" i="11"/>
  <c r="H487" i="11"/>
  <c r="H475" i="11"/>
  <c r="H484" i="11"/>
  <c r="H476" i="11"/>
  <c r="H472" i="11"/>
  <c r="H657" i="11" s="1"/>
  <c r="H486" i="11"/>
  <c r="K119" i="22"/>
  <c r="H488" i="11"/>
  <c r="H474" i="11"/>
  <c r="M119" i="22"/>
  <c r="I975" i="11"/>
  <c r="I976" i="11"/>
  <c r="I671" i="11"/>
  <c r="I669" i="11"/>
  <c r="I752" i="11"/>
  <c r="I753" i="11"/>
  <c r="I341" i="11"/>
  <c r="I268" i="11"/>
  <c r="I120" i="11"/>
  <c r="I194" i="11"/>
  <c r="O249" i="10"/>
  <c r="M225" i="10"/>
  <c r="M223" i="10"/>
  <c r="M222" i="10"/>
  <c r="M224" i="10"/>
  <c r="Q202" i="10"/>
  <c r="Q203" i="10"/>
  <c r="Q200" i="10"/>
  <c r="P86" i="10"/>
  <c r="P248" i="10"/>
  <c r="N246" i="10"/>
  <c r="M246" i="10"/>
  <c r="N250" i="10"/>
  <c r="P246" i="10"/>
  <c r="N83" i="10"/>
  <c r="N247" i="10"/>
  <c r="N249" i="10"/>
  <c r="P247" i="10"/>
  <c r="N85" i="10"/>
  <c r="N86" i="10"/>
  <c r="N84" i="10"/>
  <c r="M247" i="10"/>
  <c r="Q85" i="10"/>
  <c r="Q83" i="10"/>
  <c r="Q86" i="10"/>
  <c r="Q84" i="10"/>
  <c r="Q82" i="10"/>
  <c r="O246" i="10"/>
  <c r="O250" i="10"/>
  <c r="O247" i="10"/>
  <c r="R224" i="10"/>
  <c r="P85" i="10"/>
  <c r="P84" i="10"/>
  <c r="P82" i="10"/>
  <c r="M250" i="10"/>
  <c r="M249" i="10"/>
  <c r="N200" i="10"/>
  <c r="R105" i="10"/>
  <c r="M201" i="10"/>
  <c r="R107" i="10"/>
  <c r="N105" i="10"/>
  <c r="M202" i="10"/>
  <c r="R104" i="10"/>
  <c r="N106" i="10"/>
  <c r="M203" i="10"/>
  <c r="R103" i="10"/>
  <c r="R106" i="10"/>
  <c r="M204" i="10"/>
  <c r="G93" i="11"/>
  <c r="M107" i="10"/>
  <c r="M84" i="10"/>
  <c r="M86" i="10"/>
  <c r="M83" i="10"/>
  <c r="M85" i="10"/>
  <c r="O84" i="10"/>
  <c r="O86" i="10"/>
  <c r="O85" i="10"/>
  <c r="O82" i="10"/>
  <c r="P222" i="10"/>
  <c r="P225" i="10"/>
  <c r="P224" i="10"/>
  <c r="P226" i="10"/>
  <c r="R222" i="10"/>
  <c r="R226" i="10"/>
  <c r="R223" i="10"/>
  <c r="O1009" i="11"/>
  <c r="O1021" i="11"/>
  <c r="O1004" i="11"/>
  <c r="O1016" i="11"/>
  <c r="O579" i="11"/>
  <c r="O661" i="11"/>
  <c r="O599" i="11" s="1"/>
  <c r="O633" i="11" s="1"/>
  <c r="O1013" i="11"/>
  <c r="F873" i="11"/>
  <c r="F855" i="11"/>
  <c r="F864" i="11"/>
  <c r="O1017" i="11"/>
  <c r="O1005" i="11"/>
  <c r="O578" i="11"/>
  <c r="O527" i="11" s="1"/>
  <c r="O826" i="11"/>
  <c r="O764" i="11" s="1"/>
  <c r="O660" i="11"/>
  <c r="O598" i="11" s="1"/>
  <c r="O610" i="11" s="1"/>
  <c r="O658" i="11"/>
  <c r="O596" i="11" s="1"/>
  <c r="O576" i="11"/>
  <c r="O525" i="11" s="1"/>
  <c r="O577" i="11"/>
  <c r="O526" i="11" s="1"/>
  <c r="O898" i="11"/>
  <c r="O846" i="11" s="1"/>
  <c r="O740" i="11"/>
  <c r="O678" i="11" s="1"/>
  <c r="O968" i="11"/>
  <c r="O916" i="11" s="1"/>
  <c r="O657" i="11"/>
  <c r="O595" i="11" s="1"/>
  <c r="O575" i="11"/>
  <c r="O524" i="11" s="1"/>
  <c r="O825" i="11"/>
  <c r="O763" i="11" s="1"/>
  <c r="O742" i="11"/>
  <c r="O680" i="11" s="1"/>
  <c r="O703" i="11" s="1"/>
  <c r="O895" i="11"/>
  <c r="O843" i="11" s="1"/>
  <c r="O853" i="11" s="1"/>
  <c r="O744" i="11"/>
  <c r="O682" i="11" s="1"/>
  <c r="O1020" i="11"/>
  <c r="O1012" i="11"/>
  <c r="O1008" i="11"/>
  <c r="O965" i="11"/>
  <c r="O913" i="11" s="1"/>
  <c r="O743" i="11"/>
  <c r="O681" i="11" s="1"/>
  <c r="O741" i="11"/>
  <c r="O679" i="11" s="1"/>
  <c r="O794" i="11"/>
  <c r="N201" i="10"/>
  <c r="F619" i="11"/>
  <c r="F608" i="11"/>
  <c r="F630" i="11"/>
  <c r="P249" i="10"/>
  <c r="R204" i="10"/>
  <c r="P107" i="10"/>
  <c r="M106" i="10"/>
  <c r="Q201" i="10"/>
  <c r="I837" i="11"/>
  <c r="I836" i="11"/>
  <c r="M103" i="10"/>
  <c r="M105" i="10"/>
  <c r="R86" i="10"/>
  <c r="N223" i="10"/>
  <c r="N225" i="10"/>
  <c r="N222" i="10"/>
  <c r="N226" i="10"/>
  <c r="N224" i="10"/>
  <c r="R82" i="10"/>
  <c r="O897" i="11"/>
  <c r="O845" i="11" s="1"/>
  <c r="N202" i="10"/>
  <c r="N204" i="10"/>
  <c r="D47" i="8"/>
  <c r="K45" i="8"/>
  <c r="J45" i="8"/>
  <c r="F862" i="11"/>
  <c r="F853" i="11"/>
  <c r="F871" i="11"/>
  <c r="O861" i="11"/>
  <c r="O966" i="11"/>
  <c r="O914" i="11" s="1"/>
  <c r="O925" i="11" s="1"/>
  <c r="O827" i="11"/>
  <c r="O765" i="11" s="1"/>
  <c r="O777" i="11" s="1"/>
  <c r="G161" i="11"/>
  <c r="N107" i="10"/>
  <c r="N104" i="10"/>
  <c r="R85" i="10"/>
  <c r="R83" i="10"/>
  <c r="R84" i="10"/>
  <c r="P106" i="10"/>
  <c r="G308" i="11"/>
  <c r="P104" i="10"/>
  <c r="P105" i="10"/>
  <c r="H653" i="11"/>
  <c r="H655" i="11"/>
  <c r="L135" i="22"/>
  <c r="H651" i="11"/>
  <c r="H654" i="11"/>
  <c r="H652" i="11"/>
  <c r="Q107" i="10"/>
  <c r="Q106" i="10"/>
  <c r="G376" i="11"/>
  <c r="Q104" i="10"/>
  <c r="Q105" i="10"/>
  <c r="Q103" i="10"/>
  <c r="P202" i="10"/>
  <c r="P204" i="10"/>
  <c r="P201" i="10"/>
  <c r="P200" i="10"/>
  <c r="P203" i="10"/>
  <c r="Q223" i="10"/>
  <c r="Q222" i="10"/>
  <c r="Q225" i="10"/>
  <c r="Q226" i="10"/>
  <c r="Q224" i="10"/>
  <c r="N135" i="22"/>
  <c r="H819" i="11"/>
  <c r="H821" i="11"/>
  <c r="H820" i="11"/>
  <c r="H817" i="11"/>
  <c r="H818" i="11"/>
  <c r="H963" i="11"/>
  <c r="H962" i="11"/>
  <c r="H961" i="11"/>
  <c r="H960" i="11"/>
  <c r="P135" i="22"/>
  <c r="H890" i="11"/>
  <c r="H891" i="11"/>
  <c r="H893" i="11"/>
  <c r="O135" i="22"/>
  <c r="H892" i="11"/>
  <c r="H735" i="11"/>
  <c r="H738" i="11"/>
  <c r="H737" i="11"/>
  <c r="H736" i="11"/>
  <c r="M135" i="22"/>
  <c r="H734" i="11"/>
  <c r="O106" i="10"/>
  <c r="O105" i="10"/>
  <c r="G234" i="11"/>
  <c r="O104" i="10"/>
  <c r="O103" i="10"/>
  <c r="O107" i="10"/>
  <c r="O225" i="10"/>
  <c r="O223" i="10"/>
  <c r="O226" i="10"/>
  <c r="O222" i="10"/>
  <c r="O224" i="10"/>
  <c r="H572" i="11"/>
  <c r="H571" i="11"/>
  <c r="K135" i="22"/>
  <c r="H573" i="11"/>
  <c r="H570" i="11"/>
  <c r="I905" i="11"/>
  <c r="I907" i="11"/>
  <c r="I906" i="11"/>
  <c r="F153" i="11"/>
  <c r="F142" i="11"/>
  <c r="F546" i="11"/>
  <c r="F555" i="11"/>
  <c r="F537" i="11"/>
  <c r="F536" i="11"/>
  <c r="F545" i="11"/>
  <c r="F554" i="11"/>
  <c r="F543" i="11"/>
  <c r="F534" i="11"/>
  <c r="F552" i="11"/>
  <c r="I298" i="36" l="1"/>
  <c r="I78" i="36"/>
  <c r="I710" i="36"/>
  <c r="I688" i="36"/>
  <c r="I699" i="36"/>
  <c r="I949" i="36"/>
  <c r="I931" i="36"/>
  <c r="I940" i="36"/>
  <c r="I223" i="36"/>
  <c r="I286" i="36"/>
  <c r="I603" i="36"/>
  <c r="I224" i="36"/>
  <c r="I614" i="36"/>
  <c r="I368" i="36"/>
  <c r="I876" i="36"/>
  <c r="I358" i="36"/>
  <c r="I215" i="36"/>
  <c r="I289" i="36"/>
  <c r="I932" i="36"/>
  <c r="I216" i="36"/>
  <c r="I920" i="36"/>
  <c r="I419" i="36"/>
  <c r="I86" i="36"/>
  <c r="I627" i="36"/>
  <c r="I616" i="36"/>
  <c r="I360" i="36"/>
  <c r="I153" i="36"/>
  <c r="I923" i="36"/>
  <c r="I152" i="36"/>
  <c r="I929" i="36"/>
  <c r="I878" i="36"/>
  <c r="I938" i="36"/>
  <c r="I860" i="36"/>
  <c r="I950" i="36"/>
  <c r="I851" i="36"/>
  <c r="I939" i="36"/>
  <c r="I370" i="36"/>
  <c r="I948" i="36"/>
  <c r="I867" i="36"/>
  <c r="I921" i="36"/>
  <c r="I626" i="36"/>
  <c r="I803" i="36"/>
  <c r="I858" i="36"/>
  <c r="I604" i="36"/>
  <c r="I781" i="36"/>
  <c r="I351" i="11"/>
  <c r="I792" i="36"/>
  <c r="I420" i="36"/>
  <c r="I84" i="36"/>
  <c r="I431" i="36"/>
  <c r="I422" i="36"/>
  <c r="I430" i="36"/>
  <c r="I421" i="36"/>
  <c r="G249" i="36"/>
  <c r="G244" i="36"/>
  <c r="G254" i="36"/>
  <c r="G254" i="35"/>
  <c r="G259" i="36"/>
  <c r="G244" i="35"/>
  <c r="G259" i="35"/>
  <c r="G249" i="35"/>
  <c r="G811" i="36"/>
  <c r="G811" i="35"/>
  <c r="G328" i="36"/>
  <c r="G323" i="36"/>
  <c r="G318" i="36"/>
  <c r="G333" i="36"/>
  <c r="G318" i="35"/>
  <c r="G333" i="35"/>
  <c r="G323" i="35"/>
  <c r="G328" i="35"/>
  <c r="G814" i="36"/>
  <c r="G814" i="35"/>
  <c r="G641" i="36"/>
  <c r="G641" i="35"/>
  <c r="G655" i="36"/>
  <c r="G655" i="35"/>
  <c r="G952" i="36"/>
  <c r="G952" i="35"/>
  <c r="G727" i="36"/>
  <c r="G727" i="35"/>
  <c r="G99" i="36"/>
  <c r="G107" i="36"/>
  <c r="G103" i="36"/>
  <c r="G111" i="36"/>
  <c r="G107" i="35"/>
  <c r="G111" i="35"/>
  <c r="G99" i="35"/>
  <c r="G103" i="35"/>
  <c r="K724" i="36"/>
  <c r="L724" i="36" s="1"/>
  <c r="M724" i="36" s="1"/>
  <c r="H576" i="36"/>
  <c r="H658" i="36"/>
  <c r="I290" i="36"/>
  <c r="I301" i="36"/>
  <c r="K562" i="36"/>
  <c r="L562" i="36" s="1"/>
  <c r="M562" i="36" s="1"/>
  <c r="G245" i="36"/>
  <c r="G240" i="36"/>
  <c r="G255" i="36"/>
  <c r="G250" i="36"/>
  <c r="G240" i="35"/>
  <c r="G255" i="35"/>
  <c r="G250" i="35"/>
  <c r="G245" i="35"/>
  <c r="H889" i="36"/>
  <c r="H842" i="36" s="1"/>
  <c r="H887" i="36"/>
  <c r="H840" i="36" s="1"/>
  <c r="H886" i="35"/>
  <c r="H839" i="35" s="1"/>
  <c r="H888" i="35"/>
  <c r="H841" i="35" s="1"/>
  <c r="H886" i="36"/>
  <c r="H839" i="36" s="1"/>
  <c r="H887" i="35"/>
  <c r="H840" i="35" s="1"/>
  <c r="H888" i="36"/>
  <c r="H841" i="36" s="1"/>
  <c r="H889" i="35"/>
  <c r="H842" i="35" s="1"/>
  <c r="G809" i="36"/>
  <c r="G809" i="35"/>
  <c r="G815" i="36"/>
  <c r="G815" i="35"/>
  <c r="G573" i="36"/>
  <c r="G573" i="35"/>
  <c r="G378" i="36"/>
  <c r="G378" i="35"/>
  <c r="G570" i="36"/>
  <c r="G570" i="35"/>
  <c r="G725" i="36"/>
  <c r="G725" i="35"/>
  <c r="I850" i="36"/>
  <c r="I859" i="36"/>
  <c r="I868" i="36"/>
  <c r="I877" i="36"/>
  <c r="I805" i="36"/>
  <c r="I772" i="36"/>
  <c r="I794" i="36"/>
  <c r="I783" i="36"/>
  <c r="I143" i="36"/>
  <c r="I154" i="36"/>
  <c r="H578" i="36"/>
  <c r="H660" i="36"/>
  <c r="G256" i="36"/>
  <c r="G251" i="36"/>
  <c r="G246" i="36"/>
  <c r="G241" i="36"/>
  <c r="G256" i="35"/>
  <c r="G251" i="35"/>
  <c r="G241" i="35"/>
  <c r="G246" i="35"/>
  <c r="G389" i="36"/>
  <c r="G385" i="36"/>
  <c r="G393" i="36"/>
  <c r="G381" i="36"/>
  <c r="G385" i="35"/>
  <c r="G389" i="35"/>
  <c r="G393" i="35"/>
  <c r="G381" i="35"/>
  <c r="G321" i="36"/>
  <c r="G316" i="36"/>
  <c r="G331" i="36"/>
  <c r="G326" i="36"/>
  <c r="G331" i="35"/>
  <c r="G326" i="35"/>
  <c r="G316" i="35"/>
  <c r="G321" i="35"/>
  <c r="G645" i="36"/>
  <c r="G645" i="35"/>
  <c r="G812" i="36"/>
  <c r="G812" i="35"/>
  <c r="G457" i="36"/>
  <c r="G449" i="36"/>
  <c r="G445" i="36"/>
  <c r="G453" i="36"/>
  <c r="G457" i="35"/>
  <c r="G445" i="35"/>
  <c r="G453" i="35"/>
  <c r="G449" i="35"/>
  <c r="G380" i="36"/>
  <c r="G380" i="35"/>
  <c r="G651" i="36"/>
  <c r="G651" i="35"/>
  <c r="G891" i="36"/>
  <c r="G891" i="35"/>
  <c r="G319" i="36"/>
  <c r="G314" i="36"/>
  <c r="G329" i="36"/>
  <c r="G324" i="36"/>
  <c r="G324" i="35"/>
  <c r="G319" i="35"/>
  <c r="G314" i="35"/>
  <c r="G329" i="35"/>
  <c r="I771" i="36"/>
  <c r="I793" i="36"/>
  <c r="I782" i="36"/>
  <c r="I804" i="36"/>
  <c r="H575" i="36"/>
  <c r="H657" i="36"/>
  <c r="I852" i="36"/>
  <c r="I879" i="36"/>
  <c r="I870" i="36"/>
  <c r="I861" i="36"/>
  <c r="K644" i="35"/>
  <c r="H815" i="36"/>
  <c r="H759" i="36" s="1"/>
  <c r="H813" i="36"/>
  <c r="H757" i="36" s="1"/>
  <c r="H816" i="36"/>
  <c r="H760" i="36" s="1"/>
  <c r="H814" i="36"/>
  <c r="H758" i="36" s="1"/>
  <c r="H812" i="36"/>
  <c r="H756" i="36" s="1"/>
  <c r="H812" i="35"/>
  <c r="H756" i="35" s="1"/>
  <c r="H814" i="35"/>
  <c r="H758" i="35" s="1"/>
  <c r="H816" i="35"/>
  <c r="H760" i="35" s="1"/>
  <c r="H813" i="35"/>
  <c r="H757" i="35" s="1"/>
  <c r="H815" i="35"/>
  <c r="H759" i="35" s="1"/>
  <c r="G387" i="36"/>
  <c r="G391" i="36"/>
  <c r="G395" i="36"/>
  <c r="G383" i="36"/>
  <c r="G395" i="35"/>
  <c r="G383" i="35"/>
  <c r="G391" i="35"/>
  <c r="G387" i="35"/>
  <c r="G315" i="36"/>
  <c r="G325" i="36"/>
  <c r="G320" i="36"/>
  <c r="G330" i="36"/>
  <c r="G320" i="35"/>
  <c r="G315" i="35"/>
  <c r="G325" i="35"/>
  <c r="G330" i="35"/>
  <c r="G883" i="36"/>
  <c r="G883" i="35"/>
  <c r="G235" i="36"/>
  <c r="G235" i="35"/>
  <c r="G450" i="36"/>
  <c r="G446" i="36"/>
  <c r="G442" i="36"/>
  <c r="G454" i="36"/>
  <c r="G450" i="35"/>
  <c r="G446" i="35"/>
  <c r="G454" i="35"/>
  <c r="G442" i="35"/>
  <c r="G309" i="36"/>
  <c r="G309" i="35"/>
  <c r="G571" i="36"/>
  <c r="G571" i="35"/>
  <c r="G819" i="36"/>
  <c r="G819" i="35"/>
  <c r="G568" i="36"/>
  <c r="G568" i="35"/>
  <c r="G961" i="36"/>
  <c r="G961" i="35"/>
  <c r="H659" i="36"/>
  <c r="H577" i="36"/>
  <c r="H895" i="35"/>
  <c r="H965" i="35"/>
  <c r="K644" i="36"/>
  <c r="L644" i="36" s="1"/>
  <c r="M644" i="36" s="1"/>
  <c r="I214" i="36"/>
  <c r="I225" i="36"/>
  <c r="H569" i="36"/>
  <c r="H523" i="36" s="1"/>
  <c r="H567" i="36"/>
  <c r="H521" i="36" s="1"/>
  <c r="H568" i="36"/>
  <c r="H522" i="36" s="1"/>
  <c r="H566" i="36"/>
  <c r="H520" i="36" s="1"/>
  <c r="H569" i="35"/>
  <c r="H523" i="35" s="1"/>
  <c r="H566" i="35"/>
  <c r="H520" i="35" s="1"/>
  <c r="H568" i="35"/>
  <c r="H522" i="35" s="1"/>
  <c r="H567" i="35"/>
  <c r="H521" i="35" s="1"/>
  <c r="G247" i="36"/>
  <c r="G242" i="36"/>
  <c r="G257" i="36"/>
  <c r="G247" i="35"/>
  <c r="G252" i="36"/>
  <c r="G242" i="35"/>
  <c r="G252" i="35"/>
  <c r="G257" i="35"/>
  <c r="G888" i="36"/>
  <c r="G888" i="35"/>
  <c r="G390" i="36"/>
  <c r="G386" i="36"/>
  <c r="G394" i="36"/>
  <c r="G382" i="36"/>
  <c r="G390" i="35"/>
  <c r="G394" i="35"/>
  <c r="G382" i="35"/>
  <c r="G386" i="35"/>
  <c r="G438" i="36"/>
  <c r="G438" i="35"/>
  <c r="G105" i="36"/>
  <c r="G101" i="36"/>
  <c r="G109" i="36"/>
  <c r="G113" i="36"/>
  <c r="G105" i="35"/>
  <c r="G109" i="35"/>
  <c r="G113" i="35"/>
  <c r="G101" i="35"/>
  <c r="G238" i="36"/>
  <c r="G238" i="35"/>
  <c r="G565" i="36"/>
  <c r="G565" i="35"/>
  <c r="G311" i="36"/>
  <c r="G311" i="35"/>
  <c r="G164" i="36"/>
  <c r="G164" i="35"/>
  <c r="G313" i="35"/>
  <c r="G313" i="36"/>
  <c r="G566" i="36"/>
  <c r="G566" i="35"/>
  <c r="G963" i="36"/>
  <c r="G963" i="35"/>
  <c r="H661" i="36"/>
  <c r="H579" i="36"/>
  <c r="H897" i="35"/>
  <c r="H967" i="35"/>
  <c r="I791" i="36"/>
  <c r="I769" i="36"/>
  <c r="I780" i="36"/>
  <c r="I802" i="36"/>
  <c r="G258" i="36"/>
  <c r="G253" i="36"/>
  <c r="G248" i="36"/>
  <c r="G258" i="35"/>
  <c r="G243" i="36"/>
  <c r="G248" i="35"/>
  <c r="G253" i="35"/>
  <c r="G243" i="35"/>
  <c r="H958" i="36"/>
  <c r="H911" i="36" s="1"/>
  <c r="H956" i="36"/>
  <c r="H909" i="36" s="1"/>
  <c r="H959" i="36"/>
  <c r="H912" i="36" s="1"/>
  <c r="H957" i="36"/>
  <c r="H910" i="36" s="1"/>
  <c r="H956" i="35"/>
  <c r="H909" i="35" s="1"/>
  <c r="H958" i="35"/>
  <c r="H911" i="35" s="1"/>
  <c r="H959" i="35"/>
  <c r="H912" i="35" s="1"/>
  <c r="H957" i="35"/>
  <c r="H910" i="35" s="1"/>
  <c r="G317" i="36"/>
  <c r="G332" i="36"/>
  <c r="G327" i="36"/>
  <c r="G322" i="36"/>
  <c r="G327" i="35"/>
  <c r="G322" i="35"/>
  <c r="G317" i="35"/>
  <c r="G332" i="35"/>
  <c r="G239" i="36"/>
  <c r="G239" i="35"/>
  <c r="G175" i="36"/>
  <c r="G170" i="36"/>
  <c r="G180" i="36"/>
  <c r="G170" i="35"/>
  <c r="G185" i="35"/>
  <c r="G185" i="36"/>
  <c r="G180" i="35"/>
  <c r="G175" i="35"/>
  <c r="G312" i="36"/>
  <c r="G312" i="35"/>
  <c r="G166" i="36"/>
  <c r="G166" i="35"/>
  <c r="G882" i="36"/>
  <c r="G882" i="35"/>
  <c r="G567" i="36"/>
  <c r="G567" i="35"/>
  <c r="G962" i="36"/>
  <c r="G962" i="35"/>
  <c r="I560" i="36"/>
  <c r="I551" i="36"/>
  <c r="I542" i="36"/>
  <c r="I533" i="36"/>
  <c r="I708" i="36"/>
  <c r="I697" i="36"/>
  <c r="I719" i="36"/>
  <c r="I686" i="36"/>
  <c r="K954" i="36"/>
  <c r="L954" i="36" s="1"/>
  <c r="M954" i="36" s="1"/>
  <c r="H898" i="35"/>
  <c r="H968" i="35"/>
  <c r="G889" i="36"/>
  <c r="G889" i="35"/>
  <c r="G396" i="36"/>
  <c r="G388" i="36"/>
  <c r="G384" i="36"/>
  <c r="G392" i="36"/>
  <c r="G392" i="35"/>
  <c r="G396" i="35"/>
  <c r="G384" i="35"/>
  <c r="G388" i="35"/>
  <c r="G440" i="36"/>
  <c r="G440" i="35"/>
  <c r="G648" i="36"/>
  <c r="G648" i="35"/>
  <c r="G237" i="36"/>
  <c r="G237" i="35"/>
  <c r="G443" i="36"/>
  <c r="G451" i="36"/>
  <c r="G447" i="36"/>
  <c r="G455" i="36"/>
  <c r="G455" i="35"/>
  <c r="G443" i="35"/>
  <c r="G447" i="35"/>
  <c r="G451" i="35"/>
  <c r="G958" i="36"/>
  <c r="G958" i="35"/>
  <c r="G165" i="36"/>
  <c r="G165" i="35"/>
  <c r="G885" i="36"/>
  <c r="G885" i="35"/>
  <c r="G569" i="36"/>
  <c r="G569" i="35"/>
  <c r="G893" i="36"/>
  <c r="G893" i="35"/>
  <c r="G182" i="36"/>
  <c r="G177" i="36"/>
  <c r="G167" i="36"/>
  <c r="G172" i="36"/>
  <c r="G177" i="35"/>
  <c r="G167" i="35"/>
  <c r="G172" i="35"/>
  <c r="G182" i="35"/>
  <c r="K954" i="35"/>
  <c r="I606" i="36"/>
  <c r="I628" i="36"/>
  <c r="I617" i="36"/>
  <c r="H966" i="35"/>
  <c r="H896" i="35"/>
  <c r="I559" i="36"/>
  <c r="I550" i="36"/>
  <c r="I541" i="36"/>
  <c r="I532" i="36"/>
  <c r="I801" i="36"/>
  <c r="I779" i="36"/>
  <c r="I768" i="36"/>
  <c r="I790" i="36"/>
  <c r="G731" i="36"/>
  <c r="G731" i="35"/>
  <c r="H732" i="36"/>
  <c r="H676" i="36" s="1"/>
  <c r="H730" i="36"/>
  <c r="H674" i="36" s="1"/>
  <c r="H733" i="36"/>
  <c r="H677" i="36" s="1"/>
  <c r="H731" i="36"/>
  <c r="H675" i="36" s="1"/>
  <c r="H729" i="36"/>
  <c r="H673" i="36" s="1"/>
  <c r="H730" i="35"/>
  <c r="H674" i="35" s="1"/>
  <c r="H732" i="35"/>
  <c r="H676" i="35" s="1"/>
  <c r="H729" i="35"/>
  <c r="H673" i="35" s="1"/>
  <c r="H731" i="35"/>
  <c r="H675" i="35" s="1"/>
  <c r="H733" i="35"/>
  <c r="H677" i="35" s="1"/>
  <c r="G886" i="36"/>
  <c r="G886" i="35"/>
  <c r="G439" i="36"/>
  <c r="G439" i="35"/>
  <c r="G643" i="36"/>
  <c r="G643" i="35"/>
  <c r="G650" i="36"/>
  <c r="G650" i="35"/>
  <c r="G97" i="36"/>
  <c r="G97" i="35"/>
  <c r="G564" i="36"/>
  <c r="G564" i="35"/>
  <c r="G735" i="36"/>
  <c r="G735" i="35"/>
  <c r="G818" i="36"/>
  <c r="G818" i="35"/>
  <c r="G884" i="36"/>
  <c r="G884" i="35"/>
  <c r="G737" i="36"/>
  <c r="G737" i="35"/>
  <c r="G890" i="36"/>
  <c r="G890" i="35"/>
  <c r="G728" i="36"/>
  <c r="G728" i="35"/>
  <c r="I687" i="36"/>
  <c r="I709" i="36"/>
  <c r="I720" i="36"/>
  <c r="I698" i="36"/>
  <c r="I85" i="36"/>
  <c r="I76" i="36"/>
  <c r="H660" i="35"/>
  <c r="H578" i="35"/>
  <c r="I707" i="36"/>
  <c r="I696" i="36"/>
  <c r="I718" i="36"/>
  <c r="I685" i="36"/>
  <c r="H895" i="36"/>
  <c r="H965" i="36"/>
  <c r="I558" i="36"/>
  <c r="I549" i="36"/>
  <c r="I540" i="36"/>
  <c r="I531" i="36"/>
  <c r="I151" i="36"/>
  <c r="I140" i="36"/>
  <c r="G729" i="36"/>
  <c r="G729" i="35"/>
  <c r="G887" i="36"/>
  <c r="G887" i="35"/>
  <c r="G441" i="36"/>
  <c r="G441" i="35"/>
  <c r="G646" i="36"/>
  <c r="G646" i="35"/>
  <c r="G642" i="36"/>
  <c r="G642" i="35"/>
  <c r="G957" i="36"/>
  <c r="G957" i="35"/>
  <c r="G95" i="36"/>
  <c r="G95" i="35"/>
  <c r="G169" i="36"/>
  <c r="G184" i="36"/>
  <c r="G179" i="36"/>
  <c r="G174" i="36"/>
  <c r="G184" i="35"/>
  <c r="G174" i="35"/>
  <c r="G179" i="35"/>
  <c r="G169" i="35"/>
  <c r="G738" i="36"/>
  <c r="G738" i="35"/>
  <c r="G654" i="36"/>
  <c r="G654" i="35"/>
  <c r="I557" i="36"/>
  <c r="I539" i="36"/>
  <c r="I530" i="36"/>
  <c r="I548" i="36"/>
  <c r="H657" i="35"/>
  <c r="H575" i="35"/>
  <c r="H897" i="36"/>
  <c r="H967" i="36"/>
  <c r="G733" i="36"/>
  <c r="G733" i="35"/>
  <c r="G810" i="36"/>
  <c r="G810" i="35"/>
  <c r="G173" i="36"/>
  <c r="G168" i="36"/>
  <c r="G178" i="36"/>
  <c r="G183" i="36"/>
  <c r="G183" i="35"/>
  <c r="G178" i="35"/>
  <c r="G173" i="35"/>
  <c r="G168" i="35"/>
  <c r="G649" i="36"/>
  <c r="G649" i="35"/>
  <c r="G104" i="36"/>
  <c r="G112" i="36"/>
  <c r="G100" i="36"/>
  <c r="G108" i="36"/>
  <c r="G100" i="35"/>
  <c r="G104" i="35"/>
  <c r="G108" i="35"/>
  <c r="G112" i="35"/>
  <c r="G734" i="35"/>
  <c r="G734" i="36"/>
  <c r="G652" i="36"/>
  <c r="G652" i="35"/>
  <c r="G955" i="36"/>
  <c r="G955" i="35"/>
  <c r="H658" i="35"/>
  <c r="H576" i="35"/>
  <c r="I711" i="36"/>
  <c r="I689" i="36"/>
  <c r="I700" i="36"/>
  <c r="I722" i="36"/>
  <c r="H966" i="36"/>
  <c r="H896" i="36"/>
  <c r="G730" i="36"/>
  <c r="G730" i="35"/>
  <c r="G807" i="36"/>
  <c r="G807" i="35"/>
  <c r="G171" i="36"/>
  <c r="G186" i="36"/>
  <c r="G181" i="36"/>
  <c r="G176" i="36"/>
  <c r="G181" i="35"/>
  <c r="G186" i="35"/>
  <c r="G176" i="35"/>
  <c r="G171" i="35"/>
  <c r="G647" i="36"/>
  <c r="G647" i="35"/>
  <c r="G820" i="36"/>
  <c r="G820" i="35"/>
  <c r="G956" i="36"/>
  <c r="G956" i="35"/>
  <c r="G96" i="36"/>
  <c r="G96" i="35"/>
  <c r="G563" i="36"/>
  <c r="G563" i="35"/>
  <c r="G377" i="36"/>
  <c r="G377" i="35"/>
  <c r="G163" i="36"/>
  <c r="G163" i="35"/>
  <c r="G726" i="36"/>
  <c r="G726" i="35"/>
  <c r="I15" i="36"/>
  <c r="I14" i="36"/>
  <c r="I13" i="36"/>
  <c r="I17" i="36"/>
  <c r="I16" i="36"/>
  <c r="I139" i="36"/>
  <c r="I150" i="36"/>
  <c r="H579" i="35"/>
  <c r="H661" i="35"/>
  <c r="H898" i="36"/>
  <c r="H968" i="36"/>
  <c r="G732" i="36"/>
  <c r="G732" i="35"/>
  <c r="G808" i="36"/>
  <c r="G808" i="35"/>
  <c r="H649" i="36"/>
  <c r="H593" i="36" s="1"/>
  <c r="H605" i="36" s="1"/>
  <c r="H647" i="36"/>
  <c r="H591" i="36" s="1"/>
  <c r="H603" i="36" s="1"/>
  <c r="H650" i="36"/>
  <c r="H594" i="36" s="1"/>
  <c r="H606" i="36" s="1"/>
  <c r="H648" i="36"/>
  <c r="H592" i="36" s="1"/>
  <c r="H604" i="36" s="1"/>
  <c r="H646" i="36"/>
  <c r="H590" i="36" s="1"/>
  <c r="H602" i="36" s="1"/>
  <c r="H648" i="35"/>
  <c r="H592" i="35" s="1"/>
  <c r="H604" i="35" s="1"/>
  <c r="H647" i="35"/>
  <c r="H591" i="35" s="1"/>
  <c r="H603" i="35" s="1"/>
  <c r="H650" i="35"/>
  <c r="H594" i="35" s="1"/>
  <c r="H606" i="35" s="1"/>
  <c r="H649" i="35"/>
  <c r="H593" i="35" s="1"/>
  <c r="H605" i="35" s="1"/>
  <c r="H646" i="35"/>
  <c r="H590" i="35" s="1"/>
  <c r="H602" i="35" s="1"/>
  <c r="G102" i="36"/>
  <c r="G110" i="36"/>
  <c r="G106" i="36"/>
  <c r="G98" i="35"/>
  <c r="G102" i="35"/>
  <c r="G106" i="35"/>
  <c r="G98" i="36"/>
  <c r="G110" i="35"/>
  <c r="G816" i="36"/>
  <c r="G816" i="35"/>
  <c r="G444" i="36"/>
  <c r="G448" i="36"/>
  <c r="G452" i="36"/>
  <c r="G456" i="36"/>
  <c r="G444" i="35"/>
  <c r="G448" i="35"/>
  <c r="G452" i="35"/>
  <c r="G456" i="35"/>
  <c r="G379" i="36"/>
  <c r="G379" i="35"/>
  <c r="G817" i="36"/>
  <c r="G817" i="35"/>
  <c r="G953" i="36"/>
  <c r="G953" i="35"/>
  <c r="H505" i="36"/>
  <c r="H503" i="36"/>
  <c r="H500" i="36"/>
  <c r="H498" i="36"/>
  <c r="H496" i="36"/>
  <c r="H497" i="36"/>
  <c r="H504" i="36"/>
  <c r="H499" i="36"/>
  <c r="H506" i="36"/>
  <c r="H498" i="35"/>
  <c r="H500" i="35"/>
  <c r="H503" i="35"/>
  <c r="H502" i="36"/>
  <c r="H497" i="35"/>
  <c r="H505" i="35"/>
  <c r="H502" i="35"/>
  <c r="H506" i="35"/>
  <c r="H496" i="35"/>
  <c r="H499" i="35"/>
  <c r="H504" i="35"/>
  <c r="I21" i="36"/>
  <c r="I23" i="36"/>
  <c r="I19" i="36"/>
  <c r="I22" i="36"/>
  <c r="I20" i="36"/>
  <c r="K724" i="35"/>
  <c r="H659" i="35"/>
  <c r="H577" i="35"/>
  <c r="I602" i="36"/>
  <c r="I613" i="36"/>
  <c r="I624" i="36"/>
  <c r="K562" i="35"/>
  <c r="I348" i="11"/>
  <c r="O428" i="11"/>
  <c r="O7" i="11"/>
  <c r="I204" i="11"/>
  <c r="I227" i="11" s="1"/>
  <c r="I410" i="11"/>
  <c r="I420" i="11" s="1"/>
  <c r="I349" i="11"/>
  <c r="I368" i="11" s="1"/>
  <c r="I128" i="11"/>
  <c r="I151" i="11" s="1"/>
  <c r="I130" i="11"/>
  <c r="I153" i="11" s="1"/>
  <c r="I127" i="11"/>
  <c r="I150" i="11" s="1"/>
  <c r="I409" i="11"/>
  <c r="I428" i="11" s="1"/>
  <c r="I350" i="11"/>
  <c r="I369" i="11" s="1"/>
  <c r="I411" i="11"/>
  <c r="I430" i="11" s="1"/>
  <c r="I412" i="11"/>
  <c r="I431" i="11" s="1"/>
  <c r="I278" i="11"/>
  <c r="I301" i="11" s="1"/>
  <c r="I274" i="11"/>
  <c r="I286" i="11" s="1"/>
  <c r="I277" i="11"/>
  <c r="I289" i="11" s="1"/>
  <c r="I276" i="11"/>
  <c r="I201" i="11"/>
  <c r="I275" i="11"/>
  <c r="I298" i="11" s="1"/>
  <c r="I66" i="11"/>
  <c r="I76" i="11" s="1"/>
  <c r="I129" i="11"/>
  <c r="I152" i="11" s="1"/>
  <c r="I203" i="11"/>
  <c r="I215" i="11" s="1"/>
  <c r="I200" i="11"/>
  <c r="I131" i="11"/>
  <c r="I202" i="11"/>
  <c r="I214" i="11" s="1"/>
  <c r="I65" i="11"/>
  <c r="I84" i="11" s="1"/>
  <c r="I68" i="11"/>
  <c r="I67" i="11"/>
  <c r="I86" i="11" s="1"/>
  <c r="O228" i="11"/>
  <c r="F300" i="11"/>
  <c r="F289" i="11"/>
  <c r="O293" i="11"/>
  <c r="O604" i="11"/>
  <c r="O304" i="11"/>
  <c r="O298" i="11"/>
  <c r="O615" i="11"/>
  <c r="F429" i="11"/>
  <c r="O602" i="11"/>
  <c r="O613" i="11"/>
  <c r="O358" i="11"/>
  <c r="O289" i="11"/>
  <c r="O75" i="11"/>
  <c r="O793" i="11"/>
  <c r="O782" i="11"/>
  <c r="O771" i="11"/>
  <c r="F299" i="11"/>
  <c r="O710" i="11"/>
  <c r="O688" i="11"/>
  <c r="F422" i="11"/>
  <c r="O24" i="11"/>
  <c r="O20" i="11" s="1"/>
  <c r="F216" i="11"/>
  <c r="F214" i="11"/>
  <c r="O18" i="11"/>
  <c r="O14" i="11" s="1"/>
  <c r="F77" i="11"/>
  <c r="O627" i="11"/>
  <c r="O940" i="11"/>
  <c r="F140" i="11"/>
  <c r="F431" i="11"/>
  <c r="O422" i="11"/>
  <c r="O709" i="11"/>
  <c r="O922" i="11"/>
  <c r="F223" i="11"/>
  <c r="O770" i="11"/>
  <c r="O76" i="11"/>
  <c r="O219" i="11"/>
  <c r="O939" i="11"/>
  <c r="O213" i="11"/>
  <c r="F367" i="11"/>
  <c r="O944" i="11"/>
  <c r="F152" i="11"/>
  <c r="F141" i="11"/>
  <c r="O229" i="11"/>
  <c r="O370" i="11"/>
  <c r="O435" i="11"/>
  <c r="O426" i="11"/>
  <c r="F150" i="11"/>
  <c r="F139" i="11"/>
  <c r="O938" i="11"/>
  <c r="O926" i="11"/>
  <c r="O221" i="11"/>
  <c r="O868" i="11"/>
  <c r="O850" i="11"/>
  <c r="O212" i="11"/>
  <c r="O224" i="11"/>
  <c r="O144" i="11"/>
  <c r="O921" i="11"/>
  <c r="O854" i="11"/>
  <c r="O780" i="11"/>
  <c r="F368" i="11"/>
  <c r="O769" i="11"/>
  <c r="F290" i="11"/>
  <c r="F286" i="11"/>
  <c r="F428" i="11"/>
  <c r="F301" i="11"/>
  <c r="F84" i="11"/>
  <c r="F420" i="11"/>
  <c r="F213" i="11"/>
  <c r="F287" i="11"/>
  <c r="F143" i="11"/>
  <c r="F154" i="11"/>
  <c r="F151" i="11"/>
  <c r="F75" i="11"/>
  <c r="O421" i="11"/>
  <c r="O300" i="11"/>
  <c r="O147" i="11"/>
  <c r="O141" i="11"/>
  <c r="O541" i="11"/>
  <c r="O305" i="11"/>
  <c r="O153" i="11"/>
  <c r="O374" i="11"/>
  <c r="O142" i="11"/>
  <c r="O550" i="11"/>
  <c r="O363" i="11"/>
  <c r="O372" i="11"/>
  <c r="O687" i="11"/>
  <c r="O539" i="11"/>
  <c r="O548" i="11"/>
  <c r="O86" i="11"/>
  <c r="O367" i="11"/>
  <c r="O77" i="11"/>
  <c r="O774" i="11"/>
  <c r="O157" i="11"/>
  <c r="O867" i="11"/>
  <c r="O920" i="11"/>
  <c r="O785" i="11"/>
  <c r="O941" i="11"/>
  <c r="O531" i="11"/>
  <c r="O540" i="11"/>
  <c r="O303" i="11"/>
  <c r="O549" i="11"/>
  <c r="O696" i="11"/>
  <c r="O772" i="11"/>
  <c r="O870" i="11"/>
  <c r="O849" i="11"/>
  <c r="O707" i="11"/>
  <c r="O863" i="11"/>
  <c r="O698" i="11"/>
  <c r="O605" i="11"/>
  <c r="O295" i="11"/>
  <c r="O781" i="11"/>
  <c r="Q118" i="8"/>
  <c r="F361" i="11"/>
  <c r="G107" i="11"/>
  <c r="G167" i="11"/>
  <c r="G319" i="11"/>
  <c r="G286" i="11" s="1"/>
  <c r="O359" i="11"/>
  <c r="O617" i="11"/>
  <c r="O148" i="11"/>
  <c r="O932" i="11"/>
  <c r="O628" i="11"/>
  <c r="O225" i="11"/>
  <c r="O80" i="11"/>
  <c r="O156" i="11"/>
  <c r="O923" i="11"/>
  <c r="O227" i="11"/>
  <c r="O150" i="11"/>
  <c r="O294" i="11"/>
  <c r="O700" i="11"/>
  <c r="O711" i="11"/>
  <c r="O91" i="11"/>
  <c r="O82" i="11"/>
  <c r="O88" i="11"/>
  <c r="O790" i="11"/>
  <c r="O773" i="11"/>
  <c r="O689" i="11"/>
  <c r="O795" i="11"/>
  <c r="O768" i="11"/>
  <c r="F226" i="11"/>
  <c r="F215" i="11"/>
  <c r="F78" i="11"/>
  <c r="F76" i="11"/>
  <c r="F360" i="11"/>
  <c r="O143" i="11"/>
  <c r="O226" i="11"/>
  <c r="O231" i="11"/>
  <c r="O90" i="11"/>
  <c r="O302" i="11"/>
  <c r="O291" i="11"/>
  <c r="O609" i="11"/>
  <c r="O620" i="11"/>
  <c r="F421" i="11"/>
  <c r="O151" i="11"/>
  <c r="O286" i="11"/>
  <c r="O297" i="11"/>
  <c r="O369" i="11"/>
  <c r="O360" i="11"/>
  <c r="O851" i="11"/>
  <c r="O299" i="11"/>
  <c r="O87" i="11"/>
  <c r="O708" i="11"/>
  <c r="O860" i="11"/>
  <c r="O869" i="11"/>
  <c r="O551" i="11"/>
  <c r="O78" i="11"/>
  <c r="O686" i="11"/>
  <c r="O542" i="11"/>
  <c r="O429" i="11"/>
  <c r="O603" i="11"/>
  <c r="O290" i="11"/>
  <c r="O301" i="11"/>
  <c r="O625" i="11"/>
  <c r="O364" i="11"/>
  <c r="I756" i="11"/>
  <c r="O434" i="11"/>
  <c r="O425" i="11"/>
  <c r="O371" i="11"/>
  <c r="O362" i="11"/>
  <c r="O423" i="11"/>
  <c r="O432" i="11"/>
  <c r="O433" i="11"/>
  <c r="M116" i="8"/>
  <c r="Q116" i="8"/>
  <c r="U116" i="8"/>
  <c r="Y116" i="8"/>
  <c r="I116" i="8"/>
  <c r="AC116" i="8"/>
  <c r="F19" i="8"/>
  <c r="I19" i="8" s="1"/>
  <c r="F17" i="8"/>
  <c r="I17" i="8" s="1"/>
  <c r="F90" i="8"/>
  <c r="U90" i="8" s="1"/>
  <c r="F92" i="8"/>
  <c r="Q92" i="8" s="1"/>
  <c r="F151" i="8"/>
  <c r="AC151" i="8" s="1"/>
  <c r="F152" i="8"/>
  <c r="AC152" i="8" s="1"/>
  <c r="I41" i="8"/>
  <c r="F43" i="8"/>
  <c r="I43" i="8" s="1"/>
  <c r="F72" i="8"/>
  <c r="M72" i="8" s="1"/>
  <c r="F74" i="8"/>
  <c r="U74" i="8" s="1"/>
  <c r="I200" i="8"/>
  <c r="Q200" i="8"/>
  <c r="F66" i="8"/>
  <c r="U66" i="8" s="1"/>
  <c r="I183" i="8"/>
  <c r="U183" i="8"/>
  <c r="Q144" i="8"/>
  <c r="I144" i="8"/>
  <c r="U144" i="8"/>
  <c r="Y201" i="8"/>
  <c r="M201" i="8"/>
  <c r="Y180" i="8"/>
  <c r="I180" i="8"/>
  <c r="M180" i="8"/>
  <c r="AC180" i="8"/>
  <c r="U180" i="8"/>
  <c r="I592" i="11"/>
  <c r="G329" i="11"/>
  <c r="I593" i="11"/>
  <c r="I910" i="11"/>
  <c r="G324" i="11"/>
  <c r="G182" i="11"/>
  <c r="G172" i="11"/>
  <c r="G139" i="11" s="1"/>
  <c r="G177" i="11"/>
  <c r="H576" i="11"/>
  <c r="I11" i="11"/>
  <c r="I911" i="11"/>
  <c r="I931" i="11" s="1"/>
  <c r="I675" i="11"/>
  <c r="I687" i="11" s="1"/>
  <c r="H824" i="11"/>
  <c r="E43" i="11"/>
  <c r="E48" i="11" s="1"/>
  <c r="I201" i="8"/>
  <c r="Q201" i="8"/>
  <c r="E40" i="11"/>
  <c r="F25" i="8"/>
  <c r="I25" i="8" s="1"/>
  <c r="U182" i="8"/>
  <c r="F27" i="8"/>
  <c r="I27" i="8" s="1"/>
  <c r="E123" i="11"/>
  <c r="I21" i="8"/>
  <c r="O53" i="11"/>
  <c r="O9" i="11" s="1"/>
  <c r="U201" i="8"/>
  <c r="Q182" i="8"/>
  <c r="E245" i="11"/>
  <c r="E437" i="11"/>
  <c r="F23" i="8"/>
  <c r="I23" i="8" s="1"/>
  <c r="Y182" i="8"/>
  <c r="E833" i="11"/>
  <c r="I840" i="11"/>
  <c r="M182" i="8"/>
  <c r="O8" i="11"/>
  <c r="E746" i="11"/>
  <c r="E816" i="11"/>
  <c r="E405" i="11"/>
  <c r="E976" i="11"/>
  <c r="I182" i="8"/>
  <c r="E752" i="11"/>
  <c r="I522" i="11"/>
  <c r="I532" i="11" s="1"/>
  <c r="AC201" i="8"/>
  <c r="E193" i="11"/>
  <c r="I839" i="11"/>
  <c r="I758" i="11"/>
  <c r="I520" i="11"/>
  <c r="I548" i="11" s="1"/>
  <c r="I757" i="11"/>
  <c r="I780" i="11" s="1"/>
  <c r="I676" i="11"/>
  <c r="I710" i="11" s="1"/>
  <c r="I523" i="11"/>
  <c r="I542" i="11" s="1"/>
  <c r="I759" i="11"/>
  <c r="I782" i="11" s="1"/>
  <c r="I594" i="11"/>
  <c r="I841" i="11"/>
  <c r="I851" i="11" s="1"/>
  <c r="G111" i="11"/>
  <c r="I591" i="11"/>
  <c r="I625" i="11" s="1"/>
  <c r="I521" i="11"/>
  <c r="I540" i="11" s="1"/>
  <c r="I912" i="11"/>
  <c r="I932" i="11" s="1"/>
  <c r="I760" i="11"/>
  <c r="I805" i="11" s="1"/>
  <c r="I674" i="11"/>
  <c r="I719" i="11" s="1"/>
  <c r="H658" i="11"/>
  <c r="I842" i="11"/>
  <c r="I870" i="11" s="1"/>
  <c r="I590" i="11"/>
  <c r="I624" i="11" s="1"/>
  <c r="G99" i="11"/>
  <c r="I909" i="11"/>
  <c r="I938" i="11" s="1"/>
  <c r="I673" i="11"/>
  <c r="I685" i="11" s="1"/>
  <c r="I677" i="11"/>
  <c r="I722" i="11" s="1"/>
  <c r="G238" i="11"/>
  <c r="G309" i="11"/>
  <c r="I10" i="11"/>
  <c r="G820" i="11"/>
  <c r="G571" i="11"/>
  <c r="G809" i="11"/>
  <c r="G645" i="11"/>
  <c r="G237" i="11"/>
  <c r="G311" i="11"/>
  <c r="G164" i="11"/>
  <c r="G655" i="11"/>
  <c r="G952" i="11"/>
  <c r="G380" i="11"/>
  <c r="G811" i="11"/>
  <c r="G642" i="11"/>
  <c r="G239" i="11"/>
  <c r="G564" i="11"/>
  <c r="G953" i="11"/>
  <c r="G440" i="11"/>
  <c r="G883" i="11"/>
  <c r="G957" i="11"/>
  <c r="G97" i="11"/>
  <c r="G312" i="11"/>
  <c r="G568" i="11"/>
  <c r="I8" i="11"/>
  <c r="G817" i="11"/>
  <c r="G441" i="11"/>
  <c r="I24" i="11"/>
  <c r="I23" i="11" s="1"/>
  <c r="G956" i="11"/>
  <c r="G457" i="11"/>
  <c r="G735" i="11"/>
  <c r="G165" i="11"/>
  <c r="G651" i="11"/>
  <c r="G567" i="11"/>
  <c r="G961" i="11"/>
  <c r="G174" i="11"/>
  <c r="G141" i="11" s="1"/>
  <c r="I18" i="11"/>
  <c r="I16" i="11" s="1"/>
  <c r="G643" i="11"/>
  <c r="G648" i="11"/>
  <c r="G96" i="11"/>
  <c r="G563" i="11"/>
  <c r="G738" i="11"/>
  <c r="G819" i="11"/>
  <c r="G569" i="11"/>
  <c r="G963" i="11"/>
  <c r="G728" i="11"/>
  <c r="G314" i="11"/>
  <c r="G100" i="11"/>
  <c r="G95" i="11"/>
  <c r="G889" i="11"/>
  <c r="G650" i="11"/>
  <c r="G816" i="11"/>
  <c r="G456" i="11"/>
  <c r="G734" i="11"/>
  <c r="G313" i="11"/>
  <c r="G737" i="11"/>
  <c r="G962" i="11"/>
  <c r="G725" i="11"/>
  <c r="G113" i="11"/>
  <c r="G166" i="11"/>
  <c r="G566" i="11"/>
  <c r="G733" i="11"/>
  <c r="G886" i="11"/>
  <c r="G646" i="11"/>
  <c r="G333" i="11"/>
  <c r="G814" i="11"/>
  <c r="G450" i="11"/>
  <c r="G377" i="11"/>
  <c r="G818" i="11"/>
  <c r="G882" i="11"/>
  <c r="I7" i="11"/>
  <c r="G808" i="11"/>
  <c r="G451" i="11"/>
  <c r="G439" i="11"/>
  <c r="G570" i="11"/>
  <c r="G731" i="11"/>
  <c r="G729" i="11"/>
  <c r="G730" i="11"/>
  <c r="G887" i="11"/>
  <c r="G649" i="11"/>
  <c r="G815" i="11"/>
  <c r="G565" i="11"/>
  <c r="G379" i="11"/>
  <c r="G654" i="11"/>
  <c r="G885" i="11"/>
  <c r="I9" i="11"/>
  <c r="G103" i="11"/>
  <c r="G76" i="11" s="1"/>
  <c r="G647" i="11"/>
  <c r="G812" i="11"/>
  <c r="G641" i="11"/>
  <c r="G652" i="11"/>
  <c r="G884" i="11"/>
  <c r="G893" i="11"/>
  <c r="G891" i="11"/>
  <c r="H499" i="11"/>
  <c r="G726" i="11"/>
  <c r="G958" i="11"/>
  <c r="G888" i="11"/>
  <c r="G732" i="11"/>
  <c r="G810" i="11"/>
  <c r="G807" i="11"/>
  <c r="G438" i="11"/>
  <c r="G235" i="11"/>
  <c r="G180" i="11"/>
  <c r="G573" i="11"/>
  <c r="G378" i="11"/>
  <c r="G163" i="11"/>
  <c r="G955" i="11"/>
  <c r="G890" i="11"/>
  <c r="G727" i="11"/>
  <c r="U175" i="8"/>
  <c r="AC117" i="8"/>
  <c r="M144" i="8"/>
  <c r="F67" i="8"/>
  <c r="F96" i="8"/>
  <c r="F63" i="8"/>
  <c r="F65" i="8"/>
  <c r="F64" i="8"/>
  <c r="Y61" i="8"/>
  <c r="U61" i="8"/>
  <c r="M61" i="8"/>
  <c r="I61" i="8"/>
  <c r="Y183" i="8"/>
  <c r="M183" i="8"/>
  <c r="Y118" i="8"/>
  <c r="AC183" i="8"/>
  <c r="U118" i="8"/>
  <c r="M118" i="8"/>
  <c r="Q61" i="8"/>
  <c r="Q183" i="8"/>
  <c r="AC118" i="8"/>
  <c r="Q119" i="8"/>
  <c r="U119" i="8"/>
  <c r="U200" i="8"/>
  <c r="F158" i="8"/>
  <c r="M200" i="8"/>
  <c r="F15" i="8"/>
  <c r="I15" i="8" s="1"/>
  <c r="F76" i="8"/>
  <c r="Y197" i="8"/>
  <c r="AC200" i="8"/>
  <c r="U126" i="8"/>
  <c r="Y200" i="8"/>
  <c r="F68" i="8"/>
  <c r="F70" i="8"/>
  <c r="M132" i="8"/>
  <c r="F33" i="8"/>
  <c r="I33" i="8" s="1"/>
  <c r="F39" i="8"/>
  <c r="I39" i="8" s="1"/>
  <c r="I31" i="8"/>
  <c r="M198" i="8"/>
  <c r="U198" i="8"/>
  <c r="I198" i="8"/>
  <c r="Q198" i="8"/>
  <c r="H897" i="11"/>
  <c r="I151" i="8"/>
  <c r="Q197" i="8"/>
  <c r="F37" i="8"/>
  <c r="I37" i="8" s="1"/>
  <c r="I197" i="8"/>
  <c r="F150" i="8"/>
  <c r="Q150" i="8" s="1"/>
  <c r="M175" i="8"/>
  <c r="Y119" i="8"/>
  <c r="F106" i="8"/>
  <c r="I106" i="8" s="1"/>
  <c r="AC197" i="8"/>
  <c r="F178" i="8"/>
  <c r="Q178" i="8" s="1"/>
  <c r="M133" i="8"/>
  <c r="U135" i="8"/>
  <c r="I135" i="8"/>
  <c r="Q135" i="8"/>
  <c r="M135" i="8"/>
  <c r="I51" i="8"/>
  <c r="E62" i="11"/>
  <c r="I113" i="8"/>
  <c r="M113" i="8"/>
  <c r="AC113" i="8"/>
  <c r="Q113" i="8"/>
  <c r="Y113" i="8"/>
  <c r="U113" i="8"/>
  <c r="F176" i="8"/>
  <c r="AC175" i="8"/>
  <c r="U151" i="8"/>
  <c r="Y175" i="8"/>
  <c r="I117" i="8"/>
  <c r="F177" i="8"/>
  <c r="I177" i="8" s="1"/>
  <c r="M181" i="8"/>
  <c r="U133" i="8"/>
  <c r="F156" i="8"/>
  <c r="U156" i="8" s="1"/>
  <c r="F102" i="8"/>
  <c r="Q102" i="8" s="1"/>
  <c r="F82" i="8"/>
  <c r="F80" i="8"/>
  <c r="F84" i="8"/>
  <c r="F86" i="8"/>
  <c r="I175" i="8"/>
  <c r="M117" i="8"/>
  <c r="Y198" i="8"/>
  <c r="I132" i="8"/>
  <c r="Y160" i="8"/>
  <c r="F100" i="8"/>
  <c r="AC100" i="8" s="1"/>
  <c r="Q142" i="8"/>
  <c r="Q117" i="8"/>
  <c r="AC78" i="8"/>
  <c r="AC181" i="8"/>
  <c r="I181" i="8"/>
  <c r="F154" i="8"/>
  <c r="U154" i="8" s="1"/>
  <c r="F88" i="8"/>
  <c r="F94" i="8"/>
  <c r="M151" i="8"/>
  <c r="U117" i="8"/>
  <c r="I126" i="8"/>
  <c r="I142" i="8"/>
  <c r="Q180" i="8"/>
  <c r="I133" i="8"/>
  <c r="F174" i="8"/>
  <c r="I174" i="8" s="1"/>
  <c r="F141" i="8"/>
  <c r="F140" i="8"/>
  <c r="F137" i="8"/>
  <c r="F139" i="8"/>
  <c r="F138" i="8"/>
  <c r="F13" i="8"/>
  <c r="I13" i="8" s="1"/>
  <c r="I11" i="8"/>
  <c r="M78" i="8"/>
  <c r="M160" i="8"/>
  <c r="Q160" i="8"/>
  <c r="F111" i="8"/>
  <c r="F110" i="8"/>
  <c r="U132" i="8"/>
  <c r="Y181" i="8"/>
  <c r="U197" i="8"/>
  <c r="Y78" i="8"/>
  <c r="U142" i="8"/>
  <c r="U181" i="8"/>
  <c r="F157" i="8"/>
  <c r="Y157" i="8" s="1"/>
  <c r="F109" i="8"/>
  <c r="M109" i="8" s="1"/>
  <c r="F127" i="8"/>
  <c r="F128" i="8"/>
  <c r="F131" i="8"/>
  <c r="F130" i="8"/>
  <c r="F129" i="8"/>
  <c r="F162" i="8"/>
  <c r="F166" i="8"/>
  <c r="F170" i="8"/>
  <c r="F164" i="8"/>
  <c r="F168" i="8"/>
  <c r="Y151" i="8"/>
  <c r="Q151" i="8"/>
  <c r="AC160" i="8"/>
  <c r="F112" i="8"/>
  <c r="M112" i="8" s="1"/>
  <c r="F98" i="8"/>
  <c r="Y98" i="8" s="1"/>
  <c r="M126" i="8"/>
  <c r="I160" i="8"/>
  <c r="F153" i="8"/>
  <c r="Q153" i="8" s="1"/>
  <c r="F159" i="8"/>
  <c r="Y159" i="8" s="1"/>
  <c r="H895" i="11"/>
  <c r="H965" i="11"/>
  <c r="H502" i="11"/>
  <c r="H503" i="11"/>
  <c r="H744" i="11"/>
  <c r="H506" i="11"/>
  <c r="H505" i="11"/>
  <c r="H898" i="11"/>
  <c r="H498" i="11"/>
  <c r="H497" i="11"/>
  <c r="H823" i="11"/>
  <c r="H578" i="11"/>
  <c r="H966" i="11"/>
  <c r="H504" i="11"/>
  <c r="H660" i="11"/>
  <c r="H500" i="11"/>
  <c r="H896" i="11"/>
  <c r="H496" i="11"/>
  <c r="H743" i="11"/>
  <c r="G442" i="11"/>
  <c r="G454" i="11"/>
  <c r="G446" i="11"/>
  <c r="G419" i="11" s="1"/>
  <c r="H661" i="11"/>
  <c r="H826" i="11"/>
  <c r="H579" i="11"/>
  <c r="H575" i="11"/>
  <c r="H827" i="11"/>
  <c r="H577" i="11"/>
  <c r="H825" i="11"/>
  <c r="H659" i="11"/>
  <c r="G185" i="11"/>
  <c r="G170" i="11"/>
  <c r="G175" i="11"/>
  <c r="G142" i="11" s="1"/>
  <c r="G455" i="11"/>
  <c r="G447" i="11"/>
  <c r="G420" i="11" s="1"/>
  <c r="G443" i="11"/>
  <c r="G169" i="11"/>
  <c r="G453" i="11"/>
  <c r="G448" i="11"/>
  <c r="G421" i="11" s="1"/>
  <c r="G444" i="11"/>
  <c r="G452" i="11"/>
  <c r="G445" i="11"/>
  <c r="G449" i="11"/>
  <c r="G422" i="11" s="1"/>
  <c r="G184" i="11"/>
  <c r="G179" i="11"/>
  <c r="G109" i="11"/>
  <c r="G112" i="11"/>
  <c r="G104" i="11"/>
  <c r="G77" i="11" s="1"/>
  <c r="Q152" i="8"/>
  <c r="AC90" i="8"/>
  <c r="Q115" i="8"/>
  <c r="I115" i="8"/>
  <c r="Y152" i="8"/>
  <c r="U78" i="8"/>
  <c r="I78" i="8"/>
  <c r="Y114" i="8"/>
  <c r="I119" i="8"/>
  <c r="AC119" i="8"/>
  <c r="Q114" i="8"/>
  <c r="Y90" i="8"/>
  <c r="M119" i="8"/>
  <c r="AC114" i="8"/>
  <c r="M152" i="8"/>
  <c r="U152" i="8"/>
  <c r="M143" i="8"/>
  <c r="I179" i="8"/>
  <c r="M90" i="8"/>
  <c r="AC179" i="8"/>
  <c r="Q179" i="8"/>
  <c r="U143" i="8"/>
  <c r="I114" i="8"/>
  <c r="U115" i="8"/>
  <c r="AC115" i="8"/>
  <c r="Y115" i="8"/>
  <c r="M115" i="8"/>
  <c r="I143" i="8"/>
  <c r="I90" i="8"/>
  <c r="U114" i="8"/>
  <c r="M179" i="8"/>
  <c r="O622" i="11"/>
  <c r="O611" i="11"/>
  <c r="Y179" i="8"/>
  <c r="Q90" i="8"/>
  <c r="O544" i="11"/>
  <c r="O535" i="11"/>
  <c r="O553" i="11"/>
  <c r="O607" i="11"/>
  <c r="O619" i="11"/>
  <c r="O787" i="11"/>
  <c r="O537" i="11"/>
  <c r="O618" i="11"/>
  <c r="O629" i="11"/>
  <c r="O798" i="11"/>
  <c r="O555" i="11"/>
  <c r="O621" i="11"/>
  <c r="O715" i="11"/>
  <c r="O775" i="11"/>
  <c r="O786" i="11"/>
  <c r="O630" i="11"/>
  <c r="O608" i="11"/>
  <c r="O690" i="11"/>
  <c r="O701" i="11"/>
  <c r="O545" i="11"/>
  <c r="O554" i="11"/>
  <c r="O536" i="11"/>
  <c r="O936" i="11"/>
  <c r="O927" i="11"/>
  <c r="O776" i="11"/>
  <c r="O797" i="11"/>
  <c r="O546" i="11"/>
  <c r="O632" i="11"/>
  <c r="O534" i="11"/>
  <c r="O543" i="11"/>
  <c r="O552" i="11"/>
  <c r="O865" i="11"/>
  <c r="O856" i="11"/>
  <c r="O874" i="11"/>
  <c r="O945" i="11"/>
  <c r="O704" i="11"/>
  <c r="O693" i="11"/>
  <c r="O716" i="11"/>
  <c r="O694" i="11"/>
  <c r="O705" i="11"/>
  <c r="O933" i="11"/>
  <c r="O712" i="11"/>
  <c r="O714" i="11"/>
  <c r="O692" i="11"/>
  <c r="O855" i="11"/>
  <c r="O864" i="11"/>
  <c r="O862" i="11"/>
  <c r="O871" i="11"/>
  <c r="O924" i="11"/>
  <c r="O942" i="11"/>
  <c r="O691" i="11"/>
  <c r="O702" i="11"/>
  <c r="O713" i="11"/>
  <c r="O873" i="11"/>
  <c r="G328" i="11"/>
  <c r="O799" i="11"/>
  <c r="O788" i="11"/>
  <c r="Y104" i="8"/>
  <c r="Q104" i="8"/>
  <c r="I104" i="8"/>
  <c r="AC104" i="8"/>
  <c r="U104" i="8"/>
  <c r="M104" i="8"/>
  <c r="I74" i="8"/>
  <c r="G108" i="11"/>
  <c r="G101" i="11"/>
  <c r="G105" i="11"/>
  <c r="G78" i="11" s="1"/>
  <c r="D49" i="8"/>
  <c r="K47" i="8"/>
  <c r="J47" i="8"/>
  <c r="O934" i="11"/>
  <c r="G323" i="11"/>
  <c r="G290" i="11" s="1"/>
  <c r="G318" i="11"/>
  <c r="G98" i="11"/>
  <c r="G102" i="11"/>
  <c r="G75" i="11" s="1"/>
  <c r="G106" i="11"/>
  <c r="G110" i="11"/>
  <c r="O943" i="11"/>
  <c r="F45" i="8"/>
  <c r="G330" i="11"/>
  <c r="G315" i="11"/>
  <c r="G320" i="11"/>
  <c r="G325" i="11"/>
  <c r="G327" i="11"/>
  <c r="G322" i="11"/>
  <c r="G289" i="11" s="1"/>
  <c r="G317" i="11"/>
  <c r="G332" i="11"/>
  <c r="G181" i="11"/>
  <c r="G176" i="11"/>
  <c r="G143" i="11" s="1"/>
  <c r="G186" i="11"/>
  <c r="G171" i="11"/>
  <c r="G316" i="11"/>
  <c r="G331" i="11"/>
  <c r="G321" i="11"/>
  <c r="G288" i="11" s="1"/>
  <c r="G326" i="11"/>
  <c r="G178" i="11"/>
  <c r="G168" i="11"/>
  <c r="G183" i="11"/>
  <c r="G173" i="11"/>
  <c r="G140" i="11" s="1"/>
  <c r="H567" i="11"/>
  <c r="H568" i="11"/>
  <c r="H566" i="11"/>
  <c r="H569" i="11"/>
  <c r="G249" i="11"/>
  <c r="G254" i="11"/>
  <c r="G259" i="11"/>
  <c r="G244" i="11"/>
  <c r="G246" i="11"/>
  <c r="G251" i="11"/>
  <c r="G256" i="11"/>
  <c r="G241" i="11"/>
  <c r="G253" i="11"/>
  <c r="G243" i="11"/>
  <c r="G258" i="11"/>
  <c r="G248" i="11"/>
  <c r="G391" i="11"/>
  <c r="G383" i="11"/>
  <c r="G387" i="11"/>
  <c r="G395" i="11"/>
  <c r="G384" i="11"/>
  <c r="G388" i="11"/>
  <c r="G396" i="11"/>
  <c r="G392" i="11"/>
  <c r="G245" i="11"/>
  <c r="G250" i="11"/>
  <c r="G240" i="11"/>
  <c r="G255" i="11"/>
  <c r="G257" i="11"/>
  <c r="G252" i="11"/>
  <c r="G242" i="11"/>
  <c r="G247" i="11"/>
  <c r="H733" i="11"/>
  <c r="H677" i="11" s="1"/>
  <c r="H732" i="11"/>
  <c r="H676" i="11" s="1"/>
  <c r="H729" i="11"/>
  <c r="H731" i="11"/>
  <c r="H675" i="11" s="1"/>
  <c r="H730" i="11"/>
  <c r="H674" i="11" s="1"/>
  <c r="H888" i="11"/>
  <c r="H889" i="11"/>
  <c r="H887" i="11"/>
  <c r="H840" i="11" s="1"/>
  <c r="H886" i="11"/>
  <c r="H839" i="11" s="1"/>
  <c r="H956" i="11"/>
  <c r="H959" i="11"/>
  <c r="H957" i="11"/>
  <c r="H958" i="11"/>
  <c r="H814" i="11"/>
  <c r="H815" i="11"/>
  <c r="H813" i="11"/>
  <c r="H812" i="11"/>
  <c r="H816" i="11"/>
  <c r="G385" i="11"/>
  <c r="G393" i="11"/>
  <c r="G381" i="11"/>
  <c r="G389" i="11"/>
  <c r="G394" i="11"/>
  <c r="G390" i="11"/>
  <c r="G382" i="11"/>
  <c r="G386" i="11"/>
  <c r="H648" i="11"/>
  <c r="H646" i="11"/>
  <c r="H650" i="11"/>
  <c r="H647" i="11"/>
  <c r="H649" i="11"/>
  <c r="G65" i="35" l="1"/>
  <c r="G84" i="35" s="1"/>
  <c r="G409" i="35"/>
  <c r="G428" i="35" s="1"/>
  <c r="G275" i="35"/>
  <c r="G298" i="35" s="1"/>
  <c r="G911" i="35"/>
  <c r="G931" i="35" s="1"/>
  <c r="G276" i="35"/>
  <c r="G299" i="35" s="1"/>
  <c r="G412" i="35"/>
  <c r="G431" i="35" s="1"/>
  <c r="G410" i="35"/>
  <c r="G429" i="35" s="1"/>
  <c r="G593" i="35"/>
  <c r="G627" i="35" s="1"/>
  <c r="G520" i="35"/>
  <c r="G539" i="35" s="1"/>
  <c r="G275" i="36"/>
  <c r="G298" i="36" s="1"/>
  <c r="G274" i="36"/>
  <c r="G297" i="36" s="1"/>
  <c r="G349" i="35"/>
  <c r="G368" i="35" s="1"/>
  <c r="G278" i="35"/>
  <c r="G301" i="35" s="1"/>
  <c r="G200" i="35"/>
  <c r="G223" i="35" s="1"/>
  <c r="G348" i="35"/>
  <c r="G367" i="35" s="1"/>
  <c r="G274" i="35"/>
  <c r="G297" i="35" s="1"/>
  <c r="G350" i="36"/>
  <c r="G369" i="36" s="1"/>
  <c r="G278" i="36"/>
  <c r="G301" i="36" s="1"/>
  <c r="G348" i="36"/>
  <c r="G367" i="36" s="1"/>
  <c r="G277" i="36"/>
  <c r="G300" i="36" s="1"/>
  <c r="G276" i="36"/>
  <c r="G299" i="36" s="1"/>
  <c r="G204" i="36"/>
  <c r="G227" i="36" s="1"/>
  <c r="G204" i="35"/>
  <c r="G227" i="35" s="1"/>
  <c r="G412" i="36"/>
  <c r="G431" i="36" s="1"/>
  <c r="G127" i="35"/>
  <c r="G150" i="35" s="1"/>
  <c r="G349" i="36"/>
  <c r="G368" i="36" s="1"/>
  <c r="G202" i="35"/>
  <c r="G225" i="35" s="1"/>
  <c r="G131" i="36"/>
  <c r="G154" i="36" s="1"/>
  <c r="G66" i="36"/>
  <c r="G85" i="36" s="1"/>
  <c r="G351" i="35"/>
  <c r="G370" i="35" s="1"/>
  <c r="G128" i="35"/>
  <c r="G151" i="35" s="1"/>
  <c r="G128" i="36"/>
  <c r="G151" i="36" s="1"/>
  <c r="G65" i="36"/>
  <c r="G84" i="36" s="1"/>
  <c r="G409" i="36"/>
  <c r="G428" i="36" s="1"/>
  <c r="G203" i="35"/>
  <c r="G226" i="35" s="1"/>
  <c r="G203" i="36"/>
  <c r="G226" i="36" s="1"/>
  <c r="G131" i="35"/>
  <c r="G154" i="35" s="1"/>
  <c r="G129" i="35"/>
  <c r="G152" i="35" s="1"/>
  <c r="G75" i="36"/>
  <c r="K808" i="36"/>
  <c r="L808" i="36" s="1"/>
  <c r="M808" i="36" s="1"/>
  <c r="G757" i="36"/>
  <c r="K563" i="36"/>
  <c r="L563" i="36" s="1"/>
  <c r="M563" i="36" s="1"/>
  <c r="G521" i="36"/>
  <c r="G677" i="35"/>
  <c r="K728" i="35"/>
  <c r="G522" i="35"/>
  <c r="K564" i="35"/>
  <c r="H700" i="35"/>
  <c r="H689" i="35"/>
  <c r="H722" i="35"/>
  <c r="H711" i="35"/>
  <c r="H931" i="36"/>
  <c r="H922" i="36"/>
  <c r="H949" i="36"/>
  <c r="H940" i="36"/>
  <c r="G214" i="35"/>
  <c r="H790" i="36"/>
  <c r="H768" i="36"/>
  <c r="H779" i="36"/>
  <c r="H801" i="36"/>
  <c r="G202" i="36"/>
  <c r="G674" i="36"/>
  <c r="K725" i="36"/>
  <c r="L725" i="36" s="1"/>
  <c r="M725" i="36" s="1"/>
  <c r="H851" i="36"/>
  <c r="H878" i="36"/>
  <c r="H860" i="36"/>
  <c r="H869" i="36"/>
  <c r="G216" i="35"/>
  <c r="K953" i="35"/>
  <c r="G910" i="35"/>
  <c r="G421" i="36"/>
  <c r="H613" i="35"/>
  <c r="H624" i="35"/>
  <c r="G143" i="36"/>
  <c r="G677" i="36"/>
  <c r="K728" i="36"/>
  <c r="L728" i="36" s="1"/>
  <c r="M728" i="36" s="1"/>
  <c r="G522" i="36"/>
  <c r="K564" i="36"/>
  <c r="L564" i="36" s="1"/>
  <c r="M564" i="36" s="1"/>
  <c r="H698" i="35"/>
  <c r="H720" i="35"/>
  <c r="H687" i="35"/>
  <c r="H709" i="35"/>
  <c r="G139" i="36"/>
  <c r="G289" i="36"/>
  <c r="K883" i="35"/>
  <c r="G840" i="35"/>
  <c r="H803" i="36"/>
  <c r="H792" i="36"/>
  <c r="H781" i="36"/>
  <c r="H770" i="36"/>
  <c r="G200" i="36"/>
  <c r="G358" i="36"/>
  <c r="H850" i="35"/>
  <c r="H868" i="35"/>
  <c r="H859" i="35"/>
  <c r="H877" i="35"/>
  <c r="G76" i="36"/>
  <c r="G910" i="36"/>
  <c r="K953" i="36"/>
  <c r="L953" i="36" s="1"/>
  <c r="M953" i="36" s="1"/>
  <c r="H627" i="35"/>
  <c r="H616" i="35"/>
  <c r="G140" i="35"/>
  <c r="H696" i="35"/>
  <c r="H718" i="35"/>
  <c r="H707" i="35"/>
  <c r="H685" i="35"/>
  <c r="L954" i="35"/>
  <c r="P954" i="36" s="1"/>
  <c r="O954" i="36"/>
  <c r="G129" i="36"/>
  <c r="G67" i="36"/>
  <c r="K883" i="36"/>
  <c r="L883" i="36" s="1"/>
  <c r="M883" i="36" s="1"/>
  <c r="G840" i="36"/>
  <c r="H805" i="36"/>
  <c r="H783" i="36"/>
  <c r="H794" i="36"/>
  <c r="H772" i="36"/>
  <c r="H876" i="36"/>
  <c r="H849" i="36"/>
  <c r="H858" i="36"/>
  <c r="H867" i="36"/>
  <c r="G212" i="36"/>
  <c r="H628" i="35"/>
  <c r="H617" i="35"/>
  <c r="H710" i="35"/>
  <c r="H699" i="35"/>
  <c r="H688" i="35"/>
  <c r="H721" i="35"/>
  <c r="G127" i="36"/>
  <c r="G215" i="35"/>
  <c r="G78" i="35"/>
  <c r="G214" i="36"/>
  <c r="H791" i="36"/>
  <c r="H802" i="36"/>
  <c r="H780" i="36"/>
  <c r="H769" i="36"/>
  <c r="G213" i="35"/>
  <c r="H878" i="35"/>
  <c r="H869" i="35"/>
  <c r="H860" i="35"/>
  <c r="H851" i="35"/>
  <c r="G290" i="35"/>
  <c r="H614" i="35"/>
  <c r="H625" i="35"/>
  <c r="H708" i="35"/>
  <c r="H719" i="35"/>
  <c r="H697" i="35"/>
  <c r="H686" i="35"/>
  <c r="G420" i="35"/>
  <c r="G359" i="36"/>
  <c r="H558" i="35"/>
  <c r="H540" i="35"/>
  <c r="H549" i="35"/>
  <c r="H531" i="35"/>
  <c r="G593" i="36"/>
  <c r="H782" i="36"/>
  <c r="H804" i="36"/>
  <c r="H771" i="36"/>
  <c r="H793" i="36"/>
  <c r="G286" i="36"/>
  <c r="H876" i="35"/>
  <c r="H849" i="35"/>
  <c r="H858" i="35"/>
  <c r="H867" i="35"/>
  <c r="G520" i="36"/>
  <c r="K727" i="35"/>
  <c r="G676" i="35"/>
  <c r="H626" i="35"/>
  <c r="H615" i="35"/>
  <c r="K726" i="35"/>
  <c r="G675" i="35"/>
  <c r="G756" i="35"/>
  <c r="K807" i="35"/>
  <c r="G77" i="35"/>
  <c r="G591" i="35"/>
  <c r="K642" i="35"/>
  <c r="H696" i="36"/>
  <c r="H685" i="36"/>
  <c r="H707" i="36"/>
  <c r="H718" i="36"/>
  <c r="G351" i="36"/>
  <c r="G361" i="35"/>
  <c r="K882" i="35"/>
  <c r="G839" i="35"/>
  <c r="H948" i="35"/>
  <c r="H939" i="35"/>
  <c r="H930" i="35"/>
  <c r="H921" i="35"/>
  <c r="H532" i="35"/>
  <c r="H550" i="35"/>
  <c r="H541" i="35"/>
  <c r="H559" i="35"/>
  <c r="G419" i="35"/>
  <c r="G422" i="36"/>
  <c r="H868" i="36"/>
  <c r="H859" i="36"/>
  <c r="H877" i="36"/>
  <c r="H850" i="36"/>
  <c r="G676" i="36"/>
  <c r="K727" i="36"/>
  <c r="L727" i="36" s="1"/>
  <c r="M727" i="36" s="1"/>
  <c r="H624" i="36"/>
  <c r="H613" i="36"/>
  <c r="G675" i="36"/>
  <c r="K726" i="36"/>
  <c r="L726" i="36" s="1"/>
  <c r="M726" i="36" s="1"/>
  <c r="K807" i="36"/>
  <c r="L807" i="36" s="1"/>
  <c r="M807" i="36" s="1"/>
  <c r="G756" i="36"/>
  <c r="G591" i="36"/>
  <c r="K642" i="36"/>
  <c r="L642" i="36" s="1"/>
  <c r="M642" i="36" s="1"/>
  <c r="K884" i="35"/>
  <c r="G841" i="35"/>
  <c r="K643" i="35"/>
  <c r="G592" i="35"/>
  <c r="H687" i="36"/>
  <c r="H698" i="36"/>
  <c r="H720" i="36"/>
  <c r="H709" i="36"/>
  <c r="K882" i="36"/>
  <c r="L882" i="36" s="1"/>
  <c r="M882" i="36" s="1"/>
  <c r="G839" i="36"/>
  <c r="G142" i="36"/>
  <c r="H932" i="35"/>
  <c r="H923" i="35"/>
  <c r="H950" i="35"/>
  <c r="H941" i="35"/>
  <c r="G215" i="36"/>
  <c r="H548" i="35"/>
  <c r="H539" i="35"/>
  <c r="H530" i="35"/>
  <c r="H557" i="35"/>
  <c r="G287" i="35"/>
  <c r="G360" i="36"/>
  <c r="G66" i="35"/>
  <c r="G288" i="36"/>
  <c r="H870" i="36"/>
  <c r="H879" i="36"/>
  <c r="H852" i="36"/>
  <c r="H861" i="36"/>
  <c r="G673" i="36"/>
  <c r="G909" i="35"/>
  <c r="K952" i="35"/>
  <c r="H615" i="36"/>
  <c r="H626" i="36"/>
  <c r="G141" i="35"/>
  <c r="G350" i="35"/>
  <c r="G841" i="36"/>
  <c r="K884" i="36"/>
  <c r="L884" i="36" s="1"/>
  <c r="M884" i="36" s="1"/>
  <c r="K643" i="36"/>
  <c r="L643" i="36" s="1"/>
  <c r="M643" i="36" s="1"/>
  <c r="G592" i="36"/>
  <c r="H700" i="36"/>
  <c r="H689" i="36"/>
  <c r="H711" i="36"/>
  <c r="H722" i="36"/>
  <c r="G130" i="35"/>
  <c r="H940" i="35"/>
  <c r="H931" i="35"/>
  <c r="H949" i="35"/>
  <c r="H922" i="35"/>
  <c r="G78" i="36"/>
  <c r="H551" i="35"/>
  <c r="H560" i="35"/>
  <c r="H533" i="35"/>
  <c r="H542" i="35"/>
  <c r="H804" i="35"/>
  <c r="H771" i="35"/>
  <c r="H793" i="35"/>
  <c r="H782" i="35"/>
  <c r="G68" i="35"/>
  <c r="G212" i="35"/>
  <c r="G411" i="36"/>
  <c r="G909" i="36"/>
  <c r="K952" i="36"/>
  <c r="L952" i="36" s="1"/>
  <c r="M952" i="36" s="1"/>
  <c r="G216" i="36"/>
  <c r="O562" i="36"/>
  <c r="L562" i="35"/>
  <c r="P562" i="36" s="1"/>
  <c r="G75" i="35"/>
  <c r="H617" i="36"/>
  <c r="H628" i="36"/>
  <c r="G140" i="36"/>
  <c r="H697" i="36"/>
  <c r="H686" i="36"/>
  <c r="H719" i="36"/>
  <c r="H708" i="36"/>
  <c r="G420" i="36"/>
  <c r="H938" i="35"/>
  <c r="H920" i="35"/>
  <c r="H929" i="35"/>
  <c r="H947" i="35"/>
  <c r="G523" i="35"/>
  <c r="K565" i="35"/>
  <c r="H530" i="36"/>
  <c r="H557" i="36"/>
  <c r="H548" i="36"/>
  <c r="H539" i="36"/>
  <c r="G287" i="36"/>
  <c r="H780" i="35"/>
  <c r="H769" i="35"/>
  <c r="H791" i="35"/>
  <c r="H802" i="35"/>
  <c r="O644" i="36"/>
  <c r="L644" i="35"/>
  <c r="P644" i="36" s="1"/>
  <c r="G213" i="36"/>
  <c r="G76" i="35"/>
  <c r="G290" i="36"/>
  <c r="G421" i="35"/>
  <c r="H625" i="36"/>
  <c r="H614" i="36"/>
  <c r="G912" i="35"/>
  <c r="K955" i="35"/>
  <c r="K810" i="35"/>
  <c r="G759" i="35"/>
  <c r="G141" i="36"/>
  <c r="H688" i="36"/>
  <c r="H721" i="36"/>
  <c r="H710" i="36"/>
  <c r="H699" i="36"/>
  <c r="G277" i="35"/>
  <c r="K885" i="35"/>
  <c r="G842" i="35"/>
  <c r="G911" i="36"/>
  <c r="H921" i="36"/>
  <c r="H930" i="36"/>
  <c r="H939" i="36"/>
  <c r="H948" i="36"/>
  <c r="G523" i="36"/>
  <c r="K565" i="36"/>
  <c r="L565" i="36" s="1"/>
  <c r="M565" i="36" s="1"/>
  <c r="H550" i="36"/>
  <c r="H541" i="36"/>
  <c r="H532" i="36"/>
  <c r="H559" i="36"/>
  <c r="G419" i="36"/>
  <c r="H772" i="35"/>
  <c r="H805" i="35"/>
  <c r="H794" i="35"/>
  <c r="H783" i="35"/>
  <c r="G67" i="35"/>
  <c r="G594" i="35"/>
  <c r="K645" i="35"/>
  <c r="G758" i="35"/>
  <c r="K809" i="35"/>
  <c r="O724" i="36"/>
  <c r="L724" i="35"/>
  <c r="P724" i="36" s="1"/>
  <c r="H616" i="36"/>
  <c r="H627" i="36"/>
  <c r="G143" i="35"/>
  <c r="K955" i="36"/>
  <c r="L955" i="36" s="1"/>
  <c r="M955" i="36" s="1"/>
  <c r="G912" i="36"/>
  <c r="G77" i="36"/>
  <c r="K810" i="36"/>
  <c r="L810" i="36" s="1"/>
  <c r="M810" i="36" s="1"/>
  <c r="G759" i="36"/>
  <c r="G139" i="35"/>
  <c r="K885" i="36"/>
  <c r="G842" i="36"/>
  <c r="H950" i="36"/>
  <c r="H932" i="36"/>
  <c r="H941" i="36"/>
  <c r="H923" i="36"/>
  <c r="G359" i="35"/>
  <c r="H531" i="36"/>
  <c r="H558" i="36"/>
  <c r="H540" i="36"/>
  <c r="H549" i="36"/>
  <c r="H781" i="35"/>
  <c r="H803" i="35"/>
  <c r="H770" i="35"/>
  <c r="H792" i="35"/>
  <c r="G594" i="36"/>
  <c r="K645" i="36"/>
  <c r="L645" i="36" s="1"/>
  <c r="M645" i="36" s="1"/>
  <c r="G358" i="35"/>
  <c r="G201" i="35"/>
  <c r="K809" i="36"/>
  <c r="L809" i="36" s="1"/>
  <c r="M809" i="36" s="1"/>
  <c r="G758" i="36"/>
  <c r="G410" i="36"/>
  <c r="G590" i="35"/>
  <c r="K641" i="35"/>
  <c r="G760" i="35"/>
  <c r="K811" i="35"/>
  <c r="G411" i="35"/>
  <c r="G673" i="35"/>
  <c r="G757" i="35"/>
  <c r="K808" i="35"/>
  <c r="G521" i="35"/>
  <c r="K563" i="35"/>
  <c r="G130" i="36"/>
  <c r="G361" i="36"/>
  <c r="G142" i="35"/>
  <c r="G289" i="35"/>
  <c r="H938" i="36"/>
  <c r="H929" i="36"/>
  <c r="H920" i="36"/>
  <c r="H947" i="36"/>
  <c r="H542" i="36"/>
  <c r="H551" i="36"/>
  <c r="H560" i="36"/>
  <c r="H533" i="36"/>
  <c r="G68" i="36"/>
  <c r="G360" i="35"/>
  <c r="H790" i="35"/>
  <c r="H801" i="35"/>
  <c r="H768" i="35"/>
  <c r="H779" i="35"/>
  <c r="G201" i="36"/>
  <c r="G286" i="35"/>
  <c r="G422" i="35"/>
  <c r="G288" i="35"/>
  <c r="K725" i="35"/>
  <c r="G674" i="35"/>
  <c r="H861" i="35"/>
  <c r="H852" i="35"/>
  <c r="H879" i="35"/>
  <c r="H870" i="35"/>
  <c r="G590" i="36"/>
  <c r="K641" i="36"/>
  <c r="L641" i="36" s="1"/>
  <c r="M641" i="36" s="1"/>
  <c r="K811" i="36"/>
  <c r="L811" i="36" s="1"/>
  <c r="M811" i="36" s="1"/>
  <c r="G760" i="36"/>
  <c r="I299" i="11"/>
  <c r="I288" i="11"/>
  <c r="I422" i="11"/>
  <c r="G275" i="11"/>
  <c r="G350" i="11"/>
  <c r="G412" i="11"/>
  <c r="G411" i="11"/>
  <c r="G348" i="11"/>
  <c r="G349" i="11"/>
  <c r="G409" i="11"/>
  <c r="G351" i="11"/>
  <c r="G370" i="11" s="1"/>
  <c r="G410" i="11"/>
  <c r="G429" i="11" s="1"/>
  <c r="G277" i="11"/>
  <c r="I421" i="11"/>
  <c r="G274" i="11"/>
  <c r="G278" i="11"/>
  <c r="G301" i="11" s="1"/>
  <c r="G276" i="11"/>
  <c r="G130" i="11"/>
  <c r="G153" i="11" s="1"/>
  <c r="G127" i="11"/>
  <c r="G201" i="11"/>
  <c r="G224" i="11" s="1"/>
  <c r="G203" i="11"/>
  <c r="G204" i="11"/>
  <c r="G129" i="11"/>
  <c r="G128" i="11"/>
  <c r="G131" i="11"/>
  <c r="G200" i="11"/>
  <c r="G223" i="11" s="1"/>
  <c r="G202" i="11"/>
  <c r="G68" i="11"/>
  <c r="G65" i="11"/>
  <c r="G66" i="11"/>
  <c r="G67" i="11"/>
  <c r="G86" i="11" s="1"/>
  <c r="I72" i="8"/>
  <c r="E996" i="11"/>
  <c r="E837" i="11"/>
  <c r="O13" i="11"/>
  <c r="O19" i="11"/>
  <c r="E271" i="11"/>
  <c r="E585" i="11"/>
  <c r="E834" i="11"/>
  <c r="E988" i="11"/>
  <c r="U92" i="8"/>
  <c r="E904" i="11"/>
  <c r="I152" i="8"/>
  <c r="I92" i="8"/>
  <c r="I98" i="8"/>
  <c r="Y92" i="8"/>
  <c r="AC92" i="8"/>
  <c r="AC98" i="8"/>
  <c r="Y72" i="8"/>
  <c r="Q98" i="8"/>
  <c r="M98" i="8"/>
  <c r="E342" i="11"/>
  <c r="U98" i="8"/>
  <c r="M92" i="8"/>
  <c r="E195" i="11"/>
  <c r="E1000" i="11"/>
  <c r="E1012" i="11" s="1"/>
  <c r="E588" i="11"/>
  <c r="E992" i="11"/>
  <c r="E252" i="11"/>
  <c r="E325" i="11"/>
  <c r="E29" i="11"/>
  <c r="E34" i="11" s="1"/>
  <c r="E30" i="11"/>
  <c r="E35" i="11" s="1"/>
  <c r="Y178" i="8"/>
  <c r="E953" i="11"/>
  <c r="K953" i="11" s="1"/>
  <c r="L953" i="11" s="1"/>
  <c r="M953" i="11" s="1"/>
  <c r="AC74" i="8"/>
  <c r="Y74" i="8"/>
  <c r="E404" i="11"/>
  <c r="E984" i="11"/>
  <c r="M74" i="8"/>
  <c r="Q74" i="8"/>
  <c r="E980" i="11"/>
  <c r="Y66" i="8"/>
  <c r="AC66" i="8"/>
  <c r="I300" i="11"/>
  <c r="O21" i="11"/>
  <c r="O58" i="11"/>
  <c r="O15" i="11"/>
  <c r="E668" i="11"/>
  <c r="E51" i="11"/>
  <c r="E56" i="11" s="1"/>
  <c r="I859" i="11"/>
  <c r="I867" i="11"/>
  <c r="I876" i="11"/>
  <c r="I768" i="11"/>
  <c r="I801" i="11"/>
  <c r="I790" i="11"/>
  <c r="I779" i="11"/>
  <c r="U72" i="8"/>
  <c r="Q72" i="8"/>
  <c r="AC72" i="8"/>
  <c r="I66" i="8"/>
  <c r="M66" i="8"/>
  <c r="Q66" i="8"/>
  <c r="E989" i="11"/>
  <c r="E269" i="11"/>
  <c r="E121" i="11"/>
  <c r="E465" i="11"/>
  <c r="E954" i="11"/>
  <c r="K954" i="11" s="1"/>
  <c r="L954" i="11" s="1"/>
  <c r="M954" i="11" s="1"/>
  <c r="E974" i="11"/>
  <c r="I223" i="11"/>
  <c r="I212" i="11"/>
  <c r="I143" i="11"/>
  <c r="I154" i="11"/>
  <c r="Y67" i="8"/>
  <c r="Q67" i="8"/>
  <c r="I67" i="8"/>
  <c r="AC96" i="8"/>
  <c r="Y96" i="8"/>
  <c r="M96" i="8"/>
  <c r="Q96" i="8"/>
  <c r="I96" i="8"/>
  <c r="U96" i="8"/>
  <c r="U63" i="8"/>
  <c r="M63" i="8"/>
  <c r="AC63" i="8"/>
  <c r="Y63" i="8"/>
  <c r="Q63" i="8"/>
  <c r="I63" i="8"/>
  <c r="M65" i="8"/>
  <c r="I65" i="8"/>
  <c r="Y65" i="8"/>
  <c r="Q65" i="8"/>
  <c r="Q64" i="8"/>
  <c r="E236" i="11" s="1"/>
  <c r="Y64" i="8"/>
  <c r="AC64" i="8"/>
  <c r="M64" i="8"/>
  <c r="I64" i="8"/>
  <c r="U64" i="8"/>
  <c r="Q158" i="8"/>
  <c r="Y158" i="8"/>
  <c r="E888" i="11" s="1"/>
  <c r="U158" i="8"/>
  <c r="M158" i="8"/>
  <c r="I158" i="8"/>
  <c r="AC158" i="8"/>
  <c r="AC76" i="8"/>
  <c r="I76" i="8"/>
  <c r="Q68" i="8"/>
  <c r="I68" i="8"/>
  <c r="Y68" i="8"/>
  <c r="AC68" i="8"/>
  <c r="E442" i="11" s="1"/>
  <c r="U68" i="8"/>
  <c r="M68" i="8"/>
  <c r="Y70" i="8"/>
  <c r="I70" i="8"/>
  <c r="AC176" i="8"/>
  <c r="M176" i="8"/>
  <c r="I85" i="11"/>
  <c r="G760" i="11"/>
  <c r="I850" i="11"/>
  <c r="I614" i="11"/>
  <c r="I877" i="11"/>
  <c r="I868" i="11"/>
  <c r="I939" i="11"/>
  <c r="I930" i="11"/>
  <c r="I948" i="11"/>
  <c r="I921" i="11"/>
  <c r="I604" i="11"/>
  <c r="I626" i="11"/>
  <c r="I615" i="11"/>
  <c r="I605" i="11"/>
  <c r="I627" i="11"/>
  <c r="I616" i="11"/>
  <c r="I370" i="11"/>
  <c r="I361" i="11"/>
  <c r="I769" i="11"/>
  <c r="I686" i="11"/>
  <c r="I708" i="11"/>
  <c r="I707" i="11"/>
  <c r="I140" i="11"/>
  <c r="I225" i="11"/>
  <c r="I709" i="11"/>
  <c r="I429" i="11"/>
  <c r="I290" i="11"/>
  <c r="G520" i="11"/>
  <c r="G548" i="11" s="1"/>
  <c r="G521" i="11"/>
  <c r="G531" i="11" s="1"/>
  <c r="G674" i="11"/>
  <c r="G719" i="11" s="1"/>
  <c r="I617" i="11"/>
  <c r="I360" i="11"/>
  <c r="G841" i="11"/>
  <c r="I949" i="11"/>
  <c r="I783" i="11"/>
  <c r="I772" i="11"/>
  <c r="I794" i="11"/>
  <c r="I216" i="11"/>
  <c r="I549" i="11"/>
  <c r="I852" i="11"/>
  <c r="I861" i="11"/>
  <c r="G912" i="11"/>
  <c r="I879" i="11"/>
  <c r="G910" i="11"/>
  <c r="G939" i="11" s="1"/>
  <c r="I141" i="11"/>
  <c r="I419" i="11"/>
  <c r="G592" i="11"/>
  <c r="I698" i="11"/>
  <c r="I213" i="11"/>
  <c r="I947" i="11"/>
  <c r="I297" i="11"/>
  <c r="I224" i="11"/>
  <c r="I929" i="11"/>
  <c r="I920" i="11"/>
  <c r="I720" i="11"/>
  <c r="G909" i="11"/>
  <c r="G929" i="11" s="1"/>
  <c r="I139" i="11"/>
  <c r="I558" i="11"/>
  <c r="I718" i="11"/>
  <c r="I922" i="11"/>
  <c r="I697" i="11"/>
  <c r="I696" i="11"/>
  <c r="I75" i="11"/>
  <c r="I940" i="11"/>
  <c r="I628" i="11"/>
  <c r="G675" i="11"/>
  <c r="G687" i="11" s="1"/>
  <c r="I359" i="11"/>
  <c r="I550" i="11"/>
  <c r="I541" i="11"/>
  <c r="I531" i="11"/>
  <c r="I559" i="11"/>
  <c r="I606" i="11"/>
  <c r="I142" i="11"/>
  <c r="G911" i="11"/>
  <c r="G949" i="11" s="1"/>
  <c r="I551" i="11"/>
  <c r="I226" i="11"/>
  <c r="G759" i="11"/>
  <c r="G771" i="11" s="1"/>
  <c r="I530" i="11"/>
  <c r="I560" i="11"/>
  <c r="I533" i="11"/>
  <c r="I950" i="11"/>
  <c r="I858" i="11"/>
  <c r="I77" i="11"/>
  <c r="I804" i="11"/>
  <c r="I771" i="11"/>
  <c r="I941" i="11"/>
  <c r="I802" i="11"/>
  <c r="I793" i="11"/>
  <c r="I923" i="11"/>
  <c r="I791" i="11"/>
  <c r="I849" i="11"/>
  <c r="I689" i="11"/>
  <c r="I711" i="11"/>
  <c r="I700" i="11"/>
  <c r="I792" i="11"/>
  <c r="I721" i="11"/>
  <c r="I688" i="11"/>
  <c r="I699" i="11"/>
  <c r="I557" i="11"/>
  <c r="I539" i="11"/>
  <c r="E198" i="11"/>
  <c r="E584" i="11"/>
  <c r="E468" i="11"/>
  <c r="E726" i="11"/>
  <c r="K726" i="11" s="1"/>
  <c r="L726" i="11" s="1"/>
  <c r="M726" i="11" s="1"/>
  <c r="E308" i="11"/>
  <c r="E466" i="11"/>
  <c r="E390" i="11"/>
  <c r="E124" i="11"/>
  <c r="E185" i="11"/>
  <c r="E194" i="11"/>
  <c r="E725" i="11"/>
  <c r="K725" i="11" s="1"/>
  <c r="L725" i="11" s="1"/>
  <c r="M725" i="11" s="1"/>
  <c r="E188" i="11"/>
  <c r="E650" i="11"/>
  <c r="E751" i="11"/>
  <c r="E339" i="11"/>
  <c r="E169" i="11"/>
  <c r="E28" i="11"/>
  <c r="E33" i="11" s="1"/>
  <c r="O54" i="11"/>
  <c r="O10" i="11" s="1"/>
  <c r="E332" i="11"/>
  <c r="E251" i="11"/>
  <c r="E403" i="11"/>
  <c r="E809" i="11"/>
  <c r="K809" i="11" s="1"/>
  <c r="L809" i="11" s="1"/>
  <c r="M809" i="11" s="1"/>
  <c r="E457" i="11"/>
  <c r="E464" i="11"/>
  <c r="E643" i="11"/>
  <c r="K643" i="11" s="1"/>
  <c r="L643" i="11" s="1"/>
  <c r="M643" i="11" s="1"/>
  <c r="E267" i="11"/>
  <c r="E113" i="11"/>
  <c r="E341" i="11"/>
  <c r="I22" i="11"/>
  <c r="I19" i="11"/>
  <c r="I21" i="11"/>
  <c r="I20" i="11"/>
  <c r="E107" i="11"/>
  <c r="E258" i="11"/>
  <c r="E119" i="11"/>
  <c r="E463" i="11"/>
  <c r="E178" i="11"/>
  <c r="E52" i="11"/>
  <c r="E57" i="11" s="1"/>
  <c r="E396" i="11"/>
  <c r="E667" i="11"/>
  <c r="E884" i="11"/>
  <c r="K884" i="11" s="1"/>
  <c r="L884" i="11" s="1"/>
  <c r="M884" i="11" s="1"/>
  <c r="E317" i="11"/>
  <c r="E750" i="11"/>
  <c r="E903" i="11"/>
  <c r="E340" i="11"/>
  <c r="E973" i="11"/>
  <c r="I358" i="11"/>
  <c r="I367" i="11"/>
  <c r="E101" i="11"/>
  <c r="E120" i="11"/>
  <c r="E883" i="11"/>
  <c r="K883" i="11" s="1"/>
  <c r="L883" i="11" s="1"/>
  <c r="M883" i="11" s="1"/>
  <c r="E887" i="11"/>
  <c r="E172" i="11"/>
  <c r="E749" i="11"/>
  <c r="E829" i="11"/>
  <c r="E587" i="11"/>
  <c r="E38" i="11"/>
  <c r="E268" i="11"/>
  <c r="E835" i="11"/>
  <c r="E26" i="11"/>
  <c r="E31" i="11" s="1"/>
  <c r="E257" i="11"/>
  <c r="E266" i="11"/>
  <c r="E1001" i="11"/>
  <c r="E1017" i="11" s="1"/>
  <c r="E197" i="11"/>
  <c r="E906" i="11"/>
  <c r="E27" i="11"/>
  <c r="E32" i="11" s="1"/>
  <c r="E343" i="11"/>
  <c r="E455" i="11"/>
  <c r="E812" i="11"/>
  <c r="E344" i="11"/>
  <c r="E451" i="11"/>
  <c r="E889" i="11"/>
  <c r="E385" i="11"/>
  <c r="E642" i="11"/>
  <c r="K642" i="11" s="1"/>
  <c r="L642" i="11" s="1"/>
  <c r="M642" i="11" s="1"/>
  <c r="E192" i="11"/>
  <c r="E407" i="11"/>
  <c r="E985" i="11"/>
  <c r="E977" i="11"/>
  <c r="E376" i="11"/>
  <c r="G842" i="11"/>
  <c r="G870" i="11" s="1"/>
  <c r="G758" i="11"/>
  <c r="G781" i="11" s="1"/>
  <c r="E727" i="11"/>
  <c r="K727" i="11" s="1"/>
  <c r="L727" i="11" s="1"/>
  <c r="M727" i="11" s="1"/>
  <c r="E669" i="11"/>
  <c r="E663" i="11"/>
  <c r="E345" i="11"/>
  <c r="E406" i="11"/>
  <c r="E670" i="11"/>
  <c r="E753" i="11"/>
  <c r="E905" i="11"/>
  <c r="E583" i="11"/>
  <c r="E724" i="11"/>
  <c r="E41" i="11"/>
  <c r="E46" i="11" s="1"/>
  <c r="E272" i="11"/>
  <c r="E671" i="11"/>
  <c r="E811" i="11"/>
  <c r="K811" i="11" s="1"/>
  <c r="L811" i="11" s="1"/>
  <c r="M811" i="11" s="1"/>
  <c r="E196" i="11"/>
  <c r="E122" i="11"/>
  <c r="E61" i="11"/>
  <c r="E12" i="11" s="1"/>
  <c r="E24" i="11" s="1"/>
  <c r="E45" i="11"/>
  <c r="E50" i="11" s="1"/>
  <c r="E836" i="11"/>
  <c r="E586" i="11"/>
  <c r="E581" i="11"/>
  <c r="E900" i="11"/>
  <c r="E44" i="11"/>
  <c r="E49" i="11" s="1"/>
  <c r="E42" i="11"/>
  <c r="E47" i="11" s="1"/>
  <c r="E907" i="11"/>
  <c r="E402" i="11"/>
  <c r="E102" i="11"/>
  <c r="E393" i="11"/>
  <c r="E975" i="11"/>
  <c r="E808" i="11"/>
  <c r="K808" i="11" s="1"/>
  <c r="L808" i="11" s="1"/>
  <c r="M808" i="11" s="1"/>
  <c r="E467" i="11"/>
  <c r="E93" i="11"/>
  <c r="E312" i="11"/>
  <c r="G522" i="11"/>
  <c r="E39" i="11"/>
  <c r="E319" i="11"/>
  <c r="E191" i="11"/>
  <c r="E580" i="11"/>
  <c r="E446" i="11"/>
  <c r="E970" i="11"/>
  <c r="E563" i="11"/>
  <c r="K563" i="11" s="1"/>
  <c r="L563" i="11" s="1"/>
  <c r="M563" i="11" s="1"/>
  <c r="E754" i="11"/>
  <c r="E161" i="11"/>
  <c r="E37" i="11"/>
  <c r="E36" i="11"/>
  <c r="E733" i="11"/>
  <c r="E270" i="11"/>
  <c r="E234" i="11"/>
  <c r="I781" i="11"/>
  <c r="G756" i="11"/>
  <c r="G779" i="11" s="1"/>
  <c r="I78" i="11"/>
  <c r="I869" i="11"/>
  <c r="I860" i="11"/>
  <c r="I613" i="11"/>
  <c r="I603" i="11"/>
  <c r="I770" i="11"/>
  <c r="I87" i="11"/>
  <c r="I803" i="11"/>
  <c r="I602" i="11"/>
  <c r="G757" i="11"/>
  <c r="G780" i="11" s="1"/>
  <c r="I878" i="11"/>
  <c r="I14" i="11"/>
  <c r="G676" i="11"/>
  <c r="G710" i="11" s="1"/>
  <c r="I15" i="11"/>
  <c r="G677" i="11"/>
  <c r="G711" i="11" s="1"/>
  <c r="I13" i="11"/>
  <c r="G840" i="11"/>
  <c r="G859" i="11" s="1"/>
  <c r="G590" i="11"/>
  <c r="G624" i="11" s="1"/>
  <c r="G591" i="11"/>
  <c r="G625" i="11" s="1"/>
  <c r="G673" i="11"/>
  <c r="G696" i="11" s="1"/>
  <c r="I17" i="11"/>
  <c r="G839" i="11"/>
  <c r="G523" i="11"/>
  <c r="G593" i="11"/>
  <c r="I287" i="11"/>
  <c r="G594" i="11"/>
  <c r="G606" i="11" s="1"/>
  <c r="M178" i="8"/>
  <c r="E993" i="11"/>
  <c r="E981" i="11"/>
  <c r="Q109" i="8"/>
  <c r="I176" i="8"/>
  <c r="U176" i="8"/>
  <c r="Y176" i="8"/>
  <c r="Q176" i="8"/>
  <c r="AC70" i="8"/>
  <c r="M67" i="8"/>
  <c r="Q76" i="8"/>
  <c r="U70" i="8"/>
  <c r="M76" i="8"/>
  <c r="M70" i="8"/>
  <c r="AC65" i="8"/>
  <c r="U67" i="8"/>
  <c r="U65" i="8"/>
  <c r="Q70" i="8"/>
  <c r="AC67" i="8"/>
  <c r="E997" i="11"/>
  <c r="AC159" i="8"/>
  <c r="Y76" i="8"/>
  <c r="U153" i="8"/>
  <c r="Y177" i="8"/>
  <c r="I150" i="8"/>
  <c r="AC177" i="8"/>
  <c r="M150" i="8"/>
  <c r="U76" i="8"/>
  <c r="I157" i="8"/>
  <c r="U178" i="8"/>
  <c r="I178" i="8"/>
  <c r="M156" i="8"/>
  <c r="M106" i="8"/>
  <c r="M174" i="8"/>
  <c r="U106" i="8"/>
  <c r="AC156" i="8"/>
  <c r="Y174" i="8"/>
  <c r="Y150" i="8"/>
  <c r="AC150" i="8"/>
  <c r="AC106" i="8"/>
  <c r="Y153" i="8"/>
  <c r="Y106" i="8"/>
  <c r="M157" i="8"/>
  <c r="Y154" i="8"/>
  <c r="AC153" i="8"/>
  <c r="Q106" i="8"/>
  <c r="M100" i="8"/>
  <c r="M153" i="8"/>
  <c r="AC178" i="8"/>
  <c r="Q174" i="8"/>
  <c r="I100" i="8"/>
  <c r="AC154" i="8"/>
  <c r="U150" i="8"/>
  <c r="AC94" i="8"/>
  <c r="I94" i="8"/>
  <c r="Q94" i="8"/>
  <c r="Y94" i="8"/>
  <c r="M94" i="8"/>
  <c r="U94" i="8"/>
  <c r="M102" i="8"/>
  <c r="I156" i="8"/>
  <c r="Y156" i="8"/>
  <c r="AC174" i="8"/>
  <c r="U159" i="8"/>
  <c r="Q164" i="8"/>
  <c r="Y164" i="8"/>
  <c r="I164" i="8"/>
  <c r="AC164" i="8"/>
  <c r="M164" i="8"/>
  <c r="U164" i="8"/>
  <c r="U174" i="8"/>
  <c r="U102" i="8"/>
  <c r="Y170" i="8"/>
  <c r="U170" i="8"/>
  <c r="I170" i="8"/>
  <c r="M170" i="8"/>
  <c r="AC170" i="8"/>
  <c r="Q170" i="8"/>
  <c r="U131" i="8"/>
  <c r="M131" i="8"/>
  <c r="Q131" i="8"/>
  <c r="I131" i="8"/>
  <c r="U80" i="8"/>
  <c r="AC80" i="8"/>
  <c r="M80" i="8"/>
  <c r="Y80" i="8"/>
  <c r="I80" i="8"/>
  <c r="Q80" i="8"/>
  <c r="U100" i="8"/>
  <c r="Q100" i="8"/>
  <c r="AC168" i="8"/>
  <c r="M168" i="8"/>
  <c r="U168" i="8"/>
  <c r="I168" i="8"/>
  <c r="Q168" i="8"/>
  <c r="Y168" i="8"/>
  <c r="Q157" i="8"/>
  <c r="Q112" i="8"/>
  <c r="I102" i="8"/>
  <c r="Q154" i="8"/>
  <c r="U166" i="8"/>
  <c r="I166" i="8"/>
  <c r="Q166" i="8"/>
  <c r="Y166" i="8"/>
  <c r="AC166" i="8"/>
  <c r="M166" i="8"/>
  <c r="I82" i="8"/>
  <c r="AC82" i="8"/>
  <c r="U82" i="8"/>
  <c r="Y82" i="8"/>
  <c r="M82" i="8"/>
  <c r="Q82" i="8"/>
  <c r="AC102" i="8"/>
  <c r="I109" i="8"/>
  <c r="AC109" i="8"/>
  <c r="Y109" i="8"/>
  <c r="Y100" i="8"/>
  <c r="I154" i="8"/>
  <c r="Q177" i="8"/>
  <c r="M177" i="8"/>
  <c r="U157" i="8"/>
  <c r="Q162" i="8"/>
  <c r="U162" i="8"/>
  <c r="M162" i="8"/>
  <c r="I162" i="8"/>
  <c r="AC162" i="8"/>
  <c r="Y162" i="8"/>
  <c r="Y86" i="8"/>
  <c r="I86" i="8"/>
  <c r="U86" i="8"/>
  <c r="Q86" i="8"/>
  <c r="M86" i="8"/>
  <c r="AC86" i="8"/>
  <c r="U112" i="8"/>
  <c r="AC112" i="8"/>
  <c r="I137" i="8"/>
  <c r="M137" i="8"/>
  <c r="Q137" i="8"/>
  <c r="U137" i="8"/>
  <c r="I128" i="8"/>
  <c r="U128" i="8"/>
  <c r="Q128" i="8"/>
  <c r="M128" i="8"/>
  <c r="U127" i="8"/>
  <c r="Q127" i="8"/>
  <c r="I127" i="8"/>
  <c r="M127" i="8"/>
  <c r="M141" i="8"/>
  <c r="I141" i="8"/>
  <c r="U141" i="8"/>
  <c r="Q141" i="8"/>
  <c r="I111" i="8"/>
  <c r="AC111" i="8"/>
  <c r="Q111" i="8"/>
  <c r="U111" i="8"/>
  <c r="M111" i="8"/>
  <c r="Y111" i="8"/>
  <c r="U109" i="8"/>
  <c r="I159" i="8"/>
  <c r="Q159" i="8"/>
  <c r="I153" i="8"/>
  <c r="Q156" i="8"/>
  <c r="U177" i="8"/>
  <c r="Y102" i="8"/>
  <c r="M129" i="8"/>
  <c r="I129" i="8"/>
  <c r="U129" i="8"/>
  <c r="Q129" i="8"/>
  <c r="U138" i="8"/>
  <c r="I138" i="8"/>
  <c r="M138" i="8"/>
  <c r="Q138" i="8"/>
  <c r="U140" i="8"/>
  <c r="M140" i="8"/>
  <c r="I140" i="8"/>
  <c r="Q140" i="8"/>
  <c r="Y112" i="8"/>
  <c r="M110" i="8"/>
  <c r="I110" i="8"/>
  <c r="Y110" i="8"/>
  <c r="AC110" i="8"/>
  <c r="U110" i="8"/>
  <c r="Q110" i="8"/>
  <c r="U88" i="8"/>
  <c r="Q88" i="8"/>
  <c r="M88" i="8"/>
  <c r="AC88" i="8"/>
  <c r="I88" i="8"/>
  <c r="Y88" i="8"/>
  <c r="M154" i="8"/>
  <c r="I112" i="8"/>
  <c r="AC157" i="8"/>
  <c r="M159" i="8"/>
  <c r="M130" i="8"/>
  <c r="I130" i="8"/>
  <c r="U130" i="8"/>
  <c r="Q130" i="8"/>
  <c r="I139" i="8"/>
  <c r="M139" i="8"/>
  <c r="Q139" i="8"/>
  <c r="U139" i="8"/>
  <c r="I84" i="8"/>
  <c r="Y84" i="8"/>
  <c r="AC84" i="8"/>
  <c r="M84" i="8"/>
  <c r="U84" i="8"/>
  <c r="Q84" i="8"/>
  <c r="K49" i="8"/>
  <c r="J49" i="8"/>
  <c r="F47" i="8"/>
  <c r="I45" i="8"/>
  <c r="G287" i="11"/>
  <c r="H591" i="11"/>
  <c r="H590" i="11"/>
  <c r="G358" i="11"/>
  <c r="H756" i="11"/>
  <c r="H759" i="11"/>
  <c r="H911" i="11"/>
  <c r="H912" i="11"/>
  <c r="H849" i="11"/>
  <c r="H858" i="11"/>
  <c r="H876" i="11"/>
  <c r="H867" i="11"/>
  <c r="H842" i="11"/>
  <c r="H719" i="11"/>
  <c r="H686" i="11"/>
  <c r="H697" i="11"/>
  <c r="H708" i="11"/>
  <c r="H673" i="11"/>
  <c r="H722" i="11"/>
  <c r="H689" i="11"/>
  <c r="H711" i="11"/>
  <c r="H700" i="11"/>
  <c r="G214" i="11"/>
  <c r="G212" i="11"/>
  <c r="G360" i="11"/>
  <c r="G215" i="11"/>
  <c r="H523" i="11"/>
  <c r="H522" i="11"/>
  <c r="H593" i="11"/>
  <c r="H594" i="11"/>
  <c r="H592" i="11"/>
  <c r="G359" i="11"/>
  <c r="H760" i="11"/>
  <c r="H757" i="11"/>
  <c r="H758" i="11"/>
  <c r="H910" i="11"/>
  <c r="H909" i="11"/>
  <c r="H850" i="11"/>
  <c r="H877" i="11"/>
  <c r="H868" i="11"/>
  <c r="H859" i="11"/>
  <c r="H841" i="11"/>
  <c r="H698" i="11"/>
  <c r="H709" i="11"/>
  <c r="H687" i="11"/>
  <c r="H720" i="11"/>
  <c r="H688" i="11"/>
  <c r="H710" i="11"/>
  <c r="H721" i="11"/>
  <c r="H699" i="11"/>
  <c r="G361" i="11"/>
  <c r="G213" i="11"/>
  <c r="G216" i="11"/>
  <c r="H520" i="11"/>
  <c r="H521" i="11"/>
  <c r="G940" i="35" l="1"/>
  <c r="G949" i="35"/>
  <c r="G530" i="35"/>
  <c r="G557" i="35"/>
  <c r="G548" i="35"/>
  <c r="G922" i="35"/>
  <c r="G605" i="35"/>
  <c r="G616" i="35"/>
  <c r="M562" i="35"/>
  <c r="Q562" i="36" s="1"/>
  <c r="M644" i="35"/>
  <c r="Q644" i="36" s="1"/>
  <c r="M954" i="35"/>
  <c r="Q954" i="36" s="1"/>
  <c r="O725" i="36"/>
  <c r="L725" i="35"/>
  <c r="P725" i="36" s="1"/>
  <c r="G430" i="35"/>
  <c r="G87" i="35"/>
  <c r="G153" i="35"/>
  <c r="O952" i="36"/>
  <c r="L952" i="35"/>
  <c r="P952" i="36" s="1"/>
  <c r="G876" i="36"/>
  <c r="G867" i="36"/>
  <c r="G858" i="36"/>
  <c r="G849" i="36"/>
  <c r="G615" i="35"/>
  <c r="G626" i="35"/>
  <c r="G604" i="35"/>
  <c r="G603" i="35"/>
  <c r="G614" i="35"/>
  <c r="G625" i="35"/>
  <c r="O953" i="36"/>
  <c r="L953" i="35"/>
  <c r="P953" i="36" s="1"/>
  <c r="G711" i="35"/>
  <c r="G689" i="35"/>
  <c r="G700" i="35"/>
  <c r="G722" i="35"/>
  <c r="G791" i="36"/>
  <c r="G802" i="36"/>
  <c r="G769" i="36"/>
  <c r="G780" i="36"/>
  <c r="G805" i="36"/>
  <c r="G783" i="36"/>
  <c r="G772" i="36"/>
  <c r="G794" i="36"/>
  <c r="O811" i="36"/>
  <c r="L811" i="35"/>
  <c r="P811" i="36" s="1"/>
  <c r="G861" i="35"/>
  <c r="G870" i="35"/>
  <c r="G852" i="35"/>
  <c r="G879" i="35"/>
  <c r="O565" i="36"/>
  <c r="L565" i="35"/>
  <c r="P565" i="36" s="1"/>
  <c r="G869" i="36"/>
  <c r="G860" i="36"/>
  <c r="G878" i="36"/>
  <c r="G851" i="36"/>
  <c r="G947" i="35"/>
  <c r="G938" i="35"/>
  <c r="G920" i="35"/>
  <c r="G929" i="35"/>
  <c r="G85" i="35"/>
  <c r="O643" i="36"/>
  <c r="L643" i="35"/>
  <c r="P643" i="36" s="1"/>
  <c r="G709" i="36"/>
  <c r="G698" i="36"/>
  <c r="G687" i="36"/>
  <c r="G720" i="36"/>
  <c r="G223" i="36"/>
  <c r="G686" i="36"/>
  <c r="G708" i="36"/>
  <c r="G697" i="36"/>
  <c r="G719" i="36"/>
  <c r="G783" i="35"/>
  <c r="G794" i="35"/>
  <c r="G805" i="35"/>
  <c r="G772" i="35"/>
  <c r="O809" i="36"/>
  <c r="L809" i="35"/>
  <c r="P809" i="36" s="1"/>
  <c r="L885" i="35"/>
  <c r="P885" i="36" s="1"/>
  <c r="O885" i="36"/>
  <c r="G560" i="35"/>
  <c r="G551" i="35"/>
  <c r="G533" i="35"/>
  <c r="G542" i="35"/>
  <c r="G369" i="35"/>
  <c r="G718" i="36"/>
  <c r="G707" i="36"/>
  <c r="G696" i="36"/>
  <c r="G685" i="36"/>
  <c r="G869" i="35"/>
  <c r="G860" i="35"/>
  <c r="G878" i="35"/>
  <c r="G851" i="35"/>
  <c r="G868" i="36"/>
  <c r="G859" i="36"/>
  <c r="G877" i="36"/>
  <c r="G850" i="36"/>
  <c r="L641" i="35"/>
  <c r="P641" i="36" s="1"/>
  <c r="O641" i="36"/>
  <c r="G628" i="36"/>
  <c r="G606" i="36"/>
  <c r="G617" i="36"/>
  <c r="G803" i="35"/>
  <c r="G770" i="35"/>
  <c r="G781" i="35"/>
  <c r="G792" i="35"/>
  <c r="G542" i="36"/>
  <c r="G533" i="36"/>
  <c r="G560" i="36"/>
  <c r="G551" i="36"/>
  <c r="G938" i="36"/>
  <c r="G929" i="36"/>
  <c r="G920" i="36"/>
  <c r="G947" i="36"/>
  <c r="O884" i="36"/>
  <c r="L884" i="35"/>
  <c r="P884" i="36" s="1"/>
  <c r="G627" i="36"/>
  <c r="G616" i="36"/>
  <c r="G605" i="36"/>
  <c r="G602" i="36"/>
  <c r="G613" i="36"/>
  <c r="G624" i="36"/>
  <c r="G153" i="36"/>
  <c r="G602" i="35"/>
  <c r="G613" i="35"/>
  <c r="G624" i="35"/>
  <c r="G782" i="36"/>
  <c r="G804" i="36"/>
  <c r="G793" i="36"/>
  <c r="G771" i="36"/>
  <c r="G300" i="35"/>
  <c r="G430" i="36"/>
  <c r="G858" i="35"/>
  <c r="G867" i="35"/>
  <c r="G876" i="35"/>
  <c r="G849" i="35"/>
  <c r="O563" i="36"/>
  <c r="L563" i="35"/>
  <c r="P563" i="36" s="1"/>
  <c r="M724" i="35"/>
  <c r="Q724" i="36" s="1"/>
  <c r="G625" i="36"/>
  <c r="G614" i="36"/>
  <c r="G603" i="36"/>
  <c r="O882" i="36"/>
  <c r="L882" i="35"/>
  <c r="P882" i="36" s="1"/>
  <c r="L807" i="35"/>
  <c r="P807" i="36" s="1"/>
  <c r="O807" i="36"/>
  <c r="G699" i="35"/>
  <c r="G710" i="35"/>
  <c r="G721" i="35"/>
  <c r="G688" i="35"/>
  <c r="G86" i="36"/>
  <c r="G939" i="36"/>
  <c r="G921" i="36"/>
  <c r="G930" i="36"/>
  <c r="G948" i="36"/>
  <c r="G541" i="36"/>
  <c r="G532" i="36"/>
  <c r="G559" i="36"/>
  <c r="G550" i="36"/>
  <c r="G87" i="36"/>
  <c r="G558" i="35"/>
  <c r="G549" i="35"/>
  <c r="G531" i="35"/>
  <c r="G540" i="35"/>
  <c r="G429" i="36"/>
  <c r="G870" i="36"/>
  <c r="G861" i="36"/>
  <c r="G852" i="36"/>
  <c r="G879" i="36"/>
  <c r="L645" i="35"/>
  <c r="P645" i="36" s="1"/>
  <c r="O645" i="36"/>
  <c r="G804" i="35"/>
  <c r="G771" i="35"/>
  <c r="G793" i="35"/>
  <c r="G782" i="35"/>
  <c r="G768" i="35"/>
  <c r="G801" i="35"/>
  <c r="G790" i="35"/>
  <c r="G779" i="35"/>
  <c r="O727" i="36"/>
  <c r="L727" i="35"/>
  <c r="P727" i="36" s="1"/>
  <c r="G152" i="36"/>
  <c r="G225" i="36"/>
  <c r="O808" i="36"/>
  <c r="L808" i="35"/>
  <c r="P808" i="36" s="1"/>
  <c r="L885" i="36"/>
  <c r="M885" i="36" s="1"/>
  <c r="G628" i="35"/>
  <c r="G606" i="35"/>
  <c r="G617" i="35"/>
  <c r="L810" i="35"/>
  <c r="P810" i="36" s="1"/>
  <c r="O810" i="36"/>
  <c r="G548" i="36"/>
  <c r="G539" i="36"/>
  <c r="G530" i="36"/>
  <c r="G557" i="36"/>
  <c r="G150" i="36"/>
  <c r="G868" i="35"/>
  <c r="G859" i="35"/>
  <c r="G850" i="35"/>
  <c r="G877" i="35"/>
  <c r="G711" i="36"/>
  <c r="G700" i="36"/>
  <c r="G689" i="36"/>
  <c r="G722" i="36"/>
  <c r="G791" i="35"/>
  <c r="G780" i="35"/>
  <c r="G802" i="35"/>
  <c r="G769" i="35"/>
  <c r="G781" i="36"/>
  <c r="G803" i="36"/>
  <c r="G792" i="36"/>
  <c r="G770" i="36"/>
  <c r="G950" i="36"/>
  <c r="G932" i="36"/>
  <c r="G941" i="36"/>
  <c r="G923" i="36"/>
  <c r="G698" i="35"/>
  <c r="G687" i="35"/>
  <c r="G709" i="35"/>
  <c r="G720" i="35"/>
  <c r="O883" i="36"/>
  <c r="L883" i="35"/>
  <c r="P883" i="36" s="1"/>
  <c r="G224" i="36"/>
  <c r="O955" i="36"/>
  <c r="L955" i="35"/>
  <c r="P955" i="36" s="1"/>
  <c r="G779" i="36"/>
  <c r="G790" i="36"/>
  <c r="G801" i="36"/>
  <c r="G768" i="36"/>
  <c r="G688" i="36"/>
  <c r="G699" i="36"/>
  <c r="G710" i="36"/>
  <c r="G721" i="36"/>
  <c r="O726" i="36"/>
  <c r="L726" i="35"/>
  <c r="P726" i="36" s="1"/>
  <c r="O564" i="36"/>
  <c r="L564" i="35"/>
  <c r="P564" i="36" s="1"/>
  <c r="G224" i="35"/>
  <c r="G86" i="35"/>
  <c r="G922" i="36"/>
  <c r="G940" i="36"/>
  <c r="G931" i="36"/>
  <c r="G949" i="36"/>
  <c r="G950" i="35"/>
  <c r="G932" i="35"/>
  <c r="G923" i="35"/>
  <c r="G941" i="35"/>
  <c r="G615" i="36"/>
  <c r="G626" i="36"/>
  <c r="G604" i="36"/>
  <c r="G559" i="35"/>
  <c r="G550" i="35"/>
  <c r="G532" i="35"/>
  <c r="G541" i="35"/>
  <c r="G558" i="36"/>
  <c r="G531" i="36"/>
  <c r="G540" i="36"/>
  <c r="G549" i="36"/>
  <c r="G697" i="35"/>
  <c r="G686" i="35"/>
  <c r="G708" i="35"/>
  <c r="G719" i="35"/>
  <c r="G707" i="35"/>
  <c r="G685" i="35"/>
  <c r="G718" i="35"/>
  <c r="G696" i="35"/>
  <c r="G370" i="36"/>
  <c r="O642" i="36"/>
  <c r="L642" i="35"/>
  <c r="P642" i="36" s="1"/>
  <c r="G930" i="35"/>
  <c r="G939" i="35"/>
  <c r="G921" i="35"/>
  <c r="G948" i="35"/>
  <c r="L728" i="35"/>
  <c r="P728" i="36" s="1"/>
  <c r="O728" i="36"/>
  <c r="K724" i="11"/>
  <c r="L724" i="11" s="1"/>
  <c r="M724" i="11" s="1"/>
  <c r="E100" i="11"/>
  <c r="E1004" i="11"/>
  <c r="E1016" i="11"/>
  <c r="E1020" i="11"/>
  <c r="E1008" i="11"/>
  <c r="E947" i="11"/>
  <c r="E326" i="11"/>
  <c r="O22" i="11"/>
  <c r="E384" i="11"/>
  <c r="E383" i="11"/>
  <c r="E648" i="11"/>
  <c r="E445" i="11"/>
  <c r="E243" i="11"/>
  <c r="E179" i="11"/>
  <c r="E110" i="11"/>
  <c r="E950" i="11"/>
  <c r="E182" i="11"/>
  <c r="E18" i="11"/>
  <c r="E564" i="11"/>
  <c r="K564" i="11" s="1"/>
  <c r="L564" i="11" s="1"/>
  <c r="M564" i="11" s="1"/>
  <c r="E949" i="11"/>
  <c r="E1021" i="11"/>
  <c r="E441" i="11"/>
  <c r="E329" i="11"/>
  <c r="E391" i="11"/>
  <c r="E720" i="11"/>
  <c r="E454" i="11"/>
  <c r="E255" i="11"/>
  <c r="E108" i="11"/>
  <c r="E452" i="11"/>
  <c r="E170" i="11"/>
  <c r="E719" i="11"/>
  <c r="E814" i="11"/>
  <c r="E731" i="11"/>
  <c r="E163" i="11"/>
  <c r="E379" i="11"/>
  <c r="E380" i="11"/>
  <c r="E948" i="11"/>
  <c r="E664" i="11"/>
  <c r="E99" i="11"/>
  <c r="E438" i="11"/>
  <c r="E721" i="11"/>
  <c r="E378" i="11"/>
  <c r="E328" i="11"/>
  <c r="O16" i="11"/>
  <c r="E181" i="11"/>
  <c r="O59" i="11"/>
  <c r="E96" i="11"/>
  <c r="E958" i="11"/>
  <c r="E971" i="11"/>
  <c r="E239" i="11"/>
  <c r="E162" i="11"/>
  <c r="E135" i="11"/>
  <c r="E381" i="11"/>
  <c r="E98" i="11"/>
  <c r="E95" i="11"/>
  <c r="E235" i="11"/>
  <c r="E382" i="11"/>
  <c r="E164" i="11"/>
  <c r="E309" i="11"/>
  <c r="E439" i="11"/>
  <c r="E240" i="11"/>
  <c r="E254" i="11"/>
  <c r="E237" i="11"/>
  <c r="E314" i="11"/>
  <c r="E94" i="11"/>
  <c r="E310" i="11"/>
  <c r="E377" i="11"/>
  <c r="E568" i="11"/>
  <c r="E283" i="11"/>
  <c r="E444" i="11"/>
  <c r="E718" i="11"/>
  <c r="E209" i="11"/>
  <c r="E221" i="11" s="1"/>
  <c r="E238" i="11"/>
  <c r="G772" i="11"/>
  <c r="G794" i="11"/>
  <c r="G805" i="11"/>
  <c r="G783" i="11"/>
  <c r="E316" i="11"/>
  <c r="E242" i="11"/>
  <c r="E97" i="11"/>
  <c r="E165" i="11"/>
  <c r="E167" i="11"/>
  <c r="G615" i="11"/>
  <c r="G626" i="11"/>
  <c r="G604" i="11"/>
  <c r="E559" i="11"/>
  <c r="E560" i="11"/>
  <c r="E132" i="11"/>
  <c r="E136" i="11"/>
  <c r="E148" i="11" s="1"/>
  <c r="E638" i="11"/>
  <c r="E639" i="11"/>
  <c r="E635" i="11"/>
  <c r="E636" i="11"/>
  <c r="E637" i="11"/>
  <c r="E804" i="11"/>
  <c r="E802" i="11"/>
  <c r="E803" i="11"/>
  <c r="E801" i="11"/>
  <c r="E1005" i="11"/>
  <c r="E1013" i="11"/>
  <c r="E1009" i="11"/>
  <c r="E879" i="11"/>
  <c r="E878" i="11"/>
  <c r="E877" i="11"/>
  <c r="E876" i="11"/>
  <c r="E7" i="11"/>
  <c r="E8" i="11"/>
  <c r="G708" i="11"/>
  <c r="G686" i="11"/>
  <c r="G150" i="11"/>
  <c r="G697" i="11"/>
  <c r="G769" i="11"/>
  <c r="G791" i="11"/>
  <c r="G802" i="11"/>
  <c r="G790" i="11"/>
  <c r="G801" i="11"/>
  <c r="G614" i="11"/>
  <c r="G603" i="11"/>
  <c r="G768" i="11"/>
  <c r="G530" i="11"/>
  <c r="G297" i="11"/>
  <c r="G869" i="11"/>
  <c r="G851" i="11"/>
  <c r="G860" i="11"/>
  <c r="G878" i="11"/>
  <c r="G557" i="11"/>
  <c r="G539" i="11"/>
  <c r="G551" i="11"/>
  <c r="G617" i="11"/>
  <c r="G628" i="11"/>
  <c r="G722" i="11"/>
  <c r="G689" i="11"/>
  <c r="G700" i="11"/>
  <c r="G921" i="11"/>
  <c r="G540" i="11"/>
  <c r="G85" i="11"/>
  <c r="G549" i="11"/>
  <c r="G558" i="11"/>
  <c r="G941" i="11"/>
  <c r="G950" i="11"/>
  <c r="G923" i="11"/>
  <c r="G932" i="11"/>
  <c r="G948" i="11"/>
  <c r="G930" i="11"/>
  <c r="G940" i="11"/>
  <c r="G931" i="11"/>
  <c r="G922" i="11"/>
  <c r="G920" i="11"/>
  <c r="G720" i="11"/>
  <c r="G770" i="11"/>
  <c r="G709" i="11"/>
  <c r="G947" i="11"/>
  <c r="G602" i="11"/>
  <c r="G938" i="11"/>
  <c r="G793" i="11"/>
  <c r="G698" i="11"/>
  <c r="G804" i="11"/>
  <c r="G613" i="11"/>
  <c r="G782" i="11"/>
  <c r="G803" i="11"/>
  <c r="G877" i="11"/>
  <c r="G792" i="11"/>
  <c r="G533" i="11"/>
  <c r="G542" i="11"/>
  <c r="G560" i="11"/>
  <c r="G852" i="11"/>
  <c r="G879" i="11"/>
  <c r="G861" i="11"/>
  <c r="G849" i="11"/>
  <c r="G858" i="11"/>
  <c r="G867" i="11"/>
  <c r="G876" i="11"/>
  <c r="G718" i="11"/>
  <c r="G850" i="11"/>
  <c r="G868" i="11"/>
  <c r="G532" i="11"/>
  <c r="G550" i="11"/>
  <c r="G541" i="11"/>
  <c r="G559" i="11"/>
  <c r="E398" i="11"/>
  <c r="E352" i="11" s="1"/>
  <c r="E666" i="11"/>
  <c r="E177" i="11"/>
  <c r="E400" i="11"/>
  <c r="E354" i="11" s="1"/>
  <c r="E570" i="11"/>
  <c r="E459" i="11"/>
  <c r="E413" i="11" s="1"/>
  <c r="E423" i="11" s="1"/>
  <c r="E736" i="11"/>
  <c r="E820" i="11"/>
  <c r="E566" i="11"/>
  <c r="E111" i="11"/>
  <c r="E646" i="11"/>
  <c r="E443" i="11"/>
  <c r="E450" i="11"/>
  <c r="E892" i="11"/>
  <c r="E841" i="11" s="1"/>
  <c r="E851" i="11" s="1"/>
  <c r="G688" i="11"/>
  <c r="E248" i="11"/>
  <c r="E250" i="11"/>
  <c r="E190" i="11"/>
  <c r="E134" i="11" s="1"/>
  <c r="E146" i="11" s="1"/>
  <c r="E895" i="11"/>
  <c r="E176" i="11"/>
  <c r="E651" i="11"/>
  <c r="E115" i="11"/>
  <c r="E69" i="11" s="1"/>
  <c r="E572" i="11"/>
  <c r="E654" i="11"/>
  <c r="E745" i="11"/>
  <c r="G699" i="11"/>
  <c r="E747" i="11"/>
  <c r="E186" i="11"/>
  <c r="E322" i="11"/>
  <c r="E743" i="11"/>
  <c r="E324" i="11"/>
  <c r="E337" i="11"/>
  <c r="E281" i="11" s="1"/>
  <c r="E304" i="11" s="1"/>
  <c r="E249" i="11"/>
  <c r="E817" i="11"/>
  <c r="E456" i="11"/>
  <c r="E819" i="11"/>
  <c r="E963" i="11"/>
  <c r="E184" i="11"/>
  <c r="E952" i="11"/>
  <c r="E241" i="11"/>
  <c r="E901" i="11"/>
  <c r="E175" i="11"/>
  <c r="E649" i="11"/>
  <c r="E263" i="11"/>
  <c r="E206" i="11" s="1"/>
  <c r="E229" i="11" s="1"/>
  <c r="E264" i="11"/>
  <c r="E207" i="11" s="1"/>
  <c r="E230" i="11" s="1"/>
  <c r="E323" i="11"/>
  <c r="E734" i="11"/>
  <c r="E247" i="11"/>
  <c r="E728" i="11"/>
  <c r="E256" i="11"/>
  <c r="E738" i="11"/>
  <c r="E818" i="11"/>
  <c r="E327" i="11"/>
  <c r="E644" i="11"/>
  <c r="E882" i="11"/>
  <c r="K882" i="11" s="1"/>
  <c r="L882" i="11" s="1"/>
  <c r="M882" i="11" s="1"/>
  <c r="E567" i="11"/>
  <c r="E810" i="11"/>
  <c r="K810" i="11" s="1"/>
  <c r="L810" i="11" s="1"/>
  <c r="M810" i="11" s="1"/>
  <c r="E311" i="11"/>
  <c r="E830" i="11"/>
  <c r="E335" i="11"/>
  <c r="E279" i="11" s="1"/>
  <c r="E291" i="11" s="1"/>
  <c r="E449" i="11"/>
  <c r="E957" i="11"/>
  <c r="E336" i="11"/>
  <c r="E280" i="11" s="1"/>
  <c r="E292" i="11" s="1"/>
  <c r="E395" i="11"/>
  <c r="E461" i="11"/>
  <c r="E813" i="11"/>
  <c r="E174" i="11"/>
  <c r="E112" i="11"/>
  <c r="E330" i="11"/>
  <c r="E652" i="11"/>
  <c r="E180" i="11"/>
  <c r="E183" i="11"/>
  <c r="E899" i="11"/>
  <c r="E318" i="11"/>
  <c r="E313" i="11"/>
  <c r="E582" i="11"/>
  <c r="E338" i="11"/>
  <c r="E282" i="11" s="1"/>
  <c r="E294" i="11" s="1"/>
  <c r="E573" i="11"/>
  <c r="E388" i="11"/>
  <c r="E118" i="11"/>
  <c r="E72" i="11" s="1"/>
  <c r="E91" i="11" s="1"/>
  <c r="E460" i="11"/>
  <c r="E414" i="11" s="1"/>
  <c r="E831" i="11"/>
  <c r="E117" i="11"/>
  <c r="E71" i="11" s="1"/>
  <c r="E81" i="11" s="1"/>
  <c r="E387" i="11"/>
  <c r="E265" i="11"/>
  <c r="E208" i="11" s="1"/>
  <c r="E220" i="11" s="1"/>
  <c r="E246" i="11"/>
  <c r="E655" i="11"/>
  <c r="E961" i="11"/>
  <c r="E392" i="11"/>
  <c r="E259" i="11"/>
  <c r="E956" i="11"/>
  <c r="E641" i="11"/>
  <c r="K641" i="11" s="1"/>
  <c r="L641" i="11" s="1"/>
  <c r="M641" i="11" s="1"/>
  <c r="E440" i="11"/>
  <c r="E262" i="11"/>
  <c r="E53" i="11"/>
  <c r="E9" i="11" s="1"/>
  <c r="E575" i="11"/>
  <c r="E524" i="11" s="1"/>
  <c r="E166" i="11"/>
  <c r="E105" i="11"/>
  <c r="E399" i="11"/>
  <c r="E353" i="11" s="1"/>
  <c r="E557" i="11"/>
  <c r="E665" i="11"/>
  <c r="E321" i="11"/>
  <c r="E730" i="11"/>
  <c r="E103" i="11"/>
  <c r="E571" i="11"/>
  <c r="E253" i="11"/>
  <c r="E955" i="11"/>
  <c r="E832" i="11"/>
  <c r="E972" i="11"/>
  <c r="E960" i="11"/>
  <c r="E886" i="11"/>
  <c r="E645" i="11"/>
  <c r="E116" i="11"/>
  <c r="E70" i="11" s="1"/>
  <c r="E729" i="11"/>
  <c r="E748" i="11"/>
  <c r="E448" i="11"/>
  <c r="E386" i="11"/>
  <c r="E821" i="11"/>
  <c r="E760" i="11" s="1"/>
  <c r="E891" i="11"/>
  <c r="E840" i="11" s="1"/>
  <c r="E109" i="11"/>
  <c r="E333" i="11"/>
  <c r="E168" i="11"/>
  <c r="E189" i="11"/>
  <c r="E133" i="11" s="1"/>
  <c r="E145" i="11" s="1"/>
  <c r="E647" i="11"/>
  <c r="E959" i="11"/>
  <c r="E735" i="11"/>
  <c r="E171" i="11"/>
  <c r="E389" i="11"/>
  <c r="E401" i="11"/>
  <c r="E355" i="11" s="1"/>
  <c r="E732" i="11"/>
  <c r="E653" i="11"/>
  <c r="E893" i="11"/>
  <c r="E447" i="11"/>
  <c r="E331" i="11"/>
  <c r="E815" i="11"/>
  <c r="E807" i="11"/>
  <c r="E662" i="11"/>
  <c r="G721" i="11"/>
  <c r="E902" i="11"/>
  <c r="E315" i="11"/>
  <c r="O55" i="11"/>
  <c r="E565" i="11"/>
  <c r="E104" i="11"/>
  <c r="E173" i="11"/>
  <c r="E453" i="11"/>
  <c r="E562" i="11"/>
  <c r="K562" i="11" s="1"/>
  <c r="L562" i="11" s="1"/>
  <c r="M562" i="11" s="1"/>
  <c r="E558" i="11"/>
  <c r="E106" i="11"/>
  <c r="E569" i="11"/>
  <c r="E462" i="11"/>
  <c r="E416" i="11" s="1"/>
  <c r="E435" i="11" s="1"/>
  <c r="E890" i="11"/>
  <c r="E394" i="11"/>
  <c r="E962" i="11"/>
  <c r="E737" i="11"/>
  <c r="E320" i="11"/>
  <c r="E828" i="11"/>
  <c r="E969" i="11"/>
  <c r="E885" i="11"/>
  <c r="E244" i="11"/>
  <c r="E805" i="11"/>
  <c r="E722" i="11"/>
  <c r="G685" i="11"/>
  <c r="G707" i="11"/>
  <c r="G627" i="11"/>
  <c r="G616" i="11"/>
  <c r="G605" i="11"/>
  <c r="E19" i="11"/>
  <c r="E20" i="11"/>
  <c r="G428" i="11"/>
  <c r="G152" i="11"/>
  <c r="G430" i="11"/>
  <c r="G431" i="11"/>
  <c r="G87" i="11"/>
  <c r="G225" i="11"/>
  <c r="G84" i="11"/>
  <c r="G227" i="11"/>
  <c r="G154" i="11"/>
  <c r="G300" i="11"/>
  <c r="I47" i="8"/>
  <c r="F49" i="8"/>
  <c r="I49" i="8" s="1"/>
  <c r="G151" i="11"/>
  <c r="G299" i="11"/>
  <c r="G369" i="11"/>
  <c r="G298" i="11"/>
  <c r="H557" i="11"/>
  <c r="H530" i="11"/>
  <c r="H539" i="11"/>
  <c r="H548" i="11"/>
  <c r="H604" i="11"/>
  <c r="H605" i="11"/>
  <c r="G368" i="11"/>
  <c r="H602" i="11"/>
  <c r="H603" i="11"/>
  <c r="H531" i="11"/>
  <c r="H549" i="11"/>
  <c r="H558" i="11"/>
  <c r="H540" i="11"/>
  <c r="H606" i="11"/>
  <c r="G226" i="11"/>
  <c r="H869" i="11"/>
  <c r="H851" i="11"/>
  <c r="H860" i="11"/>
  <c r="H878" i="11"/>
  <c r="H920" i="11"/>
  <c r="H938" i="11"/>
  <c r="H947" i="11"/>
  <c r="H929" i="11"/>
  <c r="H921" i="11"/>
  <c r="H939" i="11"/>
  <c r="H948" i="11"/>
  <c r="H930" i="11"/>
  <c r="H770" i="11"/>
  <c r="H803" i="11"/>
  <c r="H792" i="11"/>
  <c r="H781" i="11"/>
  <c r="H780" i="11"/>
  <c r="H791" i="11"/>
  <c r="H802" i="11"/>
  <c r="H769" i="11"/>
  <c r="H783" i="11"/>
  <c r="H772" i="11"/>
  <c r="H794" i="11"/>
  <c r="H805" i="11"/>
  <c r="G367" i="11"/>
  <c r="H541" i="11"/>
  <c r="H550" i="11"/>
  <c r="H559" i="11"/>
  <c r="H532" i="11"/>
  <c r="H533" i="11"/>
  <c r="H560" i="11"/>
  <c r="H551" i="11"/>
  <c r="H542" i="11"/>
  <c r="H696" i="11"/>
  <c r="H707" i="11"/>
  <c r="H718" i="11"/>
  <c r="H685" i="11"/>
  <c r="H879" i="11"/>
  <c r="H861" i="11"/>
  <c r="H852" i="11"/>
  <c r="H870" i="11"/>
  <c r="H923" i="11"/>
  <c r="H932" i="11"/>
  <c r="H950" i="11"/>
  <c r="H941" i="11"/>
  <c r="H922" i="11"/>
  <c r="H931" i="11"/>
  <c r="H949" i="11"/>
  <c r="H940" i="11"/>
  <c r="H782" i="11"/>
  <c r="H771" i="11"/>
  <c r="H804" i="11"/>
  <c r="H793" i="11"/>
  <c r="H801" i="11"/>
  <c r="H768" i="11"/>
  <c r="H790" i="11"/>
  <c r="H779" i="11"/>
  <c r="M563" i="35" l="1"/>
  <c r="Q563" i="36" s="1"/>
  <c r="M953" i="35"/>
  <c r="Q953" i="36" s="1"/>
  <c r="M641" i="35"/>
  <c r="Q641" i="36" s="1"/>
  <c r="M882" i="35"/>
  <c r="Q882" i="36" s="1"/>
  <c r="M643" i="35"/>
  <c r="Q643" i="36" s="1"/>
  <c r="M565" i="35"/>
  <c r="Q565" i="36" s="1"/>
  <c r="M883" i="35"/>
  <c r="Q883" i="36" s="1"/>
  <c r="M952" i="35"/>
  <c r="Q952" i="36" s="1"/>
  <c r="M808" i="35"/>
  <c r="Q808" i="36" s="1"/>
  <c r="M725" i="35"/>
  <c r="Q725" i="36" s="1"/>
  <c r="M885" i="35"/>
  <c r="Q885" i="36" s="1"/>
  <c r="M564" i="35"/>
  <c r="Q564" i="36" s="1"/>
  <c r="M810" i="35"/>
  <c r="Q810" i="36" s="1"/>
  <c r="M645" i="35"/>
  <c r="Q645" i="36" s="1"/>
  <c r="M727" i="35"/>
  <c r="Q727" i="36" s="1"/>
  <c r="M807" i="35"/>
  <c r="Q807" i="36" s="1"/>
  <c r="M728" i="35"/>
  <c r="Q728" i="36" s="1"/>
  <c r="M642" i="35"/>
  <c r="Q642" i="36" s="1"/>
  <c r="M884" i="35"/>
  <c r="Q884" i="36" s="1"/>
  <c r="M809" i="35"/>
  <c r="Q809" i="36" s="1"/>
  <c r="M811" i="35"/>
  <c r="Q811" i="36" s="1"/>
  <c r="M726" i="35"/>
  <c r="Q726" i="36" s="1"/>
  <c r="M955" i="35"/>
  <c r="Q955" i="36" s="1"/>
  <c r="E673" i="11"/>
  <c r="E685" i="11" s="1"/>
  <c r="E348" i="11"/>
  <c r="E350" i="11"/>
  <c r="E349" i="11"/>
  <c r="E351" i="11"/>
  <c r="E361" i="11" s="1"/>
  <c r="E277" i="11"/>
  <c r="E289" i="11" s="1"/>
  <c r="E411" i="11"/>
  <c r="E421" i="11" s="1"/>
  <c r="E409" i="11"/>
  <c r="E275" i="11"/>
  <c r="E412" i="11"/>
  <c r="E431" i="11" s="1"/>
  <c r="E278" i="11"/>
  <c r="E410" i="11"/>
  <c r="E420" i="11" s="1"/>
  <c r="E276" i="11"/>
  <c r="E288" i="11" s="1"/>
  <c r="E274" i="11"/>
  <c r="E202" i="11"/>
  <c r="E225" i="11" s="1"/>
  <c r="E130" i="11"/>
  <c r="E200" i="11"/>
  <c r="E212" i="11" s="1"/>
  <c r="E131" i="11"/>
  <c r="E201" i="11"/>
  <c r="E224" i="11" s="1"/>
  <c r="E129" i="11"/>
  <c r="E152" i="11" s="1"/>
  <c r="E204" i="11"/>
  <c r="E227" i="11" s="1"/>
  <c r="E203" i="11"/>
  <c r="E127" i="11"/>
  <c r="E128" i="11"/>
  <c r="E66" i="11"/>
  <c r="E67" i="11"/>
  <c r="E68" i="11"/>
  <c r="E87" i="11" s="1"/>
  <c r="E65" i="11"/>
  <c r="E84" i="11" s="1"/>
  <c r="E592" i="11"/>
  <c r="E159" i="11"/>
  <c r="E232" i="11"/>
  <c r="E13" i="11"/>
  <c r="E14" i="11"/>
  <c r="E522" i="11"/>
  <c r="E306" i="11"/>
  <c r="E295" i="11"/>
  <c r="E144" i="11"/>
  <c r="E147" i="11"/>
  <c r="E158" i="11"/>
  <c r="E21" i="11"/>
  <c r="E293" i="11"/>
  <c r="E661" i="11"/>
  <c r="E599" i="11" s="1"/>
  <c r="E579" i="11"/>
  <c r="E758" i="11"/>
  <c r="E781" i="11" s="1"/>
  <c r="E911" i="11"/>
  <c r="E15" i="11"/>
  <c r="E360" i="11"/>
  <c r="E231" i="11"/>
  <c r="E675" i="11"/>
  <c r="E709" i="11" s="1"/>
  <c r="E657" i="11"/>
  <c r="E595" i="11" s="1"/>
  <c r="E618" i="11" s="1"/>
  <c r="E58" i="11"/>
  <c r="E910" i="11"/>
  <c r="E930" i="11" s="1"/>
  <c r="E591" i="11"/>
  <c r="E614" i="11" s="1"/>
  <c r="E759" i="11"/>
  <c r="E155" i="11"/>
  <c r="E674" i="11"/>
  <c r="E686" i="11" s="1"/>
  <c r="E426" i="11"/>
  <c r="E757" i="11"/>
  <c r="E780" i="11" s="1"/>
  <c r="E676" i="11"/>
  <c r="E710" i="11" s="1"/>
  <c r="E520" i="11"/>
  <c r="E839" i="11"/>
  <c r="E867" i="11" s="1"/>
  <c r="E681" i="11"/>
  <c r="E590" i="11"/>
  <c r="E602" i="11" s="1"/>
  <c r="E968" i="11"/>
  <c r="E916" i="11" s="1"/>
  <c r="E898" i="11"/>
  <c r="E846" i="11" s="1"/>
  <c r="E825" i="11"/>
  <c r="E763" i="11" s="1"/>
  <c r="E797" i="11" s="1"/>
  <c r="E373" i="11"/>
  <c r="E364" i="11"/>
  <c r="E823" i="11"/>
  <c r="E761" i="11" s="1"/>
  <c r="E827" i="11"/>
  <c r="E765" i="11" s="1"/>
  <c r="E788" i="11" s="1"/>
  <c r="E578" i="11"/>
  <c r="E527" i="11" s="1"/>
  <c r="E660" i="11"/>
  <c r="E598" i="11" s="1"/>
  <c r="E967" i="11"/>
  <c r="E915" i="11" s="1"/>
  <c r="E944" i="11" s="1"/>
  <c r="E897" i="11"/>
  <c r="E845" i="11" s="1"/>
  <c r="E873" i="11" s="1"/>
  <c r="E577" i="11"/>
  <c r="E526" i="11" s="1"/>
  <c r="E659" i="11"/>
  <c r="E597" i="11" s="1"/>
  <c r="E620" i="11" s="1"/>
  <c r="K952" i="11"/>
  <c r="L952" i="11" s="1"/>
  <c r="M952" i="11" s="1"/>
  <c r="E909" i="11"/>
  <c r="E938" i="11" s="1"/>
  <c r="E742" i="11"/>
  <c r="E680" i="11" s="1"/>
  <c r="E824" i="11"/>
  <c r="E762" i="11" s="1"/>
  <c r="K728" i="11"/>
  <c r="L728" i="11" s="1"/>
  <c r="M728" i="11" s="1"/>
  <c r="E677" i="11"/>
  <c r="E689" i="11" s="1"/>
  <c r="K644" i="11"/>
  <c r="L644" i="11" s="1"/>
  <c r="M644" i="11" s="1"/>
  <c r="E593" i="11"/>
  <c r="E966" i="11"/>
  <c r="E914" i="11" s="1"/>
  <c r="E896" i="11"/>
  <c r="E844" i="11" s="1"/>
  <c r="E826" i="11"/>
  <c r="E764" i="11" s="1"/>
  <c r="E776" i="11" s="1"/>
  <c r="E433" i="11"/>
  <c r="E424" i="11"/>
  <c r="E576" i="11"/>
  <c r="E525" i="11" s="1"/>
  <c r="E535" i="11" s="1"/>
  <c r="E658" i="11"/>
  <c r="E596" i="11" s="1"/>
  <c r="E619" i="11" s="1"/>
  <c r="E372" i="11"/>
  <c r="E363" i="11"/>
  <c r="K955" i="11"/>
  <c r="L955" i="11" s="1"/>
  <c r="M955" i="11" s="1"/>
  <c r="E912" i="11"/>
  <c r="E923" i="11" s="1"/>
  <c r="K645" i="11"/>
  <c r="L645" i="11" s="1"/>
  <c r="M645" i="11" s="1"/>
  <c r="E594" i="11"/>
  <c r="K807" i="11"/>
  <c r="L807" i="11" s="1"/>
  <c r="M807" i="11" s="1"/>
  <c r="E756" i="11"/>
  <c r="E790" i="11" s="1"/>
  <c r="O11" i="11"/>
  <c r="O17" i="11"/>
  <c r="O60" i="11"/>
  <c r="O23" i="11"/>
  <c r="K565" i="11"/>
  <c r="L565" i="11" s="1"/>
  <c r="M565" i="11" s="1"/>
  <c r="E523" i="11"/>
  <c r="E533" i="11" s="1"/>
  <c r="E740" i="11"/>
  <c r="K885" i="11"/>
  <c r="L885" i="11" s="1"/>
  <c r="M885" i="11" s="1"/>
  <c r="E842" i="11"/>
  <c r="E870" i="11" s="1"/>
  <c r="E54" i="11"/>
  <c r="E10" i="11" s="1"/>
  <c r="E55" i="11"/>
  <c r="E521" i="11"/>
  <c r="E741" i="11"/>
  <c r="E744" i="11"/>
  <c r="E965" i="11"/>
  <c r="E415" i="11"/>
  <c r="E205" i="11"/>
  <c r="E432" i="11"/>
  <c r="E302" i="11"/>
  <c r="E365" i="11"/>
  <c r="E543" i="11"/>
  <c r="E552" i="11"/>
  <c r="E362" i="11"/>
  <c r="E371" i="11"/>
  <c r="E534" i="11"/>
  <c r="E869" i="11"/>
  <c r="E860" i="11"/>
  <c r="E89" i="11"/>
  <c r="E80" i="11"/>
  <c r="E218" i="11"/>
  <c r="E374" i="11"/>
  <c r="E156" i="11"/>
  <c r="E90" i="11"/>
  <c r="E82" i="11"/>
  <c r="E843" i="11"/>
  <c r="E88" i="11"/>
  <c r="E79" i="11"/>
  <c r="E157" i="11"/>
  <c r="E303" i="11"/>
  <c r="E850" i="11"/>
  <c r="E868" i="11"/>
  <c r="E859" i="11"/>
  <c r="E305" i="11"/>
  <c r="E219" i="11"/>
  <c r="E783" i="11"/>
  <c r="E794" i="11"/>
  <c r="E772" i="11"/>
  <c r="H614" i="11"/>
  <c r="H625" i="11"/>
  <c r="H613" i="11"/>
  <c r="H624" i="11"/>
  <c r="H627" i="11"/>
  <c r="H616" i="11"/>
  <c r="H615" i="11"/>
  <c r="H626" i="11"/>
  <c r="H617" i="11"/>
  <c r="H628" i="11"/>
  <c r="E678" i="11" l="1"/>
  <c r="E712" i="11" s="1"/>
  <c r="E615" i="11"/>
  <c r="E626" i="11"/>
  <c r="E604" i="11"/>
  <c r="E770" i="11"/>
  <c r="E922" i="11"/>
  <c r="E687" i="11"/>
  <c r="E369" i="11"/>
  <c r="E541" i="11"/>
  <c r="E698" i="11"/>
  <c r="E532" i="11"/>
  <c r="E550" i="11"/>
  <c r="E777" i="11"/>
  <c r="E629" i="11"/>
  <c r="E792" i="11"/>
  <c r="E358" i="11"/>
  <c r="E141" i="11"/>
  <c r="E931" i="11"/>
  <c r="E799" i="11"/>
  <c r="E631" i="11"/>
  <c r="E935" i="11"/>
  <c r="E223" i="11"/>
  <c r="E940" i="11"/>
  <c r="E419" i="11"/>
  <c r="E428" i="11"/>
  <c r="E430" i="11"/>
  <c r="E688" i="11"/>
  <c r="E422" i="11"/>
  <c r="E943" i="11"/>
  <c r="E925" i="11"/>
  <c r="E605" i="11"/>
  <c r="E616" i="11"/>
  <c r="E696" i="11"/>
  <c r="E367" i="11"/>
  <c r="E78" i="11"/>
  <c r="E606" i="11"/>
  <c r="E939" i="11"/>
  <c r="E625" i="11"/>
  <c r="E368" i="11"/>
  <c r="E921" i="11"/>
  <c r="E699" i="11"/>
  <c r="E150" i="11"/>
  <c r="E624" i="11"/>
  <c r="E603" i="11"/>
  <c r="E707" i="11"/>
  <c r="E627" i="11"/>
  <c r="E855" i="11"/>
  <c r="E926" i="11"/>
  <c r="E929" i="11"/>
  <c r="E86" i="11"/>
  <c r="E771" i="11"/>
  <c r="E715" i="11"/>
  <c r="E704" i="11"/>
  <c r="E609" i="11"/>
  <c r="E693" i="11"/>
  <c r="E793" i="11"/>
  <c r="E77" i="11"/>
  <c r="E59" i="11"/>
  <c r="E553" i="11"/>
  <c r="E22" i="11"/>
  <c r="E290" i="11"/>
  <c r="E544" i="11"/>
  <c r="E16" i="11"/>
  <c r="E151" i="11"/>
  <c r="E934" i="11"/>
  <c r="E75" i="11"/>
  <c r="E140" i="11"/>
  <c r="E791" i="11"/>
  <c r="E861" i="11"/>
  <c r="E214" i="11"/>
  <c r="E849" i="11"/>
  <c r="E700" i="11"/>
  <c r="E769" i="11"/>
  <c r="E858" i="11"/>
  <c r="E76" i="11"/>
  <c r="E711" i="11"/>
  <c r="E530" i="11"/>
  <c r="E300" i="11"/>
  <c r="E708" i="11"/>
  <c r="E359" i="11"/>
  <c r="E85" i="11"/>
  <c r="E697" i="11"/>
  <c r="E782" i="11"/>
  <c r="E920" i="11"/>
  <c r="E139" i="11"/>
  <c r="E216" i="11"/>
  <c r="E613" i="11"/>
  <c r="E539" i="11"/>
  <c r="E301" i="11"/>
  <c r="E215" i="11"/>
  <c r="E429" i="11"/>
  <c r="E299" i="11"/>
  <c r="E779" i="11"/>
  <c r="E213" i="11"/>
  <c r="E370" i="11"/>
  <c r="E226" i="11"/>
  <c r="E768" i="11"/>
  <c r="E548" i="11"/>
  <c r="E787" i="11"/>
  <c r="E154" i="11"/>
  <c r="E143" i="11"/>
  <c r="E701" i="11"/>
  <c r="E798" i="11"/>
  <c r="E546" i="11"/>
  <c r="E555" i="11"/>
  <c r="E537" i="11"/>
  <c r="E607" i="11"/>
  <c r="E864" i="11"/>
  <c r="E608" i="11"/>
  <c r="E630" i="11"/>
  <c r="E941" i="11"/>
  <c r="E932" i="11"/>
  <c r="E617" i="11"/>
  <c r="E628" i="11"/>
  <c r="E551" i="11"/>
  <c r="E542" i="11"/>
  <c r="E852" i="11"/>
  <c r="E11" i="11"/>
  <c r="E23" i="11"/>
  <c r="E17" i="11"/>
  <c r="E60" i="11"/>
  <c r="E298" i="11"/>
  <c r="E287" i="11"/>
  <c r="E856" i="11"/>
  <c r="E874" i="11"/>
  <c r="E865" i="11"/>
  <c r="E913" i="11"/>
  <c r="E927" i="11"/>
  <c r="E945" i="11"/>
  <c r="E936" i="11"/>
  <c r="E153" i="11"/>
  <c r="E142" i="11"/>
  <c r="E425" i="11"/>
  <c r="E434" i="11"/>
  <c r="E682" i="11"/>
  <c r="E679" i="11"/>
  <c r="E540" i="11"/>
  <c r="E549" i="11"/>
  <c r="E531" i="11"/>
  <c r="E228" i="11"/>
  <c r="E217" i="11"/>
  <c r="E286" i="11"/>
  <c r="E297" i="11"/>
  <c r="E775" i="11"/>
  <c r="E786" i="11"/>
  <c r="E853" i="11"/>
  <c r="E863" i="11"/>
  <c r="E872" i="11"/>
  <c r="E854" i="11"/>
  <c r="E862" i="11"/>
  <c r="E871" i="11"/>
  <c r="E703" i="11"/>
  <c r="E692" i="11"/>
  <c r="E714" i="11"/>
  <c r="E796" i="11"/>
  <c r="E785" i="11"/>
  <c r="E774" i="11"/>
  <c r="E632" i="11"/>
  <c r="E621" i="11"/>
  <c r="E610" i="11"/>
  <c r="E795" i="11"/>
  <c r="E784" i="11"/>
  <c r="E773" i="11"/>
  <c r="E622" i="11"/>
  <c r="E611" i="11"/>
  <c r="E633" i="11"/>
  <c r="E536" i="11"/>
  <c r="E545" i="11"/>
  <c r="E554" i="11"/>
  <c r="E690" i="11" l="1"/>
  <c r="E716" i="11"/>
  <c r="E705" i="11"/>
  <c r="E694" i="11"/>
  <c r="E924" i="11"/>
  <c r="E942" i="11"/>
  <c r="E933" i="11"/>
  <c r="E691" i="11"/>
  <c r="E702" i="11"/>
  <c r="E713" i="11"/>
  <c r="E137" i="10" l="1"/>
  <c r="F137" i="10" s="1"/>
  <c r="E151" i="10"/>
  <c r="F151" i="10" s="1"/>
  <c r="E269" i="10"/>
  <c r="F269" i="10" s="1"/>
  <c r="F346" i="13"/>
  <c r="G346" i="13" s="1"/>
  <c r="E55" i="10"/>
  <c r="F55" i="10" s="1"/>
  <c r="H55" i="10" s="1"/>
  <c r="H56" i="10" s="1"/>
  <c r="F311" i="13"/>
  <c r="G311" i="13" s="1"/>
  <c r="E121" i="10"/>
  <c r="F121" i="10" s="1"/>
  <c r="R121" i="10" s="1"/>
  <c r="R122" i="10" s="1"/>
  <c r="F398" i="13"/>
  <c r="G398" i="13" s="1"/>
  <c r="N398" i="13" s="1"/>
  <c r="F383" i="13"/>
  <c r="G383" i="13" s="1"/>
  <c r="F393" i="13"/>
  <c r="G393" i="13" s="1"/>
  <c r="F388" i="13"/>
  <c r="G388" i="13" s="1"/>
  <c r="F403" i="13"/>
  <c r="G403" i="13" s="1"/>
  <c r="F93" i="13"/>
  <c r="G93" i="13" s="1"/>
  <c r="Q93" i="13" s="1"/>
  <c r="F153" i="13"/>
  <c r="G153" i="13" s="1"/>
  <c r="R153" i="13" s="1"/>
  <c r="F137" i="13"/>
  <c r="G137" i="13" s="1"/>
  <c r="F107" i="13"/>
  <c r="G107" i="13" s="1"/>
  <c r="F179" i="13"/>
  <c r="G179" i="13" s="1"/>
  <c r="S179" i="13" s="1"/>
  <c r="F186" i="13"/>
  <c r="G186" i="13" s="1"/>
  <c r="N186" i="13" s="1"/>
  <c r="F331" i="13"/>
  <c r="G331" i="13" s="1"/>
  <c r="F437" i="13"/>
  <c r="G437" i="13" s="1"/>
  <c r="F196" i="13"/>
  <c r="G196" i="13" s="1"/>
  <c r="F206" i="13"/>
  <c r="G206" i="13" s="1"/>
  <c r="F336" i="13"/>
  <c r="G336" i="13" s="1"/>
  <c r="F316" i="13"/>
  <c r="G316" i="13" s="1"/>
  <c r="F49" i="13"/>
  <c r="G49" i="13" s="1"/>
  <c r="F167" i="13"/>
  <c r="G167" i="13" s="1"/>
  <c r="N167" i="13" s="1"/>
  <c r="F447" i="13"/>
  <c r="G447" i="13" s="1"/>
  <c r="F54" i="13"/>
  <c r="G54" i="13" s="1"/>
  <c r="F121" i="13"/>
  <c r="G121" i="13" s="1"/>
  <c r="F414" i="13"/>
  <c r="G414" i="13" s="1"/>
  <c r="F39" i="13"/>
  <c r="G39" i="13" s="1"/>
  <c r="F427" i="13"/>
  <c r="G427" i="13" s="1"/>
  <c r="F371" i="13"/>
  <c r="G371" i="13" s="1"/>
  <c r="F366" i="13"/>
  <c r="G366" i="13" s="1"/>
  <c r="F34" i="13"/>
  <c r="G34" i="13" s="1"/>
  <c r="F211" i="13"/>
  <c r="G211" i="13" s="1"/>
  <c r="N211" i="13" s="1"/>
  <c r="F263" i="13"/>
  <c r="G263" i="13" s="1"/>
  <c r="E176" i="10"/>
  <c r="F176" i="10" s="1"/>
  <c r="Q176" i="10" s="1"/>
  <c r="F279" i="13"/>
  <c r="G279" i="13" s="1"/>
  <c r="F356" i="13"/>
  <c r="G356" i="13" s="1"/>
  <c r="F321" i="13"/>
  <c r="G321" i="13" s="1"/>
  <c r="F44" i="13"/>
  <c r="G44" i="13" s="1"/>
  <c r="F351" i="13"/>
  <c r="G351" i="13" s="1"/>
  <c r="Q351" i="13" s="1"/>
  <c r="F361" i="13"/>
  <c r="G361" i="13" s="1"/>
  <c r="F326" i="13"/>
  <c r="G326" i="13" s="1"/>
  <c r="E289" i="10"/>
  <c r="F289" i="10" s="1"/>
  <c r="F171" i="13"/>
  <c r="G171" i="13" s="1"/>
  <c r="F253" i="13"/>
  <c r="G253" i="13" s="1"/>
  <c r="Q253" i="13" s="1"/>
  <c r="F287" i="13"/>
  <c r="G287" i="13" s="1"/>
  <c r="F163" i="13"/>
  <c r="G163" i="13" s="1"/>
  <c r="F226" i="13"/>
  <c r="G226" i="13" s="1"/>
  <c r="F159" i="13"/>
  <c r="G159" i="13" s="1"/>
  <c r="F201" i="13"/>
  <c r="G201" i="13" s="1"/>
  <c r="E303" i="10"/>
  <c r="F303" i="10" s="1"/>
  <c r="F271" i="13"/>
  <c r="G271" i="13" s="1"/>
  <c r="F422" i="13"/>
  <c r="G422" i="13" s="1"/>
  <c r="F235" i="13"/>
  <c r="G235" i="13" s="1"/>
  <c r="F442" i="13"/>
  <c r="G442" i="13" s="1"/>
  <c r="F100" i="13"/>
  <c r="G100" i="13" s="1"/>
  <c r="F114" i="13"/>
  <c r="G114" i="13" s="1"/>
  <c r="F408" i="13"/>
  <c r="G408" i="13" s="1"/>
  <c r="F191" i="13"/>
  <c r="G191" i="13" s="1"/>
  <c r="O191" i="13" s="1"/>
  <c r="F128" i="13"/>
  <c r="G128" i="13" s="1"/>
  <c r="F175" i="13"/>
  <c r="G175" i="13" s="1"/>
  <c r="F244" i="13"/>
  <c r="G244" i="13" s="1"/>
  <c r="F141" i="13"/>
  <c r="G141" i="13" s="1"/>
  <c r="F149" i="13"/>
  <c r="G149" i="13" s="1"/>
  <c r="F59" i="13"/>
  <c r="G59" i="13" s="1"/>
  <c r="F133" i="13"/>
  <c r="G133" i="13" s="1"/>
  <c r="F145" i="13"/>
  <c r="G145" i="13" s="1"/>
  <c r="F432" i="13"/>
  <c r="G432" i="13" s="1"/>
  <c r="F290" i="13"/>
  <c r="G290" i="13" s="1"/>
  <c r="F293" i="13"/>
  <c r="G293" i="13" s="1"/>
  <c r="F299" i="13"/>
  <c r="G299" i="13" s="1"/>
  <c r="F296" i="13"/>
  <c r="G296" i="13" s="1"/>
  <c r="J828" i="36" l="1"/>
  <c r="J828" i="35"/>
  <c r="J654" i="35"/>
  <c r="K654" i="35" s="1"/>
  <c r="J654" i="36"/>
  <c r="K654" i="36" s="1"/>
  <c r="L654" i="36" s="1"/>
  <c r="M654" i="36" s="1"/>
  <c r="J122" i="36"/>
  <c r="J122" i="35"/>
  <c r="G62" i="36"/>
  <c r="G61" i="36"/>
  <c r="G62" i="35"/>
  <c r="G61" i="35"/>
  <c r="J268" i="36"/>
  <c r="J268" i="35"/>
  <c r="J118" i="36"/>
  <c r="J118" i="35"/>
  <c r="J493" i="36"/>
  <c r="J493" i="35"/>
  <c r="J466" i="36"/>
  <c r="J466" i="35"/>
  <c r="R442" i="13"/>
  <c r="O442" i="13"/>
  <c r="P39" i="13"/>
  <c r="S39" i="13"/>
  <c r="R141" i="13"/>
  <c r="O141" i="13"/>
  <c r="Q159" i="13"/>
  <c r="S159" i="13"/>
  <c r="Q145" i="13"/>
  <c r="R145" i="13"/>
  <c r="O432" i="13"/>
  <c r="S432" i="13"/>
  <c r="P432" i="13"/>
  <c r="Q432" i="13"/>
  <c r="P59" i="13"/>
  <c r="O59" i="13"/>
  <c r="S59" i="13"/>
  <c r="Q137" i="13"/>
  <c r="R137" i="13"/>
  <c r="S427" i="13"/>
  <c r="P427" i="13"/>
  <c r="R427" i="13"/>
  <c r="O427" i="13"/>
  <c r="S336" i="13"/>
  <c r="R336" i="13"/>
  <c r="O39" i="13"/>
  <c r="S351" i="13"/>
  <c r="P263" i="13"/>
  <c r="S263" i="13"/>
  <c r="S290" i="13" s="1"/>
  <c r="N263" i="13"/>
  <c r="O263" i="13"/>
  <c r="Q263" i="13"/>
  <c r="R263" i="13"/>
  <c r="O361" i="13"/>
  <c r="P361" i="13"/>
  <c r="N361" i="13"/>
  <c r="Q361" i="13"/>
  <c r="S361" i="13"/>
  <c r="R361" i="13"/>
  <c r="R171" i="13"/>
  <c r="S171" i="13"/>
  <c r="O171" i="13"/>
  <c r="Q171" i="13"/>
  <c r="N171" i="13"/>
  <c r="P171" i="13"/>
  <c r="G62" i="11"/>
  <c r="G61" i="11"/>
  <c r="N271" i="13"/>
  <c r="S271" i="13"/>
  <c r="S293" i="13" s="1"/>
  <c r="O271" i="13"/>
  <c r="R271" i="13"/>
  <c r="Q271" i="13"/>
  <c r="P271" i="13"/>
  <c r="J466" i="11"/>
  <c r="P133" i="13"/>
  <c r="N133" i="13"/>
  <c r="S133" i="13"/>
  <c r="O133" i="13"/>
  <c r="R133" i="13"/>
  <c r="Q133" i="13"/>
  <c r="R366" i="13"/>
  <c r="O366" i="13"/>
  <c r="P366" i="13"/>
  <c r="Q366" i="13"/>
  <c r="N366" i="13"/>
  <c r="S366" i="13"/>
  <c r="O114" i="13"/>
  <c r="Q114" i="13"/>
  <c r="N114" i="13"/>
  <c r="S114" i="13"/>
  <c r="R114" i="13"/>
  <c r="P114" i="13"/>
  <c r="Q371" i="13"/>
  <c r="N371" i="13"/>
  <c r="R371" i="13"/>
  <c r="O371" i="13"/>
  <c r="S371" i="13"/>
  <c r="P371" i="13"/>
  <c r="R447" i="13"/>
  <c r="Q447" i="13"/>
  <c r="S447" i="13"/>
  <c r="N447" i="13"/>
  <c r="O447" i="13"/>
  <c r="P447" i="13"/>
  <c r="J122" i="11"/>
  <c r="P403" i="13"/>
  <c r="R403" i="13"/>
  <c r="Q403" i="13"/>
  <c r="O403" i="13"/>
  <c r="N403" i="13"/>
  <c r="P346" i="13"/>
  <c r="N346" i="13"/>
  <c r="S346" i="13"/>
  <c r="O346" i="13"/>
  <c r="Q346" i="13"/>
  <c r="R346" i="13"/>
  <c r="N128" i="13"/>
  <c r="S128" i="13"/>
  <c r="O128" i="13"/>
  <c r="P128" i="13"/>
  <c r="R128" i="13"/>
  <c r="Q128" i="13"/>
  <c r="S206" i="13"/>
  <c r="R206" i="13"/>
  <c r="P206" i="13"/>
  <c r="Q206" i="13"/>
  <c r="N206" i="13"/>
  <c r="O206" i="13"/>
  <c r="S196" i="13"/>
  <c r="O196" i="13"/>
  <c r="N196" i="13"/>
  <c r="Q196" i="13"/>
  <c r="R196" i="13"/>
  <c r="P196" i="13"/>
  <c r="Q311" i="13"/>
  <c r="O311" i="13"/>
  <c r="P311" i="13"/>
  <c r="N311" i="13"/>
  <c r="S311" i="13"/>
  <c r="R311" i="13"/>
  <c r="J268" i="11"/>
  <c r="N388" i="13"/>
  <c r="O388" i="13"/>
  <c r="Q388" i="13"/>
  <c r="R388" i="13"/>
  <c r="P388" i="13"/>
  <c r="O289" i="10"/>
  <c r="Q289" i="10"/>
  <c r="R289" i="10"/>
  <c r="M289" i="10"/>
  <c r="N289" i="10"/>
  <c r="P289" i="10"/>
  <c r="P303" i="10"/>
  <c r="M303" i="10"/>
  <c r="N303" i="10"/>
  <c r="O303" i="10"/>
  <c r="Q303" i="10"/>
  <c r="R303" i="10"/>
  <c r="N414" i="13"/>
  <c r="R414" i="13"/>
  <c r="P414" i="13"/>
  <c r="O414" i="13"/>
  <c r="Q414" i="13"/>
  <c r="S414" i="13"/>
  <c r="N121" i="13"/>
  <c r="R121" i="13"/>
  <c r="O121" i="13"/>
  <c r="Q121" i="13"/>
  <c r="S121" i="13"/>
  <c r="P121" i="13"/>
  <c r="J654" i="11"/>
  <c r="K654" i="11" s="1"/>
  <c r="N226" i="13"/>
  <c r="R226" i="13"/>
  <c r="S226" i="13"/>
  <c r="O226" i="13"/>
  <c r="Q226" i="13"/>
  <c r="P226" i="13"/>
  <c r="S149" i="13"/>
  <c r="P149" i="13"/>
  <c r="Q149" i="13"/>
  <c r="O149" i="13"/>
  <c r="N149" i="13"/>
  <c r="R149" i="13"/>
  <c r="O163" i="13"/>
  <c r="R163" i="13"/>
  <c r="Q163" i="13"/>
  <c r="P163" i="13"/>
  <c r="N163" i="13"/>
  <c r="S163" i="13"/>
  <c r="O321" i="13"/>
  <c r="P321" i="13"/>
  <c r="Q321" i="13"/>
  <c r="N321" i="13"/>
  <c r="R321" i="13"/>
  <c r="S321" i="13"/>
  <c r="N393" i="13"/>
  <c r="Q393" i="13"/>
  <c r="R393" i="13"/>
  <c r="P393" i="13"/>
  <c r="O393" i="13"/>
  <c r="P244" i="13"/>
  <c r="S244" i="13"/>
  <c r="Q244" i="13"/>
  <c r="R244" i="13"/>
  <c r="O244" i="13"/>
  <c r="N244" i="13"/>
  <c r="O175" i="13"/>
  <c r="Q175" i="13"/>
  <c r="S175" i="13"/>
  <c r="N175" i="13"/>
  <c r="P175" i="13"/>
  <c r="R175" i="13"/>
  <c r="R326" i="13"/>
  <c r="Q326" i="13"/>
  <c r="P326" i="13"/>
  <c r="N326" i="13"/>
  <c r="O326" i="13"/>
  <c r="S326" i="13"/>
  <c r="P201" i="13"/>
  <c r="Q201" i="13"/>
  <c r="S201" i="13"/>
  <c r="N201" i="13"/>
  <c r="R201" i="13"/>
  <c r="O201" i="13"/>
  <c r="S34" i="13"/>
  <c r="R34" i="13"/>
  <c r="Q34" i="13"/>
  <c r="P34" i="13"/>
  <c r="N34" i="13"/>
  <c r="O34" i="13"/>
  <c r="Q331" i="13"/>
  <c r="N331" i="13"/>
  <c r="O331" i="13"/>
  <c r="P331" i="13"/>
  <c r="S331" i="13"/>
  <c r="R331" i="13"/>
  <c r="P100" i="13"/>
  <c r="O100" i="13"/>
  <c r="S100" i="13"/>
  <c r="N100" i="13"/>
  <c r="R100" i="13"/>
  <c r="Q100" i="13"/>
  <c r="Q356" i="13"/>
  <c r="O356" i="13"/>
  <c r="S356" i="13"/>
  <c r="N356" i="13"/>
  <c r="P356" i="13"/>
  <c r="R356" i="13"/>
  <c r="N383" i="13"/>
  <c r="P383" i="13"/>
  <c r="O383" i="13"/>
  <c r="S383" i="13"/>
  <c r="Q383" i="13"/>
  <c r="R383" i="13"/>
  <c r="N279" i="13"/>
  <c r="S279" i="13"/>
  <c r="S296" i="13" s="1"/>
  <c r="P279" i="13"/>
  <c r="R279" i="13"/>
  <c r="O279" i="13"/>
  <c r="Q279" i="13"/>
  <c r="Q316" i="13"/>
  <c r="R316" i="13"/>
  <c r="O316" i="13"/>
  <c r="S316" i="13"/>
  <c r="P316" i="13"/>
  <c r="N316" i="13"/>
  <c r="P107" i="13"/>
  <c r="S107" i="13"/>
  <c r="O107" i="13"/>
  <c r="Q107" i="13"/>
  <c r="N107" i="13"/>
  <c r="R107" i="13"/>
  <c r="N422" i="13"/>
  <c r="Q422" i="13"/>
  <c r="S422" i="13"/>
  <c r="R422" i="13"/>
  <c r="O422" i="13"/>
  <c r="P422" i="13"/>
  <c r="R140" i="10"/>
  <c r="R126" i="10"/>
  <c r="R123" i="10"/>
  <c r="R124" i="10"/>
  <c r="R125" i="10"/>
  <c r="R127" i="10"/>
  <c r="R129" i="10"/>
  <c r="N437" i="13"/>
  <c r="O437" i="13"/>
  <c r="P437" i="13"/>
  <c r="Q437" i="13"/>
  <c r="R437" i="13"/>
  <c r="S437" i="13"/>
  <c r="P408" i="13"/>
  <c r="O408" i="13"/>
  <c r="Q408" i="13"/>
  <c r="R408" i="13"/>
  <c r="N408" i="13"/>
  <c r="O54" i="13"/>
  <c r="Q54" i="13"/>
  <c r="N54" i="13"/>
  <c r="S54" i="13"/>
  <c r="R54" i="13"/>
  <c r="P54" i="13"/>
  <c r="N44" i="13"/>
  <c r="O44" i="13"/>
  <c r="R44" i="13"/>
  <c r="S44" i="13"/>
  <c r="Q44" i="13"/>
  <c r="P44" i="13"/>
  <c r="S287" i="13"/>
  <c r="S299" i="13" s="1"/>
  <c r="P287" i="13"/>
  <c r="R287" i="13"/>
  <c r="R299" i="13" s="1"/>
  <c r="Q287" i="13"/>
  <c r="O287" i="13"/>
  <c r="N287" i="13"/>
  <c r="S49" i="13"/>
  <c r="R49" i="13"/>
  <c r="P49" i="13"/>
  <c r="Q49" i="13"/>
  <c r="O49" i="13"/>
  <c r="N49" i="13"/>
  <c r="O235" i="13"/>
  <c r="Q235" i="13"/>
  <c r="R235" i="13"/>
  <c r="S235" i="13"/>
  <c r="P235" i="13"/>
  <c r="N235" i="13"/>
  <c r="J828" i="11"/>
  <c r="R432" i="13"/>
  <c r="Q427" i="13"/>
  <c r="P137" i="13"/>
  <c r="N191" i="13"/>
  <c r="N59" i="13"/>
  <c r="O398" i="13"/>
  <c r="N253" i="13"/>
  <c r="S253" i="13"/>
  <c r="M176" i="10"/>
  <c r="R211" i="13"/>
  <c r="Q167" i="13"/>
  <c r="S186" i="13"/>
  <c r="P179" i="13"/>
  <c r="P153" i="13"/>
  <c r="R93" i="13"/>
  <c r="N432" i="13"/>
  <c r="N153" i="13"/>
  <c r="N179" i="13"/>
  <c r="Q398" i="13"/>
  <c r="R39" i="13"/>
  <c r="N442" i="13"/>
  <c r="N121" i="10"/>
  <c r="N122" i="10" s="1"/>
  <c r="O121" i="10"/>
  <c r="O122" i="10" s="1"/>
  <c r="P121" i="10"/>
  <c r="P122" i="10" s="1"/>
  <c r="J118" i="11"/>
  <c r="N145" i="13"/>
  <c r="N137" i="13"/>
  <c r="N427" i="13"/>
  <c r="P191" i="13"/>
  <c r="Q191" i="13"/>
  <c r="R253" i="13"/>
  <c r="N176" i="10"/>
  <c r="S211" i="13"/>
  <c r="R167" i="13"/>
  <c r="R186" i="13"/>
  <c r="R179" i="13"/>
  <c r="Q153" i="13"/>
  <c r="S93" i="13"/>
  <c r="N141" i="13"/>
  <c r="R398" i="13"/>
  <c r="Q121" i="10"/>
  <c r="Q122" i="10" s="1"/>
  <c r="P351" i="13"/>
  <c r="O253" i="13"/>
  <c r="N269" i="10"/>
  <c r="N270" i="10" s="1"/>
  <c r="P269" i="10"/>
  <c r="P270" i="10" s="1"/>
  <c r="O269" i="10"/>
  <c r="O270" i="10" s="1"/>
  <c r="Q269" i="10"/>
  <c r="Q270" i="10" s="1"/>
  <c r="M269" i="10"/>
  <c r="M270" i="10" s="1"/>
  <c r="R269" i="10"/>
  <c r="R270" i="10" s="1"/>
  <c r="S191" i="13"/>
  <c r="S145" i="13"/>
  <c r="P167" i="13"/>
  <c r="O186" i="13"/>
  <c r="Q179" i="13"/>
  <c r="S153" i="13"/>
  <c r="N159" i="13"/>
  <c r="R351" i="13"/>
  <c r="N351" i="13"/>
  <c r="O145" i="13"/>
  <c r="P141" i="13"/>
  <c r="P442" i="13"/>
  <c r="P159" i="13"/>
  <c r="P176" i="10"/>
  <c r="O211" i="13"/>
  <c r="P145" i="13"/>
  <c r="R59" i="13"/>
  <c r="Q141" i="13"/>
  <c r="S442" i="13"/>
  <c r="R159" i="13"/>
  <c r="O176" i="10"/>
  <c r="P211" i="13"/>
  <c r="O167" i="13"/>
  <c r="P186" i="13"/>
  <c r="O179" i="13"/>
  <c r="S137" i="13"/>
  <c r="O153" i="13"/>
  <c r="Q336" i="13"/>
  <c r="J493" i="11"/>
  <c r="Q442" i="13"/>
  <c r="O159" i="13"/>
  <c r="R176" i="10"/>
  <c r="Q211" i="13"/>
  <c r="S167" i="13"/>
  <c r="Q186" i="13"/>
  <c r="P398" i="13"/>
  <c r="O93" i="13"/>
  <c r="M121" i="10"/>
  <c r="M122" i="10" s="1"/>
  <c r="Q39" i="13"/>
  <c r="N93" i="13"/>
  <c r="R191" i="13"/>
  <c r="S141" i="13"/>
  <c r="O336" i="13"/>
  <c r="N336" i="13"/>
  <c r="Q59" i="13"/>
  <c r="N39" i="13"/>
  <c r="P336" i="13"/>
  <c r="O137" i="13"/>
  <c r="O351" i="13"/>
  <c r="P93" i="13"/>
  <c r="P253" i="13"/>
  <c r="P151" i="10"/>
  <c r="P152" i="10" s="1"/>
  <c r="O151" i="10"/>
  <c r="O152" i="10" s="1"/>
  <c r="M151" i="10"/>
  <c r="M152" i="10" s="1"/>
  <c r="N151" i="10"/>
  <c r="N152" i="10" s="1"/>
  <c r="Q151" i="10"/>
  <c r="Q152" i="10" s="1"/>
  <c r="R151" i="10"/>
  <c r="R152" i="10" s="1"/>
  <c r="R137" i="10"/>
  <c r="R138" i="10" s="1"/>
  <c r="Q137" i="10"/>
  <c r="Q138" i="10" s="1"/>
  <c r="P137" i="10"/>
  <c r="P138" i="10" s="1"/>
  <c r="N137" i="10"/>
  <c r="N138" i="10" s="1"/>
  <c r="O137" i="10"/>
  <c r="O138" i="10" s="1"/>
  <c r="M137" i="10"/>
  <c r="M138" i="10" s="1"/>
  <c r="J193" i="36" l="1"/>
  <c r="J193" i="35"/>
  <c r="J754" i="36"/>
  <c r="J752" i="36"/>
  <c r="J753" i="36"/>
  <c r="J753" i="35"/>
  <c r="J752" i="35"/>
  <c r="J754" i="35"/>
  <c r="J196" i="36"/>
  <c r="J196" i="35"/>
  <c r="J309" i="36"/>
  <c r="J274" i="36" s="1"/>
  <c r="J297" i="36" s="1"/>
  <c r="J309" i="35"/>
  <c r="J274" i="35" s="1"/>
  <c r="J297" i="35" s="1"/>
  <c r="J237" i="35"/>
  <c r="J202" i="35" s="1"/>
  <c r="J225" i="35" s="1"/>
  <c r="J237" i="36"/>
  <c r="J202" i="36" s="1"/>
  <c r="J225" i="36" s="1"/>
  <c r="J969" i="36"/>
  <c r="J969" i="35"/>
  <c r="J266" i="36"/>
  <c r="J266" i="35"/>
  <c r="J511" i="36"/>
  <c r="J511" i="35"/>
  <c r="J738" i="36"/>
  <c r="K738" i="36" s="1"/>
  <c r="L738" i="36" s="1"/>
  <c r="M738" i="36" s="1"/>
  <c r="J738" i="35"/>
  <c r="K738" i="35" s="1"/>
  <c r="J746" i="36"/>
  <c r="J746" i="35"/>
  <c r="J194" i="36"/>
  <c r="J194" i="35"/>
  <c r="J475" i="36"/>
  <c r="J475" i="35"/>
  <c r="J398" i="36"/>
  <c r="J398" i="35"/>
  <c r="J901" i="36"/>
  <c r="J901" i="35"/>
  <c r="J892" i="36"/>
  <c r="K892" i="36" s="1"/>
  <c r="L892" i="36" s="1"/>
  <c r="M892" i="36" s="1"/>
  <c r="J892" i="35"/>
  <c r="K892" i="35" s="1"/>
  <c r="J505" i="36"/>
  <c r="J505" i="35"/>
  <c r="J496" i="36"/>
  <c r="J496" i="35"/>
  <c r="J310" i="36"/>
  <c r="J275" i="36" s="1"/>
  <c r="J298" i="36" s="1"/>
  <c r="J310" i="35"/>
  <c r="J275" i="35" s="1"/>
  <c r="J298" i="35" s="1"/>
  <c r="J238" i="36"/>
  <c r="J203" i="36" s="1"/>
  <c r="J226" i="36" s="1"/>
  <c r="J238" i="35"/>
  <c r="J203" i="35" s="1"/>
  <c r="J226" i="35" s="1"/>
  <c r="G461" i="36"/>
  <c r="G461" i="35"/>
  <c r="J262" i="36"/>
  <c r="J262" i="35"/>
  <c r="J509" i="36"/>
  <c r="J509" i="35"/>
  <c r="J736" i="36"/>
  <c r="K736" i="36" s="1"/>
  <c r="L736" i="36" s="1"/>
  <c r="M736" i="36" s="1"/>
  <c r="J736" i="35"/>
  <c r="K736" i="35" s="1"/>
  <c r="J747" i="36"/>
  <c r="J747" i="35"/>
  <c r="J473" i="36"/>
  <c r="J473" i="35"/>
  <c r="J459" i="36"/>
  <c r="J459" i="35"/>
  <c r="J960" i="36"/>
  <c r="K960" i="36" s="1"/>
  <c r="L960" i="36" s="1"/>
  <c r="M960" i="36" s="1"/>
  <c r="J960" i="35"/>
  <c r="K960" i="35" s="1"/>
  <c r="J891" i="36"/>
  <c r="K891" i="36" s="1"/>
  <c r="L891" i="36" s="1"/>
  <c r="M891" i="36" s="1"/>
  <c r="J891" i="35"/>
  <c r="K891" i="35" s="1"/>
  <c r="J506" i="36"/>
  <c r="J506" i="35"/>
  <c r="J312" i="36"/>
  <c r="J277" i="36" s="1"/>
  <c r="J300" i="36" s="1"/>
  <c r="J312" i="35"/>
  <c r="J277" i="35" s="1"/>
  <c r="J300" i="35" s="1"/>
  <c r="J972" i="36"/>
  <c r="J972" i="35"/>
  <c r="G460" i="36"/>
  <c r="G460" i="35"/>
  <c r="J265" i="36"/>
  <c r="J265" i="35"/>
  <c r="J512" i="36"/>
  <c r="J512" i="35"/>
  <c r="J734" i="36"/>
  <c r="K734" i="36" s="1"/>
  <c r="L734" i="36" s="1"/>
  <c r="M734" i="36" s="1"/>
  <c r="J734" i="35"/>
  <c r="K734" i="35" s="1"/>
  <c r="J888" i="36"/>
  <c r="J888" i="35"/>
  <c r="J343" i="35"/>
  <c r="J343" i="36"/>
  <c r="J403" i="36"/>
  <c r="J403" i="35"/>
  <c r="J749" i="36"/>
  <c r="J749" i="35"/>
  <c r="J963" i="36"/>
  <c r="K963" i="36" s="1"/>
  <c r="L963" i="36" s="1"/>
  <c r="M963" i="36" s="1"/>
  <c r="J963" i="35"/>
  <c r="K963" i="35" s="1"/>
  <c r="J503" i="36"/>
  <c r="J503" i="35"/>
  <c r="J498" i="36"/>
  <c r="J498" i="35"/>
  <c r="J439" i="36"/>
  <c r="J410" i="36" s="1"/>
  <c r="J429" i="36" s="1"/>
  <c r="J439" i="35"/>
  <c r="J410" i="35" s="1"/>
  <c r="J429" i="35" s="1"/>
  <c r="G12" i="35"/>
  <c r="G463" i="36"/>
  <c r="G463" i="35"/>
  <c r="J311" i="36"/>
  <c r="J276" i="36" s="1"/>
  <c r="J299" i="36" s="1"/>
  <c r="J311" i="35"/>
  <c r="J276" i="35" s="1"/>
  <c r="J299" i="35" s="1"/>
  <c r="J239" i="35"/>
  <c r="J204" i="35" s="1"/>
  <c r="J227" i="35" s="1"/>
  <c r="J239" i="36"/>
  <c r="J204" i="36" s="1"/>
  <c r="J227" i="36" s="1"/>
  <c r="J970" i="36"/>
  <c r="J970" i="35"/>
  <c r="G459" i="36"/>
  <c r="G459" i="35"/>
  <c r="J263" i="36"/>
  <c r="J263" i="35"/>
  <c r="J510" i="36"/>
  <c r="J510" i="35"/>
  <c r="J887" i="36"/>
  <c r="J887" i="35"/>
  <c r="J748" i="36"/>
  <c r="J748" i="35"/>
  <c r="J476" i="36"/>
  <c r="J476" i="35"/>
  <c r="J405" i="36"/>
  <c r="J405" i="35"/>
  <c r="J573" i="36"/>
  <c r="K573" i="36" s="1"/>
  <c r="L573" i="36" s="1"/>
  <c r="M573" i="36" s="1"/>
  <c r="J573" i="35"/>
  <c r="K573" i="35" s="1"/>
  <c r="J337" i="36"/>
  <c r="J337" i="35"/>
  <c r="J821" i="36"/>
  <c r="K821" i="36" s="1"/>
  <c r="L821" i="36" s="1"/>
  <c r="M821" i="36" s="1"/>
  <c r="J821" i="35"/>
  <c r="K821" i="35" s="1"/>
  <c r="J440" i="36"/>
  <c r="J411" i="36" s="1"/>
  <c r="J430" i="36" s="1"/>
  <c r="J440" i="35"/>
  <c r="J411" i="35" s="1"/>
  <c r="J430" i="35" s="1"/>
  <c r="J164" i="36"/>
  <c r="J129" i="36" s="1"/>
  <c r="J164" i="35"/>
  <c r="J129" i="35" s="1"/>
  <c r="J652" i="36"/>
  <c r="K652" i="36" s="1"/>
  <c r="J652" i="35"/>
  <c r="K652" i="35" s="1"/>
  <c r="J958" i="35"/>
  <c r="J958" i="36"/>
  <c r="J162" i="36"/>
  <c r="J127" i="36" s="1"/>
  <c r="J150" i="36" s="1"/>
  <c r="J162" i="35"/>
  <c r="J127" i="35" s="1"/>
  <c r="J150" i="35" s="1"/>
  <c r="G903" i="36"/>
  <c r="K903" i="36" s="1"/>
  <c r="G903" i="35"/>
  <c r="K903" i="35" s="1"/>
  <c r="J313" i="36"/>
  <c r="J278" i="36" s="1"/>
  <c r="J301" i="36" s="1"/>
  <c r="J313" i="35"/>
  <c r="J278" i="35" s="1"/>
  <c r="J301" i="35" s="1"/>
  <c r="J236" i="36"/>
  <c r="J201" i="36" s="1"/>
  <c r="J224" i="36" s="1"/>
  <c r="J236" i="35"/>
  <c r="J201" i="35" s="1"/>
  <c r="J224" i="35" s="1"/>
  <c r="J971" i="36"/>
  <c r="J971" i="35"/>
  <c r="G462" i="36"/>
  <c r="G462" i="35"/>
  <c r="J735" i="36"/>
  <c r="K735" i="36" s="1"/>
  <c r="L735" i="36" s="1"/>
  <c r="M735" i="36" s="1"/>
  <c r="J735" i="35"/>
  <c r="K735" i="35" s="1"/>
  <c r="J886" i="36"/>
  <c r="J886" i="35"/>
  <c r="J745" i="36"/>
  <c r="J745" i="35"/>
  <c r="J472" i="35"/>
  <c r="J472" i="36"/>
  <c r="J566" i="36"/>
  <c r="J566" i="35"/>
  <c r="J571" i="36"/>
  <c r="K571" i="36" s="1"/>
  <c r="L571" i="36" s="1"/>
  <c r="M571" i="36" s="1"/>
  <c r="J571" i="35"/>
  <c r="K571" i="35" s="1"/>
  <c r="J339" i="36"/>
  <c r="J339" i="35"/>
  <c r="J502" i="36"/>
  <c r="J502" i="35"/>
  <c r="J163" i="36"/>
  <c r="J128" i="36" s="1"/>
  <c r="J151" i="36" s="1"/>
  <c r="J163" i="35"/>
  <c r="J128" i="35" s="1"/>
  <c r="J151" i="35" s="1"/>
  <c r="G12" i="36"/>
  <c r="J830" i="36"/>
  <c r="J830" i="35"/>
  <c r="G466" i="36"/>
  <c r="G466" i="35"/>
  <c r="J956" i="36"/>
  <c r="J956" i="35"/>
  <c r="G750" i="36"/>
  <c r="K750" i="36" s="1"/>
  <c r="L750" i="36" s="1"/>
  <c r="M750" i="36" s="1"/>
  <c r="G750" i="35"/>
  <c r="K750" i="35" s="1"/>
  <c r="J235" i="36"/>
  <c r="J200" i="36" s="1"/>
  <c r="J223" i="36" s="1"/>
  <c r="J235" i="35"/>
  <c r="J200" i="35" s="1"/>
  <c r="J223" i="35" s="1"/>
  <c r="G467" i="36"/>
  <c r="G465" i="36"/>
  <c r="G465" i="35"/>
  <c r="G467" i="35"/>
  <c r="J264" i="36"/>
  <c r="J264" i="35"/>
  <c r="J508" i="36"/>
  <c r="J508" i="35"/>
  <c r="J737" i="36"/>
  <c r="K737" i="36" s="1"/>
  <c r="L737" i="36" s="1"/>
  <c r="M737" i="36" s="1"/>
  <c r="J737" i="35"/>
  <c r="K737" i="35" s="1"/>
  <c r="J889" i="36"/>
  <c r="J889" i="35"/>
  <c r="J568" i="36"/>
  <c r="J568" i="35"/>
  <c r="J976" i="36"/>
  <c r="J977" i="36"/>
  <c r="J975" i="36"/>
  <c r="J975" i="35"/>
  <c r="J977" i="35"/>
  <c r="J976" i="35"/>
  <c r="J820" i="35"/>
  <c r="K820" i="35" s="1"/>
  <c r="J820" i="36"/>
  <c r="K820" i="36" s="1"/>
  <c r="L820" i="36" s="1"/>
  <c r="M820" i="36" s="1"/>
  <c r="G193" i="36"/>
  <c r="G193" i="35"/>
  <c r="G973" i="35"/>
  <c r="K973" i="35" s="1"/>
  <c r="G973" i="36"/>
  <c r="K973" i="36" s="1"/>
  <c r="L973" i="36" s="1"/>
  <c r="M973" i="36" s="1"/>
  <c r="G196" i="36"/>
  <c r="G196" i="35"/>
  <c r="J379" i="36"/>
  <c r="J350" i="36" s="1"/>
  <c r="J369" i="36" s="1"/>
  <c r="J379" i="35"/>
  <c r="J350" i="35" s="1"/>
  <c r="J369" i="35" s="1"/>
  <c r="J646" i="36"/>
  <c r="J646" i="35"/>
  <c r="J191" i="36"/>
  <c r="J191" i="35"/>
  <c r="J95" i="36"/>
  <c r="J66" i="36" s="1"/>
  <c r="J85" i="36" s="1"/>
  <c r="J95" i="35"/>
  <c r="J66" i="35" s="1"/>
  <c r="J85" i="35" s="1"/>
  <c r="J484" i="36"/>
  <c r="J823" i="36" s="1"/>
  <c r="J484" i="35"/>
  <c r="J823" i="35" s="1"/>
  <c r="J733" i="36"/>
  <c r="J733" i="35"/>
  <c r="J402" i="36"/>
  <c r="J402" i="35"/>
  <c r="J904" i="36"/>
  <c r="J974" i="36"/>
  <c r="J834" i="36"/>
  <c r="J751" i="36"/>
  <c r="J585" i="36"/>
  <c r="J904" i="35"/>
  <c r="J834" i="35"/>
  <c r="J668" i="36"/>
  <c r="J585" i="35"/>
  <c r="J751" i="35"/>
  <c r="J974" i="35"/>
  <c r="J668" i="35"/>
  <c r="J567" i="36"/>
  <c r="J567" i="35"/>
  <c r="J570" i="36"/>
  <c r="K570" i="36" s="1"/>
  <c r="L570" i="36" s="1"/>
  <c r="M570" i="36" s="1"/>
  <c r="J570" i="35"/>
  <c r="K570" i="35" s="1"/>
  <c r="J335" i="36"/>
  <c r="J335" i="35"/>
  <c r="J817" i="36"/>
  <c r="K817" i="36" s="1"/>
  <c r="L817" i="36" s="1"/>
  <c r="M817" i="36" s="1"/>
  <c r="J817" i="35"/>
  <c r="K817" i="35" s="1"/>
  <c r="J514" i="36"/>
  <c r="J514" i="35"/>
  <c r="J120" i="36"/>
  <c r="J120" i="35"/>
  <c r="G667" i="36"/>
  <c r="K667" i="36" s="1"/>
  <c r="L667" i="36" s="1"/>
  <c r="M667" i="36" s="1"/>
  <c r="G667" i="35"/>
  <c r="K667" i="35" s="1"/>
  <c r="J907" i="36"/>
  <c r="J905" i="36"/>
  <c r="J906" i="36"/>
  <c r="J906" i="35"/>
  <c r="J907" i="35"/>
  <c r="J905" i="35"/>
  <c r="J480" i="36"/>
  <c r="J742" i="36" s="1"/>
  <c r="J480" i="35"/>
  <c r="J742" i="35" s="1"/>
  <c r="J515" i="36"/>
  <c r="J515" i="35"/>
  <c r="J648" i="36"/>
  <c r="J648" i="35"/>
  <c r="J583" i="36"/>
  <c r="J583" i="35"/>
  <c r="J192" i="36"/>
  <c r="J192" i="35"/>
  <c r="J94" i="36"/>
  <c r="J65" i="36" s="1"/>
  <c r="J84" i="36" s="1"/>
  <c r="J94" i="35"/>
  <c r="J65" i="35" s="1"/>
  <c r="J84" i="35" s="1"/>
  <c r="J813" i="36"/>
  <c r="J813" i="35"/>
  <c r="J485" i="36"/>
  <c r="J824" i="36" s="1"/>
  <c r="J485" i="35"/>
  <c r="J824" i="35" s="1"/>
  <c r="J729" i="36"/>
  <c r="J729" i="35"/>
  <c r="J400" i="36"/>
  <c r="J400" i="35"/>
  <c r="J664" i="36"/>
  <c r="J664" i="35"/>
  <c r="J569" i="36"/>
  <c r="J569" i="35"/>
  <c r="J572" i="36"/>
  <c r="K572" i="36" s="1"/>
  <c r="L572" i="36" s="1"/>
  <c r="M572" i="36" s="1"/>
  <c r="J572" i="35"/>
  <c r="K572" i="35" s="1"/>
  <c r="J338" i="36"/>
  <c r="J338" i="35"/>
  <c r="J119" i="36"/>
  <c r="J119" i="35"/>
  <c r="J819" i="36"/>
  <c r="K819" i="36" s="1"/>
  <c r="L819" i="36" s="1"/>
  <c r="M819" i="36" s="1"/>
  <c r="J819" i="35"/>
  <c r="K819" i="35" s="1"/>
  <c r="J267" i="36"/>
  <c r="J267" i="35"/>
  <c r="J441" i="36"/>
  <c r="J412" i="36" s="1"/>
  <c r="J431" i="36" s="1"/>
  <c r="J441" i="35"/>
  <c r="J412" i="35" s="1"/>
  <c r="J431" i="35" s="1"/>
  <c r="J655" i="36"/>
  <c r="K655" i="36" s="1"/>
  <c r="L655" i="36" s="1"/>
  <c r="M655" i="36" s="1"/>
  <c r="J655" i="35"/>
  <c r="K655" i="35" s="1"/>
  <c r="J478" i="36"/>
  <c r="J740" i="36" s="1"/>
  <c r="J478" i="35"/>
  <c r="J740" i="35" s="1"/>
  <c r="J491" i="36"/>
  <c r="J491" i="35"/>
  <c r="J166" i="36"/>
  <c r="J131" i="36" s="1"/>
  <c r="J154" i="36" s="1"/>
  <c r="J166" i="35"/>
  <c r="J131" i="35" s="1"/>
  <c r="J154" i="35" s="1"/>
  <c r="J517" i="36"/>
  <c r="J517" i="35"/>
  <c r="J188" i="36"/>
  <c r="J188" i="35"/>
  <c r="J96" i="36"/>
  <c r="J67" i="36" s="1"/>
  <c r="J86" i="36" s="1"/>
  <c r="J96" i="35"/>
  <c r="J67" i="35" s="1"/>
  <c r="J86" i="35" s="1"/>
  <c r="J812" i="36"/>
  <c r="J812" i="35"/>
  <c r="J488" i="36"/>
  <c r="J827" i="36" s="1"/>
  <c r="J488" i="35"/>
  <c r="J827" i="35" s="1"/>
  <c r="J732" i="36"/>
  <c r="J732" i="35"/>
  <c r="J666" i="35"/>
  <c r="J666" i="36"/>
  <c r="J462" i="36"/>
  <c r="J462" i="35"/>
  <c r="J899" i="36"/>
  <c r="J899" i="35"/>
  <c r="J336" i="36"/>
  <c r="J336" i="35"/>
  <c r="J818" i="36"/>
  <c r="K818" i="36" s="1"/>
  <c r="L818" i="36" s="1"/>
  <c r="M818" i="36" s="1"/>
  <c r="J818" i="35"/>
  <c r="K818" i="35" s="1"/>
  <c r="J968" i="35"/>
  <c r="J898" i="35"/>
  <c r="J116" i="36"/>
  <c r="J116" i="35"/>
  <c r="G584" i="36"/>
  <c r="K584" i="36" s="1"/>
  <c r="L584" i="36" s="1"/>
  <c r="M584" i="36" s="1"/>
  <c r="G584" i="35"/>
  <c r="K584" i="35" s="1"/>
  <c r="G405" i="36"/>
  <c r="G405" i="35"/>
  <c r="G833" i="36"/>
  <c r="K833" i="36" s="1"/>
  <c r="L833" i="36" s="1"/>
  <c r="M833" i="36" s="1"/>
  <c r="G833" i="35"/>
  <c r="K833" i="35" s="1"/>
  <c r="G122" i="36"/>
  <c r="G122" i="35"/>
  <c r="G343" i="36"/>
  <c r="G343" i="35"/>
  <c r="J115" i="36"/>
  <c r="J115" i="35"/>
  <c r="J653" i="36"/>
  <c r="K653" i="36" s="1"/>
  <c r="L653" i="36" s="1"/>
  <c r="M653" i="36" s="1"/>
  <c r="J653" i="35"/>
  <c r="K653" i="35" s="1"/>
  <c r="J831" i="36"/>
  <c r="J831" i="35"/>
  <c r="J490" i="36"/>
  <c r="J490" i="35"/>
  <c r="J482" i="36"/>
  <c r="J744" i="36" s="1"/>
  <c r="J482" i="35"/>
  <c r="J744" i="35" s="1"/>
  <c r="J377" i="36"/>
  <c r="J348" i="36" s="1"/>
  <c r="J367" i="36" s="1"/>
  <c r="J377" i="35"/>
  <c r="J348" i="35" s="1"/>
  <c r="J367" i="35" s="1"/>
  <c r="J647" i="36"/>
  <c r="J647" i="35"/>
  <c r="J581" i="36"/>
  <c r="J581" i="35"/>
  <c r="J97" i="36"/>
  <c r="J68" i="36" s="1"/>
  <c r="J87" i="36" s="1"/>
  <c r="J97" i="35"/>
  <c r="J68" i="35" s="1"/>
  <c r="J87" i="35" s="1"/>
  <c r="J814" i="36"/>
  <c r="J814" i="35"/>
  <c r="J487" i="36"/>
  <c r="J826" i="36" s="1"/>
  <c r="J487" i="35"/>
  <c r="J826" i="35" s="1"/>
  <c r="J731" i="36"/>
  <c r="J731" i="35"/>
  <c r="J401" i="36"/>
  <c r="J401" i="35"/>
  <c r="J665" i="36"/>
  <c r="J665" i="35"/>
  <c r="J900" i="36"/>
  <c r="J900" i="35"/>
  <c r="J962" i="36"/>
  <c r="K962" i="36" s="1"/>
  <c r="L962" i="36" s="1"/>
  <c r="M962" i="36" s="1"/>
  <c r="J962" i="35"/>
  <c r="K962" i="35" s="1"/>
  <c r="J500" i="36"/>
  <c r="J500" i="35"/>
  <c r="J968" i="36"/>
  <c r="J898" i="36"/>
  <c r="O654" i="36"/>
  <c r="L654" i="35"/>
  <c r="P654" i="36" s="1"/>
  <c r="J340" i="36"/>
  <c r="J340" i="35"/>
  <c r="J651" i="36"/>
  <c r="K651" i="36" s="1"/>
  <c r="L651" i="36" s="1"/>
  <c r="M651" i="36" s="1"/>
  <c r="J651" i="35"/>
  <c r="K651" i="35" s="1"/>
  <c r="G119" i="36"/>
  <c r="G119" i="35"/>
  <c r="J492" i="36"/>
  <c r="J492" i="35"/>
  <c r="J165" i="36"/>
  <c r="J130" i="36" s="1"/>
  <c r="J165" i="35"/>
  <c r="J130" i="35" s="1"/>
  <c r="J959" i="36"/>
  <c r="J959" i="35"/>
  <c r="J464" i="36"/>
  <c r="J464" i="35"/>
  <c r="J829" i="36"/>
  <c r="J829" i="35"/>
  <c r="J481" i="36"/>
  <c r="J743" i="36" s="1"/>
  <c r="J481" i="35"/>
  <c r="J743" i="35" s="1"/>
  <c r="J516" i="36"/>
  <c r="J516" i="35"/>
  <c r="J380" i="36"/>
  <c r="J351" i="36" s="1"/>
  <c r="J370" i="36" s="1"/>
  <c r="J380" i="35"/>
  <c r="J351" i="35" s="1"/>
  <c r="J370" i="35" s="1"/>
  <c r="J837" i="36"/>
  <c r="J835" i="36"/>
  <c r="J836" i="36"/>
  <c r="J837" i="35"/>
  <c r="J835" i="35"/>
  <c r="J836" i="35"/>
  <c r="J650" i="36"/>
  <c r="J650" i="35"/>
  <c r="J582" i="36"/>
  <c r="J582" i="35"/>
  <c r="J189" i="36"/>
  <c r="J189" i="35"/>
  <c r="J815" i="36"/>
  <c r="J815" i="35"/>
  <c r="J730" i="36"/>
  <c r="J730" i="35"/>
  <c r="J399" i="36"/>
  <c r="J399" i="35"/>
  <c r="J663" i="36"/>
  <c r="J663" i="35"/>
  <c r="J461" i="36"/>
  <c r="J461" i="35"/>
  <c r="J902" i="36"/>
  <c r="J902" i="35"/>
  <c r="J890" i="36"/>
  <c r="K890" i="36" s="1"/>
  <c r="L890" i="36" s="1"/>
  <c r="M890" i="36" s="1"/>
  <c r="J890" i="35"/>
  <c r="K890" i="35" s="1"/>
  <c r="J341" i="35"/>
  <c r="J341" i="36"/>
  <c r="J499" i="36"/>
  <c r="J499" i="35"/>
  <c r="G340" i="36"/>
  <c r="G340" i="35"/>
  <c r="G402" i="36"/>
  <c r="G402" i="35"/>
  <c r="J957" i="36"/>
  <c r="J957" i="35"/>
  <c r="G270" i="36"/>
  <c r="G270" i="35"/>
  <c r="G267" i="36"/>
  <c r="G267" i="35"/>
  <c r="J117" i="36"/>
  <c r="J117" i="35"/>
  <c r="J832" i="36"/>
  <c r="J832" i="35"/>
  <c r="J671" i="36"/>
  <c r="J669" i="36"/>
  <c r="J670" i="36"/>
  <c r="J671" i="35"/>
  <c r="J669" i="35"/>
  <c r="J670" i="35"/>
  <c r="J463" i="36"/>
  <c r="J463" i="35"/>
  <c r="J438" i="36"/>
  <c r="J409" i="36" s="1"/>
  <c r="J428" i="36" s="1"/>
  <c r="J438" i="35"/>
  <c r="J409" i="35" s="1"/>
  <c r="J428" i="35" s="1"/>
  <c r="J479" i="36"/>
  <c r="J741" i="36" s="1"/>
  <c r="J479" i="35"/>
  <c r="J741" i="35" s="1"/>
  <c r="J378" i="36"/>
  <c r="J349" i="36" s="1"/>
  <c r="J368" i="36" s="1"/>
  <c r="J378" i="35"/>
  <c r="J349" i="35" s="1"/>
  <c r="J368" i="35" s="1"/>
  <c r="J588" i="36"/>
  <c r="J586" i="36"/>
  <c r="J587" i="36"/>
  <c r="J588" i="35"/>
  <c r="J586" i="35"/>
  <c r="J587" i="35"/>
  <c r="J649" i="36"/>
  <c r="J649" i="35"/>
  <c r="J580" i="36"/>
  <c r="J580" i="35"/>
  <c r="J190" i="36"/>
  <c r="J190" i="35"/>
  <c r="J816" i="36"/>
  <c r="J816" i="35"/>
  <c r="J486" i="36"/>
  <c r="J825" i="36" s="1"/>
  <c r="J486" i="35"/>
  <c r="J825" i="35" s="1"/>
  <c r="J474" i="36"/>
  <c r="J474" i="35"/>
  <c r="J662" i="36"/>
  <c r="J662" i="35"/>
  <c r="J270" i="36"/>
  <c r="J270" i="35"/>
  <c r="J460" i="35"/>
  <c r="J460" i="36"/>
  <c r="J961" i="36"/>
  <c r="K961" i="36" s="1"/>
  <c r="L961" i="36" s="1"/>
  <c r="M961" i="36" s="1"/>
  <c r="J961" i="35"/>
  <c r="K961" i="35" s="1"/>
  <c r="J893" i="36"/>
  <c r="K893" i="36" s="1"/>
  <c r="L893" i="36" s="1"/>
  <c r="M893" i="36" s="1"/>
  <c r="J893" i="35"/>
  <c r="K893" i="35" s="1"/>
  <c r="J504" i="36"/>
  <c r="J504" i="35"/>
  <c r="J497" i="36"/>
  <c r="J497" i="35"/>
  <c r="J439" i="11"/>
  <c r="J163" i="11"/>
  <c r="J164" i="11"/>
  <c r="J440" i="11"/>
  <c r="J411" i="11" s="1"/>
  <c r="J958" i="11"/>
  <c r="G402" i="11"/>
  <c r="J116" i="11"/>
  <c r="J959" i="11"/>
  <c r="J491" i="11"/>
  <c r="N140" i="10"/>
  <c r="N125" i="10"/>
  <c r="N127" i="10"/>
  <c r="N126" i="10"/>
  <c r="N123" i="10"/>
  <c r="N124" i="10"/>
  <c r="J310" i="11"/>
  <c r="J275" i="11" s="1"/>
  <c r="J238" i="11"/>
  <c r="J203" i="11" s="1"/>
  <c r="R130" i="10"/>
  <c r="G461" i="11"/>
  <c r="J649" i="11"/>
  <c r="J580" i="11"/>
  <c r="J190" i="11"/>
  <c r="J816" i="11"/>
  <c r="J486" i="11"/>
  <c r="J474" i="11"/>
  <c r="J401" i="11"/>
  <c r="J665" i="11"/>
  <c r="J569" i="11"/>
  <c r="J573" i="11"/>
  <c r="K573" i="11" s="1"/>
  <c r="J960" i="11"/>
  <c r="K960" i="11" s="1"/>
  <c r="J821" i="11"/>
  <c r="K821" i="11" s="1"/>
  <c r="G463" i="11"/>
  <c r="J266" i="11"/>
  <c r="J746" i="11"/>
  <c r="J399" i="11"/>
  <c r="J462" i="11"/>
  <c r="Q140" i="10"/>
  <c r="Q123" i="10"/>
  <c r="Q125" i="10"/>
  <c r="Q126" i="10"/>
  <c r="Q124" i="10"/>
  <c r="Q127" i="10"/>
  <c r="Q129" i="10"/>
  <c r="J905" i="11"/>
  <c r="J906" i="11"/>
  <c r="J907" i="11"/>
  <c r="J311" i="11"/>
  <c r="J276" i="11" s="1"/>
  <c r="J239" i="11"/>
  <c r="J204" i="11" s="1"/>
  <c r="J970" i="11"/>
  <c r="G459" i="11"/>
  <c r="J262" i="11"/>
  <c r="J509" i="11"/>
  <c r="O296" i="13"/>
  <c r="J736" i="11"/>
  <c r="K736" i="11" s="1"/>
  <c r="J747" i="11"/>
  <c r="J473" i="11"/>
  <c r="J662" i="11"/>
  <c r="J337" i="11"/>
  <c r="J893" i="11"/>
  <c r="K893" i="11" s="1"/>
  <c r="J820" i="11"/>
  <c r="K820" i="11" s="1"/>
  <c r="J312" i="11"/>
  <c r="J277" i="11" s="1"/>
  <c r="J475" i="11"/>
  <c r="J162" i="11"/>
  <c r="J127" i="11" s="1"/>
  <c r="J441" i="11"/>
  <c r="J412" i="11" s="1"/>
  <c r="J832" i="11"/>
  <c r="J670" i="11"/>
  <c r="J671" i="11"/>
  <c r="J669" i="11"/>
  <c r="J166" i="11"/>
  <c r="J131" i="11" s="1"/>
  <c r="J313" i="11"/>
  <c r="J278" i="11" s="1"/>
  <c r="J236" i="11"/>
  <c r="J201" i="11" s="1"/>
  <c r="J971" i="11"/>
  <c r="G462" i="11"/>
  <c r="J265" i="11"/>
  <c r="R296" i="13"/>
  <c r="J512" i="11"/>
  <c r="J734" i="11"/>
  <c r="K734" i="11" s="1"/>
  <c r="J888" i="11"/>
  <c r="J343" i="11"/>
  <c r="J403" i="11"/>
  <c r="J749" i="11"/>
  <c r="J398" i="11"/>
  <c r="J461" i="11"/>
  <c r="J570" i="11"/>
  <c r="K570" i="11" s="1"/>
  <c r="J339" i="11"/>
  <c r="J892" i="11"/>
  <c r="K892" i="11" s="1"/>
  <c r="J817" i="11"/>
  <c r="K817" i="11" s="1"/>
  <c r="J972" i="11"/>
  <c r="Q154" i="10"/>
  <c r="G405" i="11"/>
  <c r="G196" i="11"/>
  <c r="N154" i="10"/>
  <c r="J267" i="11"/>
  <c r="J193" i="11"/>
  <c r="J831" i="11"/>
  <c r="J235" i="11"/>
  <c r="J200" i="11" s="1"/>
  <c r="G467" i="11"/>
  <c r="G465" i="11"/>
  <c r="J263" i="11"/>
  <c r="P296" i="13"/>
  <c r="J510" i="11"/>
  <c r="J887" i="11"/>
  <c r="J748" i="11"/>
  <c r="J476" i="11"/>
  <c r="J270" i="11"/>
  <c r="J460" i="11"/>
  <c r="J572" i="11"/>
  <c r="K572" i="11" s="1"/>
  <c r="J975" i="11"/>
  <c r="J976" i="11"/>
  <c r="J977" i="11"/>
  <c r="J891" i="11"/>
  <c r="K891" i="11" s="1"/>
  <c r="P293" i="13"/>
  <c r="J504" i="11"/>
  <c r="J819" i="11"/>
  <c r="K819" i="11" s="1"/>
  <c r="J511" i="11"/>
  <c r="Q296" i="13"/>
  <c r="J194" i="11"/>
  <c r="J663" i="11"/>
  <c r="G466" i="11"/>
  <c r="R154" i="10"/>
  <c r="J464" i="11"/>
  <c r="J490" i="11"/>
  <c r="J478" i="11"/>
  <c r="J379" i="11"/>
  <c r="J350" i="11" s="1"/>
  <c r="J735" i="11"/>
  <c r="K735" i="11" s="1"/>
  <c r="J886" i="11"/>
  <c r="J745" i="11"/>
  <c r="J472" i="11"/>
  <c r="J899" i="11"/>
  <c r="J335" i="11"/>
  <c r="Q293" i="13"/>
  <c r="J505" i="11"/>
  <c r="J818" i="11"/>
  <c r="K818" i="11" s="1"/>
  <c r="G460" i="11"/>
  <c r="J963" i="11"/>
  <c r="K963" i="11" s="1"/>
  <c r="G122" i="11"/>
  <c r="M154" i="10"/>
  <c r="J956" i="11"/>
  <c r="J340" i="11"/>
  <c r="J514" i="11"/>
  <c r="N299" i="13"/>
  <c r="G270" i="11"/>
  <c r="O154" i="10"/>
  <c r="J957" i="11"/>
  <c r="R274" i="10"/>
  <c r="G973" i="11"/>
  <c r="R271" i="10"/>
  <c r="R272" i="10"/>
  <c r="R273" i="10"/>
  <c r="R275" i="10"/>
  <c r="J463" i="11"/>
  <c r="J829" i="11"/>
  <c r="J480" i="11"/>
  <c r="J515" i="11"/>
  <c r="O299" i="13"/>
  <c r="J264" i="11"/>
  <c r="J508" i="11"/>
  <c r="N296" i="13"/>
  <c r="J737" i="11"/>
  <c r="K737" i="11" s="1"/>
  <c r="J889" i="11"/>
  <c r="J459" i="11"/>
  <c r="J900" i="11"/>
  <c r="J338" i="11"/>
  <c r="R293" i="13"/>
  <c r="J506" i="11"/>
  <c r="R290" i="13"/>
  <c r="J500" i="11"/>
  <c r="J653" i="11"/>
  <c r="K653" i="11" s="1"/>
  <c r="J651" i="11"/>
  <c r="K651" i="11" s="1"/>
  <c r="G584" i="11"/>
  <c r="M273" i="10"/>
  <c r="M271" i="10"/>
  <c r="M272" i="10"/>
  <c r="M274" i="10"/>
  <c r="M275" i="10"/>
  <c r="J438" i="11"/>
  <c r="J409" i="11" s="1"/>
  <c r="Q299" i="13"/>
  <c r="J517" i="11"/>
  <c r="J646" i="11"/>
  <c r="J191" i="11"/>
  <c r="J95" i="11"/>
  <c r="J66" i="11" s="1"/>
  <c r="J484" i="11"/>
  <c r="J733" i="11"/>
  <c r="J402" i="11"/>
  <c r="L654" i="11"/>
  <c r="M654" i="11" s="1"/>
  <c r="J902" i="11"/>
  <c r="J336" i="11"/>
  <c r="O293" i="13"/>
  <c r="J503" i="11"/>
  <c r="J341" i="11"/>
  <c r="J499" i="11"/>
  <c r="Q290" i="13"/>
  <c r="J738" i="11"/>
  <c r="K738" i="11" s="1"/>
  <c r="G12" i="11"/>
  <c r="J492" i="11"/>
  <c r="J655" i="11"/>
  <c r="K655" i="11" s="1"/>
  <c r="Q273" i="10"/>
  <c r="Q271" i="10"/>
  <c r="G903" i="11"/>
  <c r="Q274" i="10"/>
  <c r="Q272" i="10"/>
  <c r="Q275" i="10"/>
  <c r="J753" i="11"/>
  <c r="J752" i="11"/>
  <c r="J754" i="11"/>
  <c r="J196" i="11"/>
  <c r="J482" i="11"/>
  <c r="J377" i="11"/>
  <c r="J348" i="11" s="1"/>
  <c r="J648" i="11"/>
  <c r="J583" i="11"/>
  <c r="J192" i="11"/>
  <c r="J94" i="11"/>
  <c r="J65" i="11" s="1"/>
  <c r="J813" i="11"/>
  <c r="J485" i="11"/>
  <c r="J729" i="11"/>
  <c r="J405" i="11"/>
  <c r="J962" i="11"/>
  <c r="K962" i="11" s="1"/>
  <c r="J497" i="11"/>
  <c r="O290" i="13"/>
  <c r="J115" i="11"/>
  <c r="J898" i="11"/>
  <c r="J968" i="11"/>
  <c r="J120" i="11"/>
  <c r="O271" i="10"/>
  <c r="G750" i="11"/>
  <c r="O274" i="10"/>
  <c r="O273" i="10"/>
  <c r="O275" i="10"/>
  <c r="O272" i="10"/>
  <c r="J481" i="11"/>
  <c r="P299" i="13"/>
  <c r="J516" i="11"/>
  <c r="J380" i="11"/>
  <c r="J351" i="11" s="1"/>
  <c r="J837" i="11"/>
  <c r="J835" i="11"/>
  <c r="J836" i="11"/>
  <c r="J188" i="11"/>
  <c r="J96" i="11"/>
  <c r="J67" i="11" s="1"/>
  <c r="J812" i="11"/>
  <c r="J488" i="11"/>
  <c r="J732" i="11"/>
  <c r="J974" i="11"/>
  <c r="J585" i="11"/>
  <c r="J751" i="11"/>
  <c r="J668" i="11"/>
  <c r="J834" i="11"/>
  <c r="J904" i="11"/>
  <c r="J566" i="11"/>
  <c r="J901" i="11"/>
  <c r="N293" i="13"/>
  <c r="J502" i="11"/>
  <c r="N290" i="13"/>
  <c r="J496" i="11"/>
  <c r="J830" i="11"/>
  <c r="J571" i="11"/>
  <c r="K571" i="11" s="1"/>
  <c r="G119" i="11"/>
  <c r="G193" i="11"/>
  <c r="J165" i="11"/>
  <c r="J130" i="11" s="1"/>
  <c r="P273" i="10"/>
  <c r="P274" i="10"/>
  <c r="P271" i="10"/>
  <c r="P275" i="10"/>
  <c r="G833" i="11"/>
  <c r="P272" i="10"/>
  <c r="P140" i="10"/>
  <c r="P125" i="10"/>
  <c r="P123" i="10"/>
  <c r="P127" i="10"/>
  <c r="P126" i="10"/>
  <c r="P124" i="10"/>
  <c r="J479" i="11"/>
  <c r="J378" i="11"/>
  <c r="J349" i="11" s="1"/>
  <c r="J588" i="11"/>
  <c r="J587" i="11"/>
  <c r="J586" i="11"/>
  <c r="J647" i="11"/>
  <c r="J581" i="11"/>
  <c r="J97" i="11"/>
  <c r="J68" i="11" s="1"/>
  <c r="J814" i="11"/>
  <c r="J487" i="11"/>
  <c r="J731" i="11"/>
  <c r="J400" i="11"/>
  <c r="J664" i="11"/>
  <c r="J568" i="11"/>
  <c r="J961" i="11"/>
  <c r="K961" i="11" s="1"/>
  <c r="J119" i="11"/>
  <c r="J890" i="11"/>
  <c r="K890" i="11" s="1"/>
  <c r="G343" i="11"/>
  <c r="P154" i="10"/>
  <c r="G267" i="11"/>
  <c r="J117" i="11"/>
  <c r="G340" i="11"/>
  <c r="J652" i="11"/>
  <c r="K652" i="11" s="1"/>
  <c r="M140" i="10"/>
  <c r="M123" i="10"/>
  <c r="M125" i="10"/>
  <c r="M126" i="10"/>
  <c r="M124" i="10"/>
  <c r="M127" i="10"/>
  <c r="N275" i="10"/>
  <c r="N271" i="10"/>
  <c r="N274" i="10"/>
  <c r="G667" i="11"/>
  <c r="N272" i="10"/>
  <c r="N273" i="10"/>
  <c r="O140" i="10"/>
  <c r="O124" i="10"/>
  <c r="O126" i="10"/>
  <c r="O127" i="10"/>
  <c r="O125" i="10"/>
  <c r="O123" i="10"/>
  <c r="J309" i="11"/>
  <c r="J274" i="11" s="1"/>
  <c r="J237" i="11"/>
  <c r="J202" i="11" s="1"/>
  <c r="J969" i="11"/>
  <c r="J650" i="11"/>
  <c r="J582" i="11"/>
  <c r="J189" i="11"/>
  <c r="J815" i="11"/>
  <c r="J730" i="11"/>
  <c r="J666" i="11"/>
  <c r="J567" i="11"/>
  <c r="J498" i="11"/>
  <c r="P290" i="13"/>
  <c r="J133" i="36" l="1"/>
  <c r="J156" i="36" s="1"/>
  <c r="J135" i="36"/>
  <c r="J158" i="36" s="1"/>
  <c r="J136" i="36"/>
  <c r="J159" i="36" s="1"/>
  <c r="J355" i="36"/>
  <c r="J374" i="36" s="1"/>
  <c r="J72" i="36"/>
  <c r="J91" i="36" s="1"/>
  <c r="J134" i="35"/>
  <c r="J157" i="35" s="1"/>
  <c r="J682" i="35"/>
  <c r="J716" i="35" s="1"/>
  <c r="J136" i="35"/>
  <c r="J159" i="35" s="1"/>
  <c r="J133" i="35"/>
  <c r="J156" i="35" s="1"/>
  <c r="J135" i="35"/>
  <c r="J158" i="35" s="1"/>
  <c r="J916" i="36"/>
  <c r="J945" i="36" s="1"/>
  <c r="J414" i="35"/>
  <c r="J433" i="35" s="1"/>
  <c r="J414" i="36"/>
  <c r="J433" i="36" s="1"/>
  <c r="J72" i="35"/>
  <c r="J91" i="35" s="1"/>
  <c r="J134" i="36"/>
  <c r="J157" i="36" s="1"/>
  <c r="J681" i="35"/>
  <c r="J693" i="35" s="1"/>
  <c r="J678" i="35"/>
  <c r="J690" i="35" s="1"/>
  <c r="J679" i="35"/>
  <c r="J713" i="35" s="1"/>
  <c r="J71" i="35"/>
  <c r="J90" i="35" s="1"/>
  <c r="J71" i="36"/>
  <c r="J90" i="36" s="1"/>
  <c r="J353" i="35"/>
  <c r="J372" i="35" s="1"/>
  <c r="J680" i="35"/>
  <c r="J692" i="35" s="1"/>
  <c r="J353" i="36"/>
  <c r="J372" i="36" s="1"/>
  <c r="J132" i="35"/>
  <c r="J155" i="35" s="1"/>
  <c r="J132" i="36"/>
  <c r="J155" i="36" s="1"/>
  <c r="J682" i="36"/>
  <c r="J694" i="36" s="1"/>
  <c r="J679" i="36"/>
  <c r="J702" i="36" s="1"/>
  <c r="J681" i="36"/>
  <c r="J704" i="36" s="1"/>
  <c r="J415" i="36"/>
  <c r="J434" i="36" s="1"/>
  <c r="J764" i="36"/>
  <c r="J787" i="36" s="1"/>
  <c r="J280" i="36"/>
  <c r="J303" i="36" s="1"/>
  <c r="J678" i="36"/>
  <c r="J712" i="36" s="1"/>
  <c r="J680" i="36"/>
  <c r="J703" i="36" s="1"/>
  <c r="J763" i="36"/>
  <c r="J797" i="36" s="1"/>
  <c r="M654" i="35"/>
  <c r="Q654" i="36" s="1"/>
  <c r="G116" i="36"/>
  <c r="G116" i="35"/>
  <c r="G662" i="36"/>
  <c r="K662" i="36" s="1"/>
  <c r="G662" i="35"/>
  <c r="K662" i="35" s="1"/>
  <c r="G829" i="36"/>
  <c r="K829" i="36" s="1"/>
  <c r="L829" i="36" s="1"/>
  <c r="M829" i="36" s="1"/>
  <c r="G829" i="35"/>
  <c r="K829" i="35" s="1"/>
  <c r="G901" i="36"/>
  <c r="K901" i="36" s="1"/>
  <c r="L901" i="36" s="1"/>
  <c r="M901" i="36" s="1"/>
  <c r="G901" i="35"/>
  <c r="K901" i="35" s="1"/>
  <c r="J967" i="36"/>
  <c r="J915" i="36" s="1"/>
  <c r="J897" i="36"/>
  <c r="J845" i="36" s="1"/>
  <c r="J764" i="35"/>
  <c r="O818" i="36"/>
  <c r="L818" i="35"/>
  <c r="P818" i="36" s="1"/>
  <c r="J765" i="35"/>
  <c r="J966" i="35"/>
  <c r="J914" i="35" s="1"/>
  <c r="J896" i="35"/>
  <c r="J844" i="35" s="1"/>
  <c r="J673" i="35"/>
  <c r="K729" i="35"/>
  <c r="J592" i="35"/>
  <c r="K648" i="35"/>
  <c r="O667" i="36"/>
  <c r="L667" i="35"/>
  <c r="P667" i="36" s="1"/>
  <c r="J521" i="35"/>
  <c r="K567" i="35"/>
  <c r="J590" i="35"/>
  <c r="K646" i="35"/>
  <c r="O820" i="36"/>
  <c r="L820" i="35"/>
  <c r="P820" i="36" s="1"/>
  <c r="J839" i="36"/>
  <c r="K886" i="36"/>
  <c r="L886" i="36" s="1"/>
  <c r="M886" i="36" s="1"/>
  <c r="L903" i="36"/>
  <c r="M903" i="36" s="1"/>
  <c r="O821" i="36"/>
  <c r="L821" i="35"/>
  <c r="P821" i="36" s="1"/>
  <c r="J840" i="35"/>
  <c r="K887" i="35"/>
  <c r="O963" i="36"/>
  <c r="L963" i="35"/>
  <c r="P963" i="36" s="1"/>
  <c r="L891" i="35"/>
  <c r="P891" i="36" s="1"/>
  <c r="O891" i="36"/>
  <c r="G262" i="36"/>
  <c r="G262" i="35"/>
  <c r="G666" i="36"/>
  <c r="K666" i="36" s="1"/>
  <c r="L666" i="36" s="1"/>
  <c r="M666" i="36" s="1"/>
  <c r="G666" i="35"/>
  <c r="K666" i="35" s="1"/>
  <c r="G971" i="36"/>
  <c r="K971" i="36" s="1"/>
  <c r="L971" i="36" s="1"/>
  <c r="M971" i="36" s="1"/>
  <c r="G971" i="35"/>
  <c r="K971" i="35" s="1"/>
  <c r="G189" i="36"/>
  <c r="G189" i="35"/>
  <c r="J594" i="35"/>
  <c r="K650" i="35"/>
  <c r="J765" i="36"/>
  <c r="J966" i="36"/>
  <c r="J914" i="36" s="1"/>
  <c r="J896" i="36"/>
  <c r="J844" i="36" s="1"/>
  <c r="J673" i="36"/>
  <c r="K729" i="36"/>
  <c r="L729" i="36" s="1"/>
  <c r="M729" i="36" s="1"/>
  <c r="J592" i="36"/>
  <c r="K648" i="36"/>
  <c r="J521" i="36"/>
  <c r="K567" i="36"/>
  <c r="L567" i="36" s="1"/>
  <c r="M567" i="36" s="1"/>
  <c r="J590" i="36"/>
  <c r="K646" i="36"/>
  <c r="L646" i="36" s="1"/>
  <c r="M646" i="36" s="1"/>
  <c r="J909" i="35"/>
  <c r="K956" i="35"/>
  <c r="J283" i="35"/>
  <c r="J306" i="35" s="1"/>
  <c r="L735" i="35"/>
  <c r="P735" i="36" s="1"/>
  <c r="O735" i="36"/>
  <c r="J840" i="36"/>
  <c r="K887" i="36"/>
  <c r="L887" i="36" s="1"/>
  <c r="M887" i="36" s="1"/>
  <c r="G970" i="36"/>
  <c r="K970" i="36" s="1"/>
  <c r="L970" i="36" s="1"/>
  <c r="M970" i="36" s="1"/>
  <c r="G970" i="35"/>
  <c r="K970" i="35" s="1"/>
  <c r="G407" i="36"/>
  <c r="G407" i="35"/>
  <c r="G188" i="36"/>
  <c r="G188" i="35"/>
  <c r="J593" i="35"/>
  <c r="K649" i="35"/>
  <c r="J594" i="36"/>
  <c r="K650" i="36"/>
  <c r="L650" i="36" s="1"/>
  <c r="M650" i="36" s="1"/>
  <c r="O962" i="36"/>
  <c r="L962" i="35"/>
  <c r="P962" i="36" s="1"/>
  <c r="J758" i="35"/>
  <c r="K814" i="35"/>
  <c r="J895" i="35"/>
  <c r="J843" i="35" s="1"/>
  <c r="J965" i="35"/>
  <c r="J913" i="35" s="1"/>
  <c r="O833" i="36"/>
  <c r="L833" i="35"/>
  <c r="P833" i="36" s="1"/>
  <c r="J280" i="35"/>
  <c r="J303" i="35" s="1"/>
  <c r="J756" i="35"/>
  <c r="K812" i="35"/>
  <c r="J282" i="35"/>
  <c r="J305" i="35" s="1"/>
  <c r="J762" i="35"/>
  <c r="J909" i="36"/>
  <c r="K956" i="36"/>
  <c r="L956" i="36" s="1"/>
  <c r="M956" i="36" s="1"/>
  <c r="J283" i="36"/>
  <c r="J306" i="36" s="1"/>
  <c r="J281" i="35"/>
  <c r="J304" i="35" s="1"/>
  <c r="J208" i="35"/>
  <c r="J231" i="35" s="1"/>
  <c r="O960" i="36"/>
  <c r="L960" i="35"/>
  <c r="P960" i="36" s="1"/>
  <c r="J205" i="35"/>
  <c r="J228" i="35" s="1"/>
  <c r="O892" i="36"/>
  <c r="L892" i="35"/>
  <c r="P892" i="36" s="1"/>
  <c r="O738" i="36"/>
  <c r="L738" i="35"/>
  <c r="P738" i="36" s="1"/>
  <c r="G969" i="36"/>
  <c r="K969" i="36" s="1"/>
  <c r="L969" i="36" s="1"/>
  <c r="M969" i="36" s="1"/>
  <c r="G969" i="35"/>
  <c r="K969" i="35" s="1"/>
  <c r="G399" i="36"/>
  <c r="G399" i="35"/>
  <c r="G191" i="36"/>
  <c r="G191" i="35"/>
  <c r="J593" i="36"/>
  <c r="K649" i="36"/>
  <c r="L649" i="36" s="1"/>
  <c r="M649" i="36" s="1"/>
  <c r="O651" i="36"/>
  <c r="L651" i="35"/>
  <c r="P651" i="36" s="1"/>
  <c r="J758" i="36"/>
  <c r="K814" i="36"/>
  <c r="L814" i="36" s="1"/>
  <c r="M814" i="36" s="1"/>
  <c r="J895" i="36"/>
  <c r="J843" i="36" s="1"/>
  <c r="J965" i="36"/>
  <c r="J913" i="36" s="1"/>
  <c r="J756" i="36"/>
  <c r="K812" i="36"/>
  <c r="L812" i="36" s="1"/>
  <c r="M812" i="36" s="1"/>
  <c r="J282" i="36"/>
  <c r="J305" i="36" s="1"/>
  <c r="J762" i="36"/>
  <c r="J207" i="35"/>
  <c r="J230" i="35" s="1"/>
  <c r="O571" i="36"/>
  <c r="L571" i="35"/>
  <c r="P571" i="36" s="1"/>
  <c r="G426" i="35"/>
  <c r="J911" i="36"/>
  <c r="K958" i="36"/>
  <c r="J281" i="36"/>
  <c r="J304" i="36" s="1"/>
  <c r="J208" i="36"/>
  <c r="J231" i="36" s="1"/>
  <c r="J205" i="36"/>
  <c r="J228" i="36" s="1"/>
  <c r="G828" i="36"/>
  <c r="K828" i="36" s="1"/>
  <c r="L828" i="36" s="1"/>
  <c r="M828" i="36" s="1"/>
  <c r="G828" i="35"/>
  <c r="K828" i="35" s="1"/>
  <c r="G265" i="35"/>
  <c r="G265" i="36"/>
  <c r="G118" i="36"/>
  <c r="G118" i="35"/>
  <c r="G345" i="36"/>
  <c r="G345" i="35"/>
  <c r="G831" i="36"/>
  <c r="K831" i="36" s="1"/>
  <c r="L831" i="36" s="1"/>
  <c r="M831" i="36" s="1"/>
  <c r="G831" i="35"/>
  <c r="K831" i="35" s="1"/>
  <c r="G746" i="36"/>
  <c r="K746" i="36" s="1"/>
  <c r="G746" i="35"/>
  <c r="K746" i="35" s="1"/>
  <c r="G401" i="36"/>
  <c r="G401" i="35"/>
  <c r="G192" i="36"/>
  <c r="G192" i="35"/>
  <c r="J577" i="35"/>
  <c r="J526" i="35" s="1"/>
  <c r="J659" i="35"/>
  <c r="J597" i="35" s="1"/>
  <c r="L655" i="35"/>
  <c r="P655" i="36" s="1"/>
  <c r="O655" i="36"/>
  <c r="O572" i="36"/>
  <c r="L572" i="35"/>
  <c r="P572" i="36" s="1"/>
  <c r="J757" i="35"/>
  <c r="K813" i="35"/>
  <c r="J677" i="35"/>
  <c r="K733" i="35"/>
  <c r="J207" i="36"/>
  <c r="J230" i="36" s="1"/>
  <c r="G426" i="36"/>
  <c r="J911" i="35"/>
  <c r="K958" i="35"/>
  <c r="O573" i="36"/>
  <c r="L573" i="35"/>
  <c r="P573" i="36" s="1"/>
  <c r="J206" i="35"/>
  <c r="J229" i="35" s="1"/>
  <c r="G424" i="35"/>
  <c r="J413" i="35"/>
  <c r="J432" i="35" s="1"/>
  <c r="G425" i="35"/>
  <c r="G264" i="36"/>
  <c r="G264" i="35"/>
  <c r="G263" i="36"/>
  <c r="G263" i="35"/>
  <c r="G117" i="36"/>
  <c r="G117" i="35"/>
  <c r="G336" i="36"/>
  <c r="G336" i="35"/>
  <c r="G830" i="36"/>
  <c r="K830" i="36" s="1"/>
  <c r="L830" i="36" s="1"/>
  <c r="M830" i="36" s="1"/>
  <c r="G830" i="35"/>
  <c r="K830" i="35" s="1"/>
  <c r="G749" i="36"/>
  <c r="K749" i="36" s="1"/>
  <c r="L749" i="36" s="1"/>
  <c r="M749" i="36" s="1"/>
  <c r="G749" i="35"/>
  <c r="K749" i="35" s="1"/>
  <c r="G583" i="36"/>
  <c r="K583" i="36" s="1"/>
  <c r="L583" i="36" s="1"/>
  <c r="M583" i="36" s="1"/>
  <c r="G583" i="35"/>
  <c r="K583" i="35" s="1"/>
  <c r="G972" i="36"/>
  <c r="K972" i="36" s="1"/>
  <c r="L972" i="36" s="1"/>
  <c r="M972" i="36" s="1"/>
  <c r="G972" i="35"/>
  <c r="K972" i="35" s="1"/>
  <c r="G468" i="36"/>
  <c r="G468" i="35"/>
  <c r="G400" i="36"/>
  <c r="G400" i="35"/>
  <c r="G190" i="36"/>
  <c r="G190" i="35"/>
  <c r="J659" i="36"/>
  <c r="J597" i="36" s="1"/>
  <c r="J577" i="36"/>
  <c r="J526" i="36" s="1"/>
  <c r="J674" i="35"/>
  <c r="K730" i="35"/>
  <c r="J757" i="36"/>
  <c r="K813" i="36"/>
  <c r="L813" i="36" s="1"/>
  <c r="M813" i="36" s="1"/>
  <c r="J677" i="36"/>
  <c r="K733" i="36"/>
  <c r="J520" i="35"/>
  <c r="K566" i="35"/>
  <c r="O652" i="36"/>
  <c r="L652" i="35"/>
  <c r="P652" i="36" s="1"/>
  <c r="J206" i="36"/>
  <c r="J229" i="36" s="1"/>
  <c r="G18" i="35"/>
  <c r="G24" i="35"/>
  <c r="G424" i="36"/>
  <c r="J413" i="36"/>
  <c r="J432" i="36" s="1"/>
  <c r="G425" i="36"/>
  <c r="G266" i="36"/>
  <c r="G266" i="35"/>
  <c r="G271" i="36"/>
  <c r="G269" i="36"/>
  <c r="G271" i="35"/>
  <c r="G269" i="35"/>
  <c r="G115" i="36"/>
  <c r="G115" i="35"/>
  <c r="G338" i="36"/>
  <c r="G338" i="35"/>
  <c r="G747" i="36"/>
  <c r="K747" i="36" s="1"/>
  <c r="L747" i="36" s="1"/>
  <c r="M747" i="36" s="1"/>
  <c r="G747" i="35"/>
  <c r="K747" i="35" s="1"/>
  <c r="G581" i="36"/>
  <c r="K581" i="36" s="1"/>
  <c r="L581" i="36" s="1"/>
  <c r="M581" i="36" s="1"/>
  <c r="G581" i="35"/>
  <c r="K581" i="35" s="1"/>
  <c r="G398" i="36"/>
  <c r="G398" i="35"/>
  <c r="G197" i="36"/>
  <c r="G195" i="36"/>
  <c r="G195" i="35"/>
  <c r="G197" i="35"/>
  <c r="O893" i="36"/>
  <c r="L893" i="35"/>
  <c r="P893" i="36" s="1"/>
  <c r="J763" i="35"/>
  <c r="J674" i="36"/>
  <c r="K730" i="36"/>
  <c r="O653" i="36"/>
  <c r="L653" i="35"/>
  <c r="P653" i="36" s="1"/>
  <c r="O584" i="36"/>
  <c r="L584" i="35"/>
  <c r="P584" i="36" s="1"/>
  <c r="J416" i="35"/>
  <c r="J435" i="35" s="1"/>
  <c r="J523" i="35"/>
  <c r="K569" i="35"/>
  <c r="O817" i="36"/>
  <c r="L817" i="35"/>
  <c r="P817" i="36" s="1"/>
  <c r="J761" i="35"/>
  <c r="J520" i="36"/>
  <c r="K566" i="36"/>
  <c r="L566" i="36" s="1"/>
  <c r="M566" i="36" s="1"/>
  <c r="L652" i="36"/>
  <c r="M652" i="36" s="1"/>
  <c r="G423" i="35"/>
  <c r="J576" i="35"/>
  <c r="J525" i="35" s="1"/>
  <c r="J658" i="35"/>
  <c r="J596" i="35" s="1"/>
  <c r="J352" i="35"/>
  <c r="J371" i="35" s="1"/>
  <c r="J209" i="35"/>
  <c r="J232" i="35" s="1"/>
  <c r="G123" i="36"/>
  <c r="G121" i="36"/>
  <c r="G121" i="35"/>
  <c r="G123" i="35"/>
  <c r="G339" i="36"/>
  <c r="G339" i="35"/>
  <c r="G748" i="36"/>
  <c r="K748" i="36" s="1"/>
  <c r="G748" i="35"/>
  <c r="K748" i="35" s="1"/>
  <c r="G900" i="36"/>
  <c r="K900" i="36" s="1"/>
  <c r="L900" i="36" s="1"/>
  <c r="M900" i="36" s="1"/>
  <c r="G900" i="35"/>
  <c r="K900" i="35" s="1"/>
  <c r="G580" i="36"/>
  <c r="K580" i="36" s="1"/>
  <c r="L580" i="36" s="1"/>
  <c r="M580" i="36" s="1"/>
  <c r="G580" i="35"/>
  <c r="K580" i="35" s="1"/>
  <c r="G124" i="36"/>
  <c r="G124" i="35"/>
  <c r="G406" i="36"/>
  <c r="G404" i="36"/>
  <c r="G404" i="35"/>
  <c r="G406" i="35"/>
  <c r="O890" i="36"/>
  <c r="L890" i="35"/>
  <c r="P890" i="36" s="1"/>
  <c r="J759" i="35"/>
  <c r="K815" i="35"/>
  <c r="J912" i="35"/>
  <c r="K959" i="35"/>
  <c r="J416" i="36"/>
  <c r="J435" i="36" s="1"/>
  <c r="J523" i="36"/>
  <c r="K569" i="36"/>
  <c r="L569" i="36" s="1"/>
  <c r="M569" i="36" s="1"/>
  <c r="J761" i="36"/>
  <c r="O973" i="36"/>
  <c r="L973" i="35"/>
  <c r="P973" i="36" s="1"/>
  <c r="J522" i="35"/>
  <c r="K568" i="35"/>
  <c r="J657" i="36"/>
  <c r="J595" i="36" s="1"/>
  <c r="J575" i="36"/>
  <c r="J524" i="36" s="1"/>
  <c r="G423" i="36"/>
  <c r="J576" i="36"/>
  <c r="J525" i="36" s="1"/>
  <c r="J658" i="36"/>
  <c r="J596" i="36" s="1"/>
  <c r="J352" i="36"/>
  <c r="J371" i="36" s="1"/>
  <c r="J209" i="36"/>
  <c r="J232" i="36" s="1"/>
  <c r="G664" i="36"/>
  <c r="K664" i="36" s="1"/>
  <c r="L664" i="36" s="1"/>
  <c r="M664" i="36" s="1"/>
  <c r="G664" i="35"/>
  <c r="K664" i="35" s="1"/>
  <c r="G663" i="36"/>
  <c r="K663" i="36" s="1"/>
  <c r="L663" i="36" s="1"/>
  <c r="M663" i="36" s="1"/>
  <c r="G663" i="35"/>
  <c r="K663" i="35" s="1"/>
  <c r="G335" i="36"/>
  <c r="G335" i="35"/>
  <c r="G902" i="36"/>
  <c r="K902" i="36" s="1"/>
  <c r="L902" i="36" s="1"/>
  <c r="M902" i="36" s="1"/>
  <c r="G902" i="35"/>
  <c r="K902" i="35" s="1"/>
  <c r="G582" i="36"/>
  <c r="K582" i="36" s="1"/>
  <c r="G582" i="35"/>
  <c r="K582" i="35" s="1"/>
  <c r="G464" i="36"/>
  <c r="G464" i="35"/>
  <c r="O961" i="36"/>
  <c r="L961" i="35"/>
  <c r="P961" i="36" s="1"/>
  <c r="J760" i="35"/>
  <c r="K816" i="35"/>
  <c r="J910" i="35"/>
  <c r="K957" i="35"/>
  <c r="J759" i="36"/>
  <c r="K815" i="36"/>
  <c r="L815" i="36" s="1"/>
  <c r="M815" i="36" s="1"/>
  <c r="J912" i="36"/>
  <c r="K959" i="36"/>
  <c r="L959" i="36" s="1"/>
  <c r="M959" i="36" s="1"/>
  <c r="J355" i="35"/>
  <c r="J374" i="35" s="1"/>
  <c r="J591" i="35"/>
  <c r="K647" i="35"/>
  <c r="J69" i="35"/>
  <c r="J88" i="35" s="1"/>
  <c r="J70" i="35"/>
  <c r="J89" i="35" s="1"/>
  <c r="J279" i="35"/>
  <c r="J302" i="35" s="1"/>
  <c r="J522" i="36"/>
  <c r="K568" i="36"/>
  <c r="L568" i="36" s="1"/>
  <c r="M568" i="36" s="1"/>
  <c r="G24" i="36"/>
  <c r="G18" i="36"/>
  <c r="J657" i="35"/>
  <c r="J595" i="35" s="1"/>
  <c r="J575" i="35"/>
  <c r="J524" i="35" s="1"/>
  <c r="J152" i="35"/>
  <c r="J661" i="35"/>
  <c r="J599" i="35" s="1"/>
  <c r="J579" i="35"/>
  <c r="J841" i="35"/>
  <c r="K888" i="35"/>
  <c r="J660" i="35"/>
  <c r="J598" i="35" s="1"/>
  <c r="J578" i="35"/>
  <c r="J527" i="35" s="1"/>
  <c r="G337" i="36"/>
  <c r="G337" i="35"/>
  <c r="G745" i="36"/>
  <c r="K745" i="36" s="1"/>
  <c r="L745" i="36" s="1"/>
  <c r="M745" i="36" s="1"/>
  <c r="G745" i="35"/>
  <c r="K745" i="35" s="1"/>
  <c r="G272" i="36"/>
  <c r="G272" i="35"/>
  <c r="J760" i="36"/>
  <c r="K816" i="36"/>
  <c r="L816" i="36" s="1"/>
  <c r="M816" i="36" s="1"/>
  <c r="J910" i="36"/>
  <c r="K957" i="36"/>
  <c r="L957" i="36" s="1"/>
  <c r="M957" i="36" s="1"/>
  <c r="J153" i="35"/>
  <c r="J591" i="36"/>
  <c r="K647" i="36"/>
  <c r="L647" i="36" s="1"/>
  <c r="M647" i="36" s="1"/>
  <c r="J69" i="36"/>
  <c r="J88" i="36" s="1"/>
  <c r="J70" i="36"/>
  <c r="J89" i="36" s="1"/>
  <c r="J279" i="36"/>
  <c r="J302" i="36" s="1"/>
  <c r="J842" i="35"/>
  <c r="K889" i="35"/>
  <c r="J152" i="36"/>
  <c r="J661" i="36"/>
  <c r="J599" i="36" s="1"/>
  <c r="J579" i="36"/>
  <c r="J841" i="36"/>
  <c r="K888" i="36"/>
  <c r="L888" i="36" s="1"/>
  <c r="M888" i="36" s="1"/>
  <c r="J660" i="36"/>
  <c r="J598" i="36" s="1"/>
  <c r="J578" i="36"/>
  <c r="J527" i="36" s="1"/>
  <c r="G832" i="36"/>
  <c r="K832" i="36" s="1"/>
  <c r="L832" i="36" s="1"/>
  <c r="M832" i="36" s="1"/>
  <c r="G832" i="35"/>
  <c r="K832" i="35" s="1"/>
  <c r="G344" i="36"/>
  <c r="G342" i="36"/>
  <c r="G344" i="35"/>
  <c r="G342" i="35"/>
  <c r="G899" i="36"/>
  <c r="K899" i="36" s="1"/>
  <c r="G899" i="35"/>
  <c r="K899" i="35" s="1"/>
  <c r="G198" i="35"/>
  <c r="G198" i="36"/>
  <c r="J153" i="36"/>
  <c r="J846" i="36"/>
  <c r="J675" i="35"/>
  <c r="K731" i="35"/>
  <c r="J846" i="35"/>
  <c r="J676" i="35"/>
  <c r="K732" i="35"/>
  <c r="O819" i="36"/>
  <c r="L819" i="35"/>
  <c r="P819" i="36" s="1"/>
  <c r="J354" i="35"/>
  <c r="J373" i="35" s="1"/>
  <c r="O570" i="36"/>
  <c r="L570" i="35"/>
  <c r="P570" i="36" s="1"/>
  <c r="J842" i="36"/>
  <c r="K889" i="36"/>
  <c r="L889" i="36" s="1"/>
  <c r="M889" i="36" s="1"/>
  <c r="O734" i="36"/>
  <c r="L734" i="35"/>
  <c r="P734" i="36" s="1"/>
  <c r="O736" i="36"/>
  <c r="L736" i="35"/>
  <c r="P736" i="36" s="1"/>
  <c r="G665" i="36"/>
  <c r="K665" i="36" s="1"/>
  <c r="L665" i="36" s="1"/>
  <c r="M665" i="36" s="1"/>
  <c r="G665" i="35"/>
  <c r="K665" i="35" s="1"/>
  <c r="J415" i="35"/>
  <c r="J434" i="35" s="1"/>
  <c r="J967" i="35"/>
  <c r="J915" i="35" s="1"/>
  <c r="J897" i="35"/>
  <c r="J845" i="35" s="1"/>
  <c r="J675" i="36"/>
  <c r="K731" i="36"/>
  <c r="L731" i="36" s="1"/>
  <c r="M731" i="36" s="1"/>
  <c r="J916" i="35"/>
  <c r="J676" i="36"/>
  <c r="K732" i="36"/>
  <c r="L732" i="36" s="1"/>
  <c r="M732" i="36" s="1"/>
  <c r="J354" i="36"/>
  <c r="J373" i="36" s="1"/>
  <c r="O737" i="36"/>
  <c r="L737" i="35"/>
  <c r="P737" i="36" s="1"/>
  <c r="O750" i="36"/>
  <c r="L750" i="35"/>
  <c r="P750" i="36" s="1"/>
  <c r="J839" i="35"/>
  <c r="K886" i="35"/>
  <c r="L903" i="35"/>
  <c r="P903" i="36" s="1"/>
  <c r="O903" i="36"/>
  <c r="J410" i="11"/>
  <c r="J129" i="11"/>
  <c r="J128" i="11"/>
  <c r="J151" i="11" s="1"/>
  <c r="J430" i="11"/>
  <c r="J207" i="11"/>
  <c r="J230" i="11" s="1"/>
  <c r="J414" i="11"/>
  <c r="J433" i="11" s="1"/>
  <c r="J72" i="11"/>
  <c r="J71" i="11"/>
  <c r="J70" i="11"/>
  <c r="J209" i="11"/>
  <c r="J232" i="11" s="1"/>
  <c r="J206" i="11"/>
  <c r="J229" i="11" s="1"/>
  <c r="J132" i="11"/>
  <c r="J279" i="11"/>
  <c r="J302" i="11" s="1"/>
  <c r="J413" i="11"/>
  <c r="J432" i="11" s="1"/>
  <c r="J208" i="11"/>
  <c r="J231" i="11" s="1"/>
  <c r="L736" i="11"/>
  <c r="M736" i="11" s="1"/>
  <c r="G191" i="11"/>
  <c r="G664" i="11"/>
  <c r="G116" i="11"/>
  <c r="G829" i="11"/>
  <c r="G745" i="11"/>
  <c r="L655" i="11"/>
  <c r="M655" i="11" s="1"/>
  <c r="G581" i="11"/>
  <c r="G198" i="11"/>
  <c r="J416" i="11"/>
  <c r="J226" i="11"/>
  <c r="N130" i="10"/>
  <c r="G190" i="11"/>
  <c r="G263" i="11"/>
  <c r="G971" i="11"/>
  <c r="G271" i="11"/>
  <c r="G269" i="11"/>
  <c r="J368" i="11"/>
  <c r="J431" i="11"/>
  <c r="J225" i="11"/>
  <c r="G663" i="11"/>
  <c r="G118" i="11"/>
  <c r="J826" i="11"/>
  <c r="J764" i="11" s="1"/>
  <c r="J741" i="11"/>
  <c r="J679" i="11" s="1"/>
  <c r="L571" i="11"/>
  <c r="M571" i="11" s="1"/>
  <c r="J69" i="11"/>
  <c r="G580" i="11"/>
  <c r="L653" i="11"/>
  <c r="M653" i="11" s="1"/>
  <c r="G969" i="11"/>
  <c r="J909" i="11"/>
  <c r="K956" i="11"/>
  <c r="G424" i="11"/>
  <c r="L891" i="11"/>
  <c r="M891" i="11" s="1"/>
  <c r="J658" i="11"/>
  <c r="J596" i="11" s="1"/>
  <c r="J576" i="11"/>
  <c r="J525" i="11" s="1"/>
  <c r="J299" i="11"/>
  <c r="J825" i="11"/>
  <c r="J763" i="11" s="1"/>
  <c r="G195" i="11"/>
  <c r="G197" i="11"/>
  <c r="G272" i="11"/>
  <c r="L820" i="11"/>
  <c r="M820" i="11" s="1"/>
  <c r="J153" i="11"/>
  <c r="K650" i="11"/>
  <c r="J594" i="11"/>
  <c r="J297" i="11"/>
  <c r="M130" i="10"/>
  <c r="G117" i="11"/>
  <c r="L890" i="11"/>
  <c r="M890" i="11" s="1"/>
  <c r="K812" i="11"/>
  <c r="J756" i="11"/>
  <c r="J135" i="11"/>
  <c r="J981" i="11" s="1"/>
  <c r="K889" i="11"/>
  <c r="J842" i="11"/>
  <c r="J369" i="11"/>
  <c r="L819" i="11"/>
  <c r="M819" i="11" s="1"/>
  <c r="J283" i="11"/>
  <c r="L960" i="11"/>
  <c r="M960" i="11" s="1"/>
  <c r="J896" i="11"/>
  <c r="J844" i="11" s="1"/>
  <c r="J966" i="11"/>
  <c r="J914" i="11" s="1"/>
  <c r="J85" i="11"/>
  <c r="K731" i="11"/>
  <c r="J675" i="11"/>
  <c r="G970" i="11"/>
  <c r="K887" i="11"/>
  <c r="J840" i="11"/>
  <c r="K567" i="11"/>
  <c r="J521" i="11"/>
  <c r="G115" i="11"/>
  <c r="J743" i="11"/>
  <c r="J681" i="11" s="1"/>
  <c r="J824" i="11"/>
  <c r="J762" i="11" s="1"/>
  <c r="G900" i="11"/>
  <c r="J897" i="11"/>
  <c r="J845" i="11" s="1"/>
  <c r="J967" i="11"/>
  <c r="J915" i="11" s="1"/>
  <c r="J280" i="11"/>
  <c r="J823" i="11"/>
  <c r="J761" i="11" s="1"/>
  <c r="G582" i="11"/>
  <c r="J282" i="11"/>
  <c r="J839" i="11"/>
  <c r="K886" i="11"/>
  <c r="G468" i="11"/>
  <c r="L572" i="11"/>
  <c r="M572" i="11" s="1"/>
  <c r="L817" i="11"/>
  <c r="M817" i="11" s="1"/>
  <c r="K888" i="11"/>
  <c r="J841" i="11"/>
  <c r="J154" i="11"/>
  <c r="J150" i="11"/>
  <c r="L893" i="11"/>
  <c r="M893" i="11" s="1"/>
  <c r="J593" i="11"/>
  <c r="K649" i="11"/>
  <c r="J759" i="11"/>
  <c r="K815" i="11"/>
  <c r="K566" i="11"/>
  <c r="J520" i="11"/>
  <c r="G748" i="11"/>
  <c r="J742" i="11"/>
  <c r="J680" i="11" s="1"/>
  <c r="J677" i="11"/>
  <c r="K733" i="11"/>
  <c r="J133" i="11"/>
  <c r="G121" i="11"/>
  <c r="G123" i="11"/>
  <c r="G832" i="11"/>
  <c r="J136" i="11"/>
  <c r="J367" i="11"/>
  <c r="G902" i="11"/>
  <c r="G972" i="11"/>
  <c r="G124" i="11"/>
  <c r="J740" i="11"/>
  <c r="J678" i="11" s="1"/>
  <c r="J224" i="11"/>
  <c r="J578" i="11"/>
  <c r="J527" i="11" s="1"/>
  <c r="J660" i="11"/>
  <c r="J598" i="11" s="1"/>
  <c r="G399" i="11"/>
  <c r="J353" i="11"/>
  <c r="J355" i="11"/>
  <c r="J760" i="11"/>
  <c r="K816" i="11"/>
  <c r="G464" i="11"/>
  <c r="L962" i="11"/>
  <c r="M962" i="11" s="1"/>
  <c r="L963" i="11"/>
  <c r="M963" i="11" s="1"/>
  <c r="J352" i="11"/>
  <c r="L961" i="11"/>
  <c r="M961" i="11" s="1"/>
  <c r="J591" i="11"/>
  <c r="K647" i="11"/>
  <c r="G336" i="11"/>
  <c r="G828" i="11"/>
  <c r="J676" i="11"/>
  <c r="K732" i="11"/>
  <c r="L818" i="11"/>
  <c r="M818" i="11" s="1"/>
  <c r="J661" i="11"/>
  <c r="J599" i="11" s="1"/>
  <c r="J579" i="11"/>
  <c r="G401" i="11"/>
  <c r="J298" i="11"/>
  <c r="G344" i="11"/>
  <c r="G342" i="11"/>
  <c r="K729" i="11"/>
  <c r="J673" i="11"/>
  <c r="G423" i="11"/>
  <c r="G583" i="11"/>
  <c r="J223" i="11"/>
  <c r="G192" i="11"/>
  <c r="G665" i="11"/>
  <c r="G262" i="11"/>
  <c r="J354" i="11"/>
  <c r="K814" i="11"/>
  <c r="J758" i="11"/>
  <c r="G338" i="11"/>
  <c r="G831" i="11"/>
  <c r="G746" i="11"/>
  <c r="J744" i="11"/>
  <c r="J682" i="11" s="1"/>
  <c r="G407" i="11"/>
  <c r="L570" i="11"/>
  <c r="M570" i="11" s="1"/>
  <c r="Q130" i="10"/>
  <c r="G400" i="11"/>
  <c r="L573" i="11"/>
  <c r="M573" i="11" s="1"/>
  <c r="O130" i="10"/>
  <c r="G264" i="11"/>
  <c r="G24" i="11"/>
  <c r="G18" i="11"/>
  <c r="J590" i="11"/>
  <c r="K646" i="11"/>
  <c r="K957" i="11"/>
  <c r="J910" i="11"/>
  <c r="J895" i="11"/>
  <c r="J843" i="11" s="1"/>
  <c r="J965" i="11"/>
  <c r="J913" i="11" s="1"/>
  <c r="J300" i="11"/>
  <c r="G398" i="11"/>
  <c r="L821" i="11"/>
  <c r="M821" i="11" s="1"/>
  <c r="J577" i="11"/>
  <c r="J526" i="11" s="1"/>
  <c r="J659" i="11"/>
  <c r="J597" i="11" s="1"/>
  <c r="G425" i="11"/>
  <c r="J912" i="11"/>
  <c r="K959" i="11"/>
  <c r="J674" i="11"/>
  <c r="K730" i="11"/>
  <c r="G662" i="11"/>
  <c r="G830" i="11"/>
  <c r="J370" i="11"/>
  <c r="J428" i="11"/>
  <c r="J657" i="11"/>
  <c r="J595" i="11" s="1"/>
  <c r="J575" i="11"/>
  <c r="J524" i="11" s="1"/>
  <c r="G266" i="11"/>
  <c r="G666" i="11"/>
  <c r="L652" i="11"/>
  <c r="M652" i="11" s="1"/>
  <c r="G335" i="11"/>
  <c r="J827" i="11"/>
  <c r="J765" i="11" s="1"/>
  <c r="J916" i="11"/>
  <c r="K813" i="11"/>
  <c r="J757" i="11"/>
  <c r="L651" i="11"/>
  <c r="M651" i="11" s="1"/>
  <c r="L892" i="11"/>
  <c r="M892" i="11" s="1"/>
  <c r="J415" i="11"/>
  <c r="L734" i="11"/>
  <c r="M734" i="11" s="1"/>
  <c r="J301" i="11"/>
  <c r="J281" i="11"/>
  <c r="G406" i="11"/>
  <c r="G404" i="11"/>
  <c r="G189" i="11"/>
  <c r="K958" i="11"/>
  <c r="J911" i="11"/>
  <c r="G339" i="11"/>
  <c r="J86" i="11"/>
  <c r="G749" i="11"/>
  <c r="G899" i="11"/>
  <c r="L737" i="11"/>
  <c r="M737" i="11" s="1"/>
  <c r="G265" i="11"/>
  <c r="G345" i="11"/>
  <c r="K568" i="11"/>
  <c r="J522" i="11"/>
  <c r="J87" i="11"/>
  <c r="P130" i="10"/>
  <c r="G337" i="11"/>
  <c r="G747" i="11"/>
  <c r="J846" i="11"/>
  <c r="J84" i="11"/>
  <c r="J592" i="11"/>
  <c r="K648" i="11"/>
  <c r="G901" i="11"/>
  <c r="L738" i="11"/>
  <c r="M738" i="11" s="1"/>
  <c r="L735" i="11"/>
  <c r="M735" i="11" s="1"/>
  <c r="G426" i="11"/>
  <c r="J205" i="11"/>
  <c r="J227" i="11"/>
  <c r="J523" i="11"/>
  <c r="K569" i="11"/>
  <c r="J134" i="11"/>
  <c r="G188" i="11"/>
  <c r="J981" i="36" l="1"/>
  <c r="J993" i="36" s="1"/>
  <c r="J775" i="36"/>
  <c r="J936" i="36"/>
  <c r="J703" i="35"/>
  <c r="J714" i="35"/>
  <c r="J786" i="36"/>
  <c r="J981" i="35"/>
  <c r="J997" i="35" s="1"/>
  <c r="J705" i="35"/>
  <c r="J980" i="35"/>
  <c r="J984" i="35" s="1"/>
  <c r="J691" i="36"/>
  <c r="J713" i="36"/>
  <c r="J694" i="35"/>
  <c r="J980" i="36"/>
  <c r="J988" i="36" s="1"/>
  <c r="M893" i="35"/>
  <c r="Q893" i="36" s="1"/>
  <c r="J715" i="36"/>
  <c r="J927" i="36"/>
  <c r="J701" i="35"/>
  <c r="J712" i="35"/>
  <c r="J693" i="36"/>
  <c r="M821" i="35"/>
  <c r="Q821" i="36" s="1"/>
  <c r="J715" i="35"/>
  <c r="M961" i="35"/>
  <c r="Q961" i="36" s="1"/>
  <c r="M734" i="35"/>
  <c r="Q734" i="36" s="1"/>
  <c r="J798" i="36"/>
  <c r="J704" i="35"/>
  <c r="M750" i="35"/>
  <c r="Q750" i="36" s="1"/>
  <c r="J691" i="35"/>
  <c r="J702" i="35"/>
  <c r="M570" i="35"/>
  <c r="Q570" i="36" s="1"/>
  <c r="J776" i="36"/>
  <c r="M735" i="35"/>
  <c r="Q735" i="36" s="1"/>
  <c r="M891" i="35"/>
  <c r="Q891" i="36" s="1"/>
  <c r="M818" i="35"/>
  <c r="Q818" i="36" s="1"/>
  <c r="M653" i="35"/>
  <c r="Q653" i="36" s="1"/>
  <c r="M833" i="35"/>
  <c r="Q833" i="36" s="1"/>
  <c r="M572" i="35"/>
  <c r="Q572" i="36" s="1"/>
  <c r="J714" i="36"/>
  <c r="J705" i="36"/>
  <c r="J716" i="36"/>
  <c r="G414" i="36"/>
  <c r="G433" i="36" s="1"/>
  <c r="J690" i="36"/>
  <c r="J701" i="36"/>
  <c r="J692" i="36"/>
  <c r="M738" i="35"/>
  <c r="Q738" i="36" s="1"/>
  <c r="M892" i="35"/>
  <c r="Q892" i="36" s="1"/>
  <c r="M817" i="35"/>
  <c r="Q817" i="36" s="1"/>
  <c r="M903" i="35"/>
  <c r="Q903" i="36" s="1"/>
  <c r="M890" i="35"/>
  <c r="Q890" i="36" s="1"/>
  <c r="M667" i="35"/>
  <c r="Q667" i="36" s="1"/>
  <c r="M573" i="35"/>
  <c r="Q573" i="36" s="1"/>
  <c r="M571" i="35"/>
  <c r="Q571" i="36" s="1"/>
  <c r="O886" i="36"/>
  <c r="L886" i="35"/>
  <c r="P886" i="36" s="1"/>
  <c r="M736" i="35"/>
  <c r="Q736" i="36" s="1"/>
  <c r="M819" i="35"/>
  <c r="Q819" i="36" s="1"/>
  <c r="J610" i="36"/>
  <c r="J638" i="36"/>
  <c r="J632" i="36"/>
  <c r="J621" i="36"/>
  <c r="J629" i="35"/>
  <c r="J618" i="35"/>
  <c r="J607" i="35"/>
  <c r="J635" i="35"/>
  <c r="O816" i="36"/>
  <c r="L816" i="35"/>
  <c r="P816" i="36" s="1"/>
  <c r="G291" i="36"/>
  <c r="J543" i="36"/>
  <c r="J534" i="36"/>
  <c r="J552" i="36"/>
  <c r="O959" i="36"/>
  <c r="L959" i="35"/>
  <c r="P959" i="36" s="1"/>
  <c r="G295" i="36"/>
  <c r="M584" i="35"/>
  <c r="Q584" i="36" s="1"/>
  <c r="G294" i="36"/>
  <c r="M652" i="35"/>
  <c r="Q652" i="36" s="1"/>
  <c r="G81" i="35"/>
  <c r="L831" i="35"/>
  <c r="P831" i="36" s="1"/>
  <c r="O831" i="36"/>
  <c r="J785" i="36"/>
  <c r="J774" i="36"/>
  <c r="J796" i="36"/>
  <c r="O971" i="36"/>
  <c r="L971" i="35"/>
  <c r="P971" i="36" s="1"/>
  <c r="O887" i="36"/>
  <c r="L887" i="35"/>
  <c r="P887" i="36" s="1"/>
  <c r="O646" i="36"/>
  <c r="L646" i="35"/>
  <c r="P646" i="36" s="1"/>
  <c r="J934" i="35"/>
  <c r="J943" i="35"/>
  <c r="J925" i="35"/>
  <c r="J876" i="35"/>
  <c r="K876" i="35" s="1"/>
  <c r="J858" i="35"/>
  <c r="K858" i="35" s="1"/>
  <c r="J849" i="35"/>
  <c r="K849" i="35" s="1"/>
  <c r="J867" i="35"/>
  <c r="K867" i="35" s="1"/>
  <c r="K839" i="35"/>
  <c r="G293" i="35"/>
  <c r="J805" i="35"/>
  <c r="K805" i="35" s="1"/>
  <c r="J794" i="35"/>
  <c r="K794" i="35" s="1"/>
  <c r="J783" i="35"/>
  <c r="K783" i="35" s="1"/>
  <c r="J772" i="35"/>
  <c r="K772" i="35" s="1"/>
  <c r="K760" i="35"/>
  <c r="O663" i="36"/>
  <c r="L663" i="35"/>
  <c r="P663" i="36" s="1"/>
  <c r="J635" i="36"/>
  <c r="J607" i="36"/>
  <c r="J618" i="36"/>
  <c r="J629" i="36"/>
  <c r="J950" i="35"/>
  <c r="K950" i="35" s="1"/>
  <c r="J941" i="35"/>
  <c r="K941" i="35" s="1"/>
  <c r="J932" i="35"/>
  <c r="K932" i="35" s="1"/>
  <c r="J923" i="35"/>
  <c r="K923" i="35" s="1"/>
  <c r="K912" i="35"/>
  <c r="G79" i="35"/>
  <c r="J780" i="36"/>
  <c r="K780" i="36" s="1"/>
  <c r="L780" i="36" s="1"/>
  <c r="M780" i="36" s="1"/>
  <c r="J802" i="36"/>
  <c r="K802" i="36" s="1"/>
  <c r="L802" i="36" s="1"/>
  <c r="M802" i="36" s="1"/>
  <c r="N802" i="36" s="1"/>
  <c r="J791" i="36"/>
  <c r="K791" i="36" s="1"/>
  <c r="L791" i="36" s="1"/>
  <c r="M791" i="36" s="1"/>
  <c r="J769" i="36"/>
  <c r="K769" i="36" s="1"/>
  <c r="L769" i="36" s="1"/>
  <c r="M769" i="36" s="1"/>
  <c r="K757" i="36"/>
  <c r="L757" i="36" s="1"/>
  <c r="M757" i="36" s="1"/>
  <c r="G81" i="36"/>
  <c r="O733" i="36"/>
  <c r="L733" i="35"/>
  <c r="P733" i="36" s="1"/>
  <c r="J929" i="36"/>
  <c r="K929" i="36" s="1"/>
  <c r="L929" i="36" s="1"/>
  <c r="M929" i="36" s="1"/>
  <c r="J938" i="36"/>
  <c r="K938" i="36" s="1"/>
  <c r="L938" i="36" s="1"/>
  <c r="M938" i="36" s="1"/>
  <c r="J920" i="36"/>
  <c r="K920" i="36" s="1"/>
  <c r="L920" i="36" s="1"/>
  <c r="M920" i="36" s="1"/>
  <c r="J947" i="36"/>
  <c r="K947" i="36" s="1"/>
  <c r="L947" i="36" s="1"/>
  <c r="M947" i="36" s="1"/>
  <c r="N947" i="36" s="1"/>
  <c r="K909" i="36"/>
  <c r="L909" i="36" s="1"/>
  <c r="M909" i="36" s="1"/>
  <c r="J924" i="35"/>
  <c r="J933" i="35"/>
  <c r="J942" i="35"/>
  <c r="J628" i="36"/>
  <c r="K628" i="36" s="1"/>
  <c r="L628" i="36" s="1"/>
  <c r="M628" i="36" s="1"/>
  <c r="J617" i="36"/>
  <c r="K617" i="36" s="1"/>
  <c r="L617" i="36" s="1"/>
  <c r="M617" i="36" s="1"/>
  <c r="J606" i="36"/>
  <c r="K606" i="36" s="1"/>
  <c r="L606" i="36" s="1"/>
  <c r="M606" i="36" s="1"/>
  <c r="K594" i="36"/>
  <c r="L594" i="36" s="1"/>
  <c r="M594" i="36" s="1"/>
  <c r="J707" i="36"/>
  <c r="K707" i="36" s="1"/>
  <c r="L707" i="36" s="1"/>
  <c r="M707" i="36" s="1"/>
  <c r="J718" i="36"/>
  <c r="K718" i="36" s="1"/>
  <c r="L718" i="36" s="1"/>
  <c r="M718" i="36" s="1"/>
  <c r="N718" i="36" s="1"/>
  <c r="J685" i="36"/>
  <c r="K685" i="36" s="1"/>
  <c r="L685" i="36" s="1"/>
  <c r="M685" i="36" s="1"/>
  <c r="J696" i="36"/>
  <c r="K696" i="36" s="1"/>
  <c r="L696" i="36" s="1"/>
  <c r="M696" i="36" s="1"/>
  <c r="K673" i="36"/>
  <c r="L673" i="36" s="1"/>
  <c r="M673" i="36" s="1"/>
  <c r="J859" i="35"/>
  <c r="K859" i="35" s="1"/>
  <c r="J868" i="35"/>
  <c r="K868" i="35" s="1"/>
  <c r="J850" i="35"/>
  <c r="K850" i="35" s="1"/>
  <c r="J877" i="35"/>
  <c r="K877" i="35" s="1"/>
  <c r="K840" i="35"/>
  <c r="J613" i="35"/>
  <c r="K613" i="35" s="1"/>
  <c r="J624" i="35"/>
  <c r="K624" i="35" s="1"/>
  <c r="J602" i="35"/>
  <c r="K602" i="35" s="1"/>
  <c r="K590" i="35"/>
  <c r="J799" i="35"/>
  <c r="J788" i="35"/>
  <c r="J777" i="35"/>
  <c r="J709" i="36"/>
  <c r="K709" i="36" s="1"/>
  <c r="L709" i="36" s="1"/>
  <c r="M709" i="36" s="1"/>
  <c r="J698" i="36"/>
  <c r="K698" i="36" s="1"/>
  <c r="L698" i="36" s="1"/>
  <c r="M698" i="36" s="1"/>
  <c r="J720" i="36"/>
  <c r="K720" i="36" s="1"/>
  <c r="L720" i="36" s="1"/>
  <c r="M720" i="36" s="1"/>
  <c r="N720" i="36" s="1"/>
  <c r="J687" i="36"/>
  <c r="K687" i="36" s="1"/>
  <c r="L687" i="36" s="1"/>
  <c r="M687" i="36" s="1"/>
  <c r="K675" i="36"/>
  <c r="L675" i="36" s="1"/>
  <c r="M675" i="36" s="1"/>
  <c r="J878" i="36"/>
  <c r="K878" i="36" s="1"/>
  <c r="L878" i="36" s="1"/>
  <c r="M878" i="36" s="1"/>
  <c r="N878" i="36" s="1"/>
  <c r="J860" i="36"/>
  <c r="K860" i="36" s="1"/>
  <c r="L860" i="36" s="1"/>
  <c r="M860" i="36" s="1"/>
  <c r="J869" i="36"/>
  <c r="K869" i="36" s="1"/>
  <c r="L869" i="36" s="1"/>
  <c r="M869" i="36" s="1"/>
  <c r="J851" i="36"/>
  <c r="K851" i="36" s="1"/>
  <c r="L851" i="36" s="1"/>
  <c r="M851" i="36" s="1"/>
  <c r="K841" i="36"/>
  <c r="L841" i="36" s="1"/>
  <c r="M841" i="36" s="1"/>
  <c r="J625" i="36"/>
  <c r="K625" i="36" s="1"/>
  <c r="L625" i="36" s="1"/>
  <c r="M625" i="36" s="1"/>
  <c r="J603" i="36"/>
  <c r="K603" i="36" s="1"/>
  <c r="L603" i="36" s="1"/>
  <c r="M603" i="36" s="1"/>
  <c r="J614" i="36"/>
  <c r="K614" i="36" s="1"/>
  <c r="L614" i="36" s="1"/>
  <c r="M614" i="36" s="1"/>
  <c r="K591" i="36"/>
  <c r="L591" i="36" s="1"/>
  <c r="M591" i="36" s="1"/>
  <c r="G293" i="36"/>
  <c r="O815" i="36"/>
  <c r="L815" i="35"/>
  <c r="P815" i="36" s="1"/>
  <c r="G79" i="36"/>
  <c r="O972" i="36"/>
  <c r="L972" i="35"/>
  <c r="P972" i="36" s="1"/>
  <c r="G218" i="35"/>
  <c r="J722" i="35"/>
  <c r="K722" i="35" s="1"/>
  <c r="J689" i="35"/>
  <c r="K689" i="35" s="1"/>
  <c r="J711" i="35"/>
  <c r="K711" i="35" s="1"/>
  <c r="J700" i="35"/>
  <c r="K700" i="35" s="1"/>
  <c r="K677" i="35"/>
  <c r="L958" i="36"/>
  <c r="M958" i="36" s="1"/>
  <c r="J774" i="35"/>
  <c r="J785" i="35"/>
  <c r="J796" i="35"/>
  <c r="J862" i="35"/>
  <c r="J853" i="35"/>
  <c r="J871" i="35"/>
  <c r="O649" i="36"/>
  <c r="L649" i="35"/>
  <c r="P649" i="36" s="1"/>
  <c r="J872" i="36"/>
  <c r="J863" i="36"/>
  <c r="J854" i="36"/>
  <c r="O666" i="36"/>
  <c r="L666" i="35"/>
  <c r="P666" i="36" s="1"/>
  <c r="O567" i="36"/>
  <c r="L567" i="35"/>
  <c r="P567" i="36" s="1"/>
  <c r="G403" i="36"/>
  <c r="G353" i="36" s="1"/>
  <c r="G403" i="35"/>
  <c r="G354" i="35" s="1"/>
  <c r="O732" i="36"/>
  <c r="L732" i="35"/>
  <c r="P732" i="36" s="1"/>
  <c r="O899" i="36"/>
  <c r="L899" i="35"/>
  <c r="P899" i="36" s="1"/>
  <c r="J989" i="35"/>
  <c r="J546" i="35"/>
  <c r="J537" i="35"/>
  <c r="J555" i="35"/>
  <c r="O647" i="36"/>
  <c r="L647" i="35"/>
  <c r="P647" i="36" s="1"/>
  <c r="O664" i="36"/>
  <c r="L664" i="35"/>
  <c r="P664" i="36" s="1"/>
  <c r="O568" i="36"/>
  <c r="L568" i="35"/>
  <c r="P568" i="36" s="1"/>
  <c r="J804" i="35"/>
  <c r="K804" i="35" s="1"/>
  <c r="J793" i="35"/>
  <c r="K793" i="35" s="1"/>
  <c r="J771" i="35"/>
  <c r="K771" i="35" s="1"/>
  <c r="J782" i="35"/>
  <c r="K782" i="35" s="1"/>
  <c r="K759" i="35"/>
  <c r="J530" i="36"/>
  <c r="K530" i="36" s="1"/>
  <c r="J557" i="36"/>
  <c r="K557" i="36" s="1"/>
  <c r="L557" i="36" s="1"/>
  <c r="M557" i="36" s="1"/>
  <c r="N557" i="36" s="1"/>
  <c r="J548" i="36"/>
  <c r="K548" i="36" s="1"/>
  <c r="L548" i="36" s="1"/>
  <c r="M548" i="36" s="1"/>
  <c r="J539" i="36"/>
  <c r="K539" i="36" s="1"/>
  <c r="L539" i="36" s="1"/>
  <c r="M539" i="36" s="1"/>
  <c r="K520" i="36"/>
  <c r="L520" i="36" s="1"/>
  <c r="M520" i="36" s="1"/>
  <c r="O566" i="36"/>
  <c r="L566" i="35"/>
  <c r="P566" i="36" s="1"/>
  <c r="O730" i="36"/>
  <c r="L730" i="35"/>
  <c r="P730" i="36" s="1"/>
  <c r="G218" i="36"/>
  <c r="J922" i="36"/>
  <c r="K922" i="36" s="1"/>
  <c r="L922" i="36" s="1"/>
  <c r="M922" i="36" s="1"/>
  <c r="J940" i="36"/>
  <c r="K940" i="36" s="1"/>
  <c r="L940" i="36" s="1"/>
  <c r="M940" i="36" s="1"/>
  <c r="J949" i="36"/>
  <c r="K949" i="36" s="1"/>
  <c r="L949" i="36" s="1"/>
  <c r="M949" i="36" s="1"/>
  <c r="N949" i="36" s="1"/>
  <c r="J931" i="36"/>
  <c r="K931" i="36" s="1"/>
  <c r="L931" i="36" s="1"/>
  <c r="M931" i="36" s="1"/>
  <c r="K911" i="36"/>
  <c r="L911" i="36" s="1"/>
  <c r="M911" i="36" s="1"/>
  <c r="J605" i="36"/>
  <c r="K605" i="36" s="1"/>
  <c r="L605" i="36" s="1"/>
  <c r="M605" i="36" s="1"/>
  <c r="J616" i="36"/>
  <c r="K616" i="36" s="1"/>
  <c r="L616" i="36" s="1"/>
  <c r="M616" i="36" s="1"/>
  <c r="J627" i="36"/>
  <c r="K627" i="36" s="1"/>
  <c r="L627" i="36" s="1"/>
  <c r="M627" i="36" s="1"/>
  <c r="K593" i="36"/>
  <c r="L593" i="36" s="1"/>
  <c r="M593" i="36" s="1"/>
  <c r="O814" i="36"/>
  <c r="L814" i="35"/>
  <c r="P814" i="36" s="1"/>
  <c r="J616" i="35"/>
  <c r="K616" i="35" s="1"/>
  <c r="J627" i="35"/>
  <c r="K627" i="35" s="1"/>
  <c r="J605" i="35"/>
  <c r="K605" i="35" s="1"/>
  <c r="K593" i="35"/>
  <c r="J943" i="36"/>
  <c r="J934" i="36"/>
  <c r="J925" i="36"/>
  <c r="J540" i="35"/>
  <c r="K540" i="35" s="1"/>
  <c r="J549" i="35"/>
  <c r="K549" i="35" s="1"/>
  <c r="J558" i="35"/>
  <c r="K558" i="35" s="1"/>
  <c r="J531" i="35"/>
  <c r="K531" i="35" s="1"/>
  <c r="K521" i="35"/>
  <c r="J699" i="35"/>
  <c r="K699" i="35" s="1"/>
  <c r="J721" i="35"/>
  <c r="K721" i="35" s="1"/>
  <c r="J710" i="35"/>
  <c r="K710" i="35" s="1"/>
  <c r="J688" i="35"/>
  <c r="K688" i="35" s="1"/>
  <c r="K676" i="35"/>
  <c r="L899" i="36"/>
  <c r="M899" i="36" s="1"/>
  <c r="J633" i="36"/>
  <c r="J611" i="36"/>
  <c r="J622" i="36"/>
  <c r="J639" i="36"/>
  <c r="J610" i="35"/>
  <c r="J621" i="35"/>
  <c r="J638" i="35"/>
  <c r="J632" i="35"/>
  <c r="J614" i="35"/>
  <c r="K614" i="35" s="1"/>
  <c r="J603" i="35"/>
  <c r="K603" i="35" s="1"/>
  <c r="J625" i="35"/>
  <c r="K625" i="35" s="1"/>
  <c r="K591" i="35"/>
  <c r="J541" i="35"/>
  <c r="K541" i="35" s="1"/>
  <c r="J550" i="35"/>
  <c r="K550" i="35" s="1"/>
  <c r="J532" i="35"/>
  <c r="K532" i="35" s="1"/>
  <c r="J559" i="35"/>
  <c r="K559" i="35" s="1"/>
  <c r="K522" i="35"/>
  <c r="J539" i="35"/>
  <c r="K539" i="35" s="1"/>
  <c r="J557" i="35"/>
  <c r="K557" i="35" s="1"/>
  <c r="J530" i="35"/>
  <c r="K530" i="35" s="1"/>
  <c r="J548" i="35"/>
  <c r="K548" i="35" s="1"/>
  <c r="K520" i="35"/>
  <c r="J708" i="35"/>
  <c r="K708" i="35" s="1"/>
  <c r="J686" i="35"/>
  <c r="K686" i="35" s="1"/>
  <c r="J697" i="35"/>
  <c r="K697" i="35" s="1"/>
  <c r="J719" i="35"/>
  <c r="K719" i="35" s="1"/>
  <c r="K674" i="35"/>
  <c r="O583" i="36"/>
  <c r="L583" i="35"/>
  <c r="P583" i="36" s="1"/>
  <c r="G219" i="35"/>
  <c r="J609" i="35"/>
  <c r="J620" i="35"/>
  <c r="J637" i="35"/>
  <c r="J631" i="35"/>
  <c r="G82" i="35"/>
  <c r="G147" i="35"/>
  <c r="J792" i="35"/>
  <c r="K792" i="35" s="1"/>
  <c r="J803" i="35"/>
  <c r="K803" i="35" s="1"/>
  <c r="J781" i="35"/>
  <c r="K781" i="35" s="1"/>
  <c r="J770" i="35"/>
  <c r="K770" i="35" s="1"/>
  <c r="K758" i="35"/>
  <c r="G144" i="35"/>
  <c r="O956" i="36"/>
  <c r="L956" i="35"/>
  <c r="P956" i="36" s="1"/>
  <c r="J788" i="36"/>
  <c r="J777" i="36"/>
  <c r="J799" i="36"/>
  <c r="L650" i="35"/>
  <c r="P650" i="36" s="1"/>
  <c r="O650" i="36"/>
  <c r="G217" i="35"/>
  <c r="O901" i="36"/>
  <c r="L901" i="35"/>
  <c r="P901" i="36" s="1"/>
  <c r="G120" i="36"/>
  <c r="G70" i="36" s="1"/>
  <c r="G120" i="35"/>
  <c r="G69" i="35" s="1"/>
  <c r="M737" i="35"/>
  <c r="Q737" i="36" s="1"/>
  <c r="J874" i="35"/>
  <c r="J856" i="35"/>
  <c r="J865" i="35"/>
  <c r="O888" i="36"/>
  <c r="L888" i="35"/>
  <c r="P888" i="36" s="1"/>
  <c r="M973" i="35"/>
  <c r="Q973" i="36" s="1"/>
  <c r="O580" i="36"/>
  <c r="L580" i="35"/>
  <c r="P580" i="36" s="1"/>
  <c r="J784" i="35"/>
  <c r="J795" i="35"/>
  <c r="J773" i="35"/>
  <c r="G362" i="35"/>
  <c r="G219" i="36"/>
  <c r="L958" i="35"/>
  <c r="P958" i="36" s="1"/>
  <c r="O958" i="36"/>
  <c r="J545" i="35"/>
  <c r="J554" i="35"/>
  <c r="J536" i="35"/>
  <c r="G82" i="36"/>
  <c r="G416" i="35"/>
  <c r="G147" i="36"/>
  <c r="M960" i="35"/>
  <c r="Q960" i="36" s="1"/>
  <c r="M962" i="35"/>
  <c r="Q962" i="36" s="1"/>
  <c r="G144" i="36"/>
  <c r="J938" i="35"/>
  <c r="K938" i="35" s="1"/>
  <c r="J929" i="35"/>
  <c r="K929" i="35" s="1"/>
  <c r="J920" i="35"/>
  <c r="K920" i="35" s="1"/>
  <c r="J947" i="35"/>
  <c r="K947" i="35" s="1"/>
  <c r="K909" i="35"/>
  <c r="J617" i="35"/>
  <c r="K617" i="35" s="1"/>
  <c r="J606" i="35"/>
  <c r="K606" i="35" s="1"/>
  <c r="J628" i="35"/>
  <c r="K628" i="35" s="1"/>
  <c r="K594" i="35"/>
  <c r="G217" i="36"/>
  <c r="G268" i="36"/>
  <c r="G207" i="36" s="1"/>
  <c r="G268" i="35"/>
  <c r="G205" i="35" s="1"/>
  <c r="J855" i="35"/>
  <c r="J873" i="35"/>
  <c r="J864" i="35"/>
  <c r="J939" i="36"/>
  <c r="K939" i="36" s="1"/>
  <c r="L939" i="36" s="1"/>
  <c r="M939" i="36" s="1"/>
  <c r="J921" i="36"/>
  <c r="K921" i="36" s="1"/>
  <c r="L921" i="36" s="1"/>
  <c r="M921" i="36" s="1"/>
  <c r="J930" i="36"/>
  <c r="K930" i="36" s="1"/>
  <c r="L930" i="36" s="1"/>
  <c r="M930" i="36" s="1"/>
  <c r="J948" i="36"/>
  <c r="K948" i="36" s="1"/>
  <c r="L948" i="36" s="1"/>
  <c r="M948" i="36" s="1"/>
  <c r="N948" i="36" s="1"/>
  <c r="K910" i="36"/>
  <c r="L910" i="36" s="1"/>
  <c r="M910" i="36" s="1"/>
  <c r="J869" i="35"/>
  <c r="K869" i="35" s="1"/>
  <c r="J860" i="35"/>
  <c r="K860" i="35" s="1"/>
  <c r="J851" i="35"/>
  <c r="K851" i="35" s="1"/>
  <c r="J878" i="35"/>
  <c r="K878" i="35" s="1"/>
  <c r="K841" i="35"/>
  <c r="L730" i="36"/>
  <c r="M730" i="36" s="1"/>
  <c r="G362" i="36"/>
  <c r="J554" i="36"/>
  <c r="J545" i="36"/>
  <c r="J536" i="36"/>
  <c r="O749" i="36"/>
  <c r="L749" i="35"/>
  <c r="P749" i="36" s="1"/>
  <c r="G415" i="35"/>
  <c r="J922" i="35"/>
  <c r="K922" i="35" s="1"/>
  <c r="J949" i="35"/>
  <c r="K949" i="35" s="1"/>
  <c r="J940" i="35"/>
  <c r="K940" i="35" s="1"/>
  <c r="J931" i="35"/>
  <c r="K931" i="35" s="1"/>
  <c r="K911" i="35"/>
  <c r="L813" i="35"/>
  <c r="P813" i="36" s="1"/>
  <c r="O813" i="36"/>
  <c r="G148" i="35"/>
  <c r="G220" i="36"/>
  <c r="J779" i="36"/>
  <c r="K779" i="36" s="1"/>
  <c r="L779" i="36" s="1"/>
  <c r="M779" i="36" s="1"/>
  <c r="J801" i="36"/>
  <c r="K801" i="36" s="1"/>
  <c r="J790" i="36"/>
  <c r="K790" i="36" s="1"/>
  <c r="L790" i="36" s="1"/>
  <c r="M790" i="36" s="1"/>
  <c r="J768" i="36"/>
  <c r="K768" i="36" s="1"/>
  <c r="L768" i="36" s="1"/>
  <c r="M768" i="36" s="1"/>
  <c r="K756" i="36"/>
  <c r="L756" i="36" s="1"/>
  <c r="M756" i="36" s="1"/>
  <c r="G363" i="35"/>
  <c r="O829" i="36"/>
  <c r="L829" i="35"/>
  <c r="P829" i="36" s="1"/>
  <c r="J944" i="35"/>
  <c r="J935" i="35"/>
  <c r="J926" i="35"/>
  <c r="J870" i="36"/>
  <c r="K870" i="36" s="1"/>
  <c r="L870" i="36" s="1"/>
  <c r="M870" i="36" s="1"/>
  <c r="J879" i="36"/>
  <c r="K879" i="36" s="1"/>
  <c r="L879" i="36" s="1"/>
  <c r="M879" i="36" s="1"/>
  <c r="N879" i="36" s="1"/>
  <c r="J861" i="36"/>
  <c r="K861" i="36" s="1"/>
  <c r="L861" i="36" s="1"/>
  <c r="M861" i="36" s="1"/>
  <c r="J852" i="36"/>
  <c r="K852" i="36" s="1"/>
  <c r="L852" i="36" s="1"/>
  <c r="M852" i="36" s="1"/>
  <c r="K842" i="36"/>
  <c r="L842" i="36" s="1"/>
  <c r="M842" i="36" s="1"/>
  <c r="O731" i="36"/>
  <c r="L731" i="35"/>
  <c r="P731" i="36" s="1"/>
  <c r="O889" i="36"/>
  <c r="L889" i="35"/>
  <c r="P889" i="36" s="1"/>
  <c r="J923" i="36"/>
  <c r="K923" i="36" s="1"/>
  <c r="L923" i="36" s="1"/>
  <c r="M923" i="36" s="1"/>
  <c r="J950" i="36"/>
  <c r="K950" i="36" s="1"/>
  <c r="L950" i="36" s="1"/>
  <c r="M950" i="36" s="1"/>
  <c r="N950" i="36" s="1"/>
  <c r="J941" i="36"/>
  <c r="K941" i="36" s="1"/>
  <c r="L941" i="36" s="1"/>
  <c r="M941" i="36" s="1"/>
  <c r="J932" i="36"/>
  <c r="K932" i="36" s="1"/>
  <c r="L932" i="36" s="1"/>
  <c r="M932" i="36" s="1"/>
  <c r="K912" i="36"/>
  <c r="L912" i="36" s="1"/>
  <c r="M912" i="36" s="1"/>
  <c r="O582" i="36"/>
  <c r="L582" i="35"/>
  <c r="P582" i="36" s="1"/>
  <c r="J630" i="36"/>
  <c r="J608" i="36"/>
  <c r="J636" i="36"/>
  <c r="J619" i="36"/>
  <c r="L900" i="35"/>
  <c r="P900" i="36" s="1"/>
  <c r="O900" i="36"/>
  <c r="J630" i="35"/>
  <c r="J608" i="35"/>
  <c r="J636" i="35"/>
  <c r="J619" i="35"/>
  <c r="J697" i="36"/>
  <c r="K697" i="36" s="1"/>
  <c r="L697" i="36" s="1"/>
  <c r="M697" i="36" s="1"/>
  <c r="J719" i="36"/>
  <c r="K719" i="36" s="1"/>
  <c r="L719" i="36" s="1"/>
  <c r="M719" i="36" s="1"/>
  <c r="N719" i="36" s="1"/>
  <c r="J708" i="36"/>
  <c r="K708" i="36" s="1"/>
  <c r="L708" i="36" s="1"/>
  <c r="M708" i="36" s="1"/>
  <c r="J686" i="36"/>
  <c r="K686" i="36" s="1"/>
  <c r="L686" i="36" s="1"/>
  <c r="M686" i="36" s="1"/>
  <c r="K674" i="36"/>
  <c r="L674" i="36" s="1"/>
  <c r="M674" i="36" s="1"/>
  <c r="L581" i="35"/>
  <c r="P581" i="36" s="1"/>
  <c r="O581" i="36"/>
  <c r="G221" i="35"/>
  <c r="L733" i="36"/>
  <c r="M733" i="36" s="1"/>
  <c r="J609" i="36"/>
  <c r="J637" i="36"/>
  <c r="J620" i="36"/>
  <c r="J631" i="36"/>
  <c r="J802" i="35"/>
  <c r="K802" i="35" s="1"/>
  <c r="J769" i="35"/>
  <c r="K769" i="35" s="1"/>
  <c r="J791" i="35"/>
  <c r="K791" i="35" s="1"/>
  <c r="J780" i="35"/>
  <c r="K780" i="35" s="1"/>
  <c r="K757" i="35"/>
  <c r="G148" i="36"/>
  <c r="G220" i="35"/>
  <c r="J924" i="36"/>
  <c r="J933" i="36"/>
  <c r="J942" i="36"/>
  <c r="G363" i="36"/>
  <c r="O812" i="36"/>
  <c r="L812" i="35"/>
  <c r="P812" i="36" s="1"/>
  <c r="J613" i="36"/>
  <c r="K613" i="36" s="1"/>
  <c r="L613" i="36" s="1"/>
  <c r="M613" i="36" s="1"/>
  <c r="J624" i="36"/>
  <c r="K624" i="36" s="1"/>
  <c r="L624" i="36" s="1"/>
  <c r="M624" i="36" s="1"/>
  <c r="J602" i="36"/>
  <c r="K602" i="36" s="1"/>
  <c r="L602" i="36" s="1"/>
  <c r="M602" i="36" s="1"/>
  <c r="K590" i="36"/>
  <c r="L590" i="36" s="1"/>
  <c r="M590" i="36" s="1"/>
  <c r="O648" i="36"/>
  <c r="L648" i="35"/>
  <c r="P648" i="36" s="1"/>
  <c r="G194" i="36"/>
  <c r="G135" i="36" s="1"/>
  <c r="G194" i="35"/>
  <c r="G135" i="35" s="1"/>
  <c r="J698" i="35"/>
  <c r="K698" i="35" s="1"/>
  <c r="J720" i="35"/>
  <c r="K720" i="35" s="1"/>
  <c r="J709" i="35"/>
  <c r="K709" i="35" s="1"/>
  <c r="J687" i="35"/>
  <c r="K687" i="35" s="1"/>
  <c r="K675" i="35"/>
  <c r="J852" i="35"/>
  <c r="K852" i="35" s="1"/>
  <c r="J879" i="35"/>
  <c r="K879" i="35" s="1"/>
  <c r="J870" i="35"/>
  <c r="K870" i="35" s="1"/>
  <c r="J861" i="35"/>
  <c r="K861" i="35" s="1"/>
  <c r="K842" i="35"/>
  <c r="J772" i="36"/>
  <c r="K772" i="36" s="1"/>
  <c r="L772" i="36" s="1"/>
  <c r="M772" i="36" s="1"/>
  <c r="J794" i="36"/>
  <c r="K794" i="36" s="1"/>
  <c r="L794" i="36" s="1"/>
  <c r="M794" i="36" s="1"/>
  <c r="J805" i="36"/>
  <c r="K805" i="36" s="1"/>
  <c r="L805" i="36" s="1"/>
  <c r="M805" i="36" s="1"/>
  <c r="N805" i="36" s="1"/>
  <c r="J783" i="36"/>
  <c r="K783" i="36" s="1"/>
  <c r="L783" i="36" s="1"/>
  <c r="M783" i="36" s="1"/>
  <c r="K760" i="36"/>
  <c r="L760" i="36" s="1"/>
  <c r="M760" i="36" s="1"/>
  <c r="J633" i="35"/>
  <c r="J611" i="35"/>
  <c r="J622" i="35"/>
  <c r="J639" i="35"/>
  <c r="L582" i="36"/>
  <c r="M582" i="36" s="1"/>
  <c r="J544" i="36"/>
  <c r="J535" i="36"/>
  <c r="J553" i="36"/>
  <c r="J795" i="36"/>
  <c r="J773" i="36"/>
  <c r="J784" i="36"/>
  <c r="J553" i="35"/>
  <c r="J535" i="35"/>
  <c r="J544" i="35"/>
  <c r="G221" i="36"/>
  <c r="J689" i="36"/>
  <c r="K689" i="36" s="1"/>
  <c r="L689" i="36" s="1"/>
  <c r="M689" i="36" s="1"/>
  <c r="J700" i="36"/>
  <c r="K700" i="36" s="1"/>
  <c r="L700" i="36" s="1"/>
  <c r="M700" i="36" s="1"/>
  <c r="J711" i="36"/>
  <c r="K711" i="36" s="1"/>
  <c r="L711" i="36" s="1"/>
  <c r="M711" i="36" s="1"/>
  <c r="J722" i="36"/>
  <c r="K722" i="36" s="1"/>
  <c r="L722" i="36" s="1"/>
  <c r="M722" i="36" s="1"/>
  <c r="N722" i="36" s="1"/>
  <c r="K677" i="36"/>
  <c r="L677" i="36" s="1"/>
  <c r="M677" i="36" s="1"/>
  <c r="G146" i="35"/>
  <c r="O830" i="36"/>
  <c r="L830" i="35"/>
  <c r="P830" i="36" s="1"/>
  <c r="G416" i="36"/>
  <c r="G365" i="35"/>
  <c r="L828" i="35"/>
  <c r="P828" i="36" s="1"/>
  <c r="O828" i="36"/>
  <c r="J853" i="36"/>
  <c r="J871" i="36"/>
  <c r="J862" i="36"/>
  <c r="O969" i="36"/>
  <c r="L969" i="35"/>
  <c r="P969" i="36" s="1"/>
  <c r="J779" i="35"/>
  <c r="K779" i="35" s="1"/>
  <c r="J768" i="35"/>
  <c r="K768" i="35" s="1"/>
  <c r="J801" i="35"/>
  <c r="K801" i="35" s="1"/>
  <c r="J790" i="35"/>
  <c r="K790" i="35" s="1"/>
  <c r="K756" i="35"/>
  <c r="O970" i="36"/>
  <c r="L970" i="35"/>
  <c r="P970" i="36" s="1"/>
  <c r="J867" i="36"/>
  <c r="K867" i="36" s="1"/>
  <c r="L867" i="36" s="1"/>
  <c r="M867" i="36" s="1"/>
  <c r="J858" i="36"/>
  <c r="K858" i="36" s="1"/>
  <c r="L858" i="36" s="1"/>
  <c r="M858" i="36" s="1"/>
  <c r="J849" i="36"/>
  <c r="K849" i="36" s="1"/>
  <c r="L849" i="36" s="1"/>
  <c r="M849" i="36" s="1"/>
  <c r="J876" i="36"/>
  <c r="K876" i="36" s="1"/>
  <c r="L876" i="36" s="1"/>
  <c r="M876" i="36" s="1"/>
  <c r="N876" i="36" s="1"/>
  <c r="K839" i="36"/>
  <c r="L839" i="36" s="1"/>
  <c r="M839" i="36" s="1"/>
  <c r="J615" i="35"/>
  <c r="K615" i="35" s="1"/>
  <c r="J604" i="35"/>
  <c r="K604" i="35" s="1"/>
  <c r="J626" i="35"/>
  <c r="K626" i="35" s="1"/>
  <c r="K592" i="35"/>
  <c r="O662" i="36"/>
  <c r="L662" i="35"/>
  <c r="P662" i="36" s="1"/>
  <c r="G341" i="36"/>
  <c r="G283" i="36" s="1"/>
  <c r="G341" i="35"/>
  <c r="G281" i="35" s="1"/>
  <c r="J874" i="36"/>
  <c r="J865" i="36"/>
  <c r="J856" i="36"/>
  <c r="L832" i="35"/>
  <c r="P832" i="36" s="1"/>
  <c r="O832" i="36"/>
  <c r="J782" i="36"/>
  <c r="K782" i="36" s="1"/>
  <c r="L782" i="36" s="1"/>
  <c r="M782" i="36" s="1"/>
  <c r="J804" i="36"/>
  <c r="K804" i="36" s="1"/>
  <c r="L804" i="36" s="1"/>
  <c r="M804" i="36" s="1"/>
  <c r="N804" i="36" s="1"/>
  <c r="J793" i="36"/>
  <c r="K793" i="36" s="1"/>
  <c r="L793" i="36" s="1"/>
  <c r="M793" i="36" s="1"/>
  <c r="J771" i="36"/>
  <c r="K771" i="36" s="1"/>
  <c r="L771" i="36" s="1"/>
  <c r="M771" i="36" s="1"/>
  <c r="K759" i="36"/>
  <c r="L759" i="36" s="1"/>
  <c r="M759" i="36" s="1"/>
  <c r="O902" i="36"/>
  <c r="L902" i="35"/>
  <c r="P902" i="36" s="1"/>
  <c r="O748" i="36"/>
  <c r="L748" i="35"/>
  <c r="P748" i="36" s="1"/>
  <c r="O569" i="36"/>
  <c r="L569" i="35"/>
  <c r="P569" i="36" s="1"/>
  <c r="J786" i="35"/>
  <c r="J775" i="35"/>
  <c r="J797" i="35"/>
  <c r="O747" i="36"/>
  <c r="L747" i="35"/>
  <c r="P747" i="36" s="1"/>
  <c r="G146" i="36"/>
  <c r="G365" i="36"/>
  <c r="J531" i="36"/>
  <c r="K531" i="36" s="1"/>
  <c r="L531" i="36" s="1"/>
  <c r="M531" i="36" s="1"/>
  <c r="J549" i="36"/>
  <c r="K549" i="36" s="1"/>
  <c r="L549" i="36" s="1"/>
  <c r="M549" i="36" s="1"/>
  <c r="J540" i="36"/>
  <c r="K540" i="36" s="1"/>
  <c r="L540" i="36" s="1"/>
  <c r="M540" i="36" s="1"/>
  <c r="J558" i="36"/>
  <c r="K558" i="36" s="1"/>
  <c r="L558" i="36" s="1"/>
  <c r="M558" i="36" s="1"/>
  <c r="N558" i="36" s="1"/>
  <c r="K521" i="36"/>
  <c r="L521" i="36" s="1"/>
  <c r="M521" i="36" s="1"/>
  <c r="M963" i="35"/>
  <c r="Q963" i="36" s="1"/>
  <c r="M820" i="35"/>
  <c r="Q820" i="36" s="1"/>
  <c r="O729" i="36"/>
  <c r="L729" i="35"/>
  <c r="P729" i="36" s="1"/>
  <c r="J798" i="35"/>
  <c r="J787" i="35"/>
  <c r="J776" i="35"/>
  <c r="L662" i="36"/>
  <c r="M662" i="36" s="1"/>
  <c r="J710" i="36"/>
  <c r="K710" i="36" s="1"/>
  <c r="L710" i="36" s="1"/>
  <c r="M710" i="36" s="1"/>
  <c r="J688" i="36"/>
  <c r="K688" i="36" s="1"/>
  <c r="L688" i="36" s="1"/>
  <c r="M688" i="36" s="1"/>
  <c r="J699" i="36"/>
  <c r="K699" i="36" s="1"/>
  <c r="L699" i="36" s="1"/>
  <c r="M699" i="36" s="1"/>
  <c r="J721" i="36"/>
  <c r="K721" i="36" s="1"/>
  <c r="L721" i="36" s="1"/>
  <c r="M721" i="36" s="1"/>
  <c r="N721" i="36" s="1"/>
  <c r="K676" i="36"/>
  <c r="L676" i="36" s="1"/>
  <c r="M676" i="36" s="1"/>
  <c r="O665" i="36"/>
  <c r="L665" i="35"/>
  <c r="P665" i="36" s="1"/>
  <c r="J541" i="36"/>
  <c r="K541" i="36" s="1"/>
  <c r="L541" i="36" s="1"/>
  <c r="M541" i="36" s="1"/>
  <c r="J532" i="36"/>
  <c r="K532" i="36" s="1"/>
  <c r="L532" i="36" s="1"/>
  <c r="M532" i="36" s="1"/>
  <c r="J559" i="36"/>
  <c r="K559" i="36" s="1"/>
  <c r="L559" i="36" s="1"/>
  <c r="M559" i="36" s="1"/>
  <c r="N559" i="36" s="1"/>
  <c r="J550" i="36"/>
  <c r="K550" i="36" s="1"/>
  <c r="L550" i="36" s="1"/>
  <c r="M550" i="36" s="1"/>
  <c r="K522" i="36"/>
  <c r="L522" i="36" s="1"/>
  <c r="M522" i="36" s="1"/>
  <c r="O957" i="36"/>
  <c r="L957" i="35"/>
  <c r="P957" i="36" s="1"/>
  <c r="G413" i="36"/>
  <c r="J560" i="36"/>
  <c r="K560" i="36" s="1"/>
  <c r="L560" i="36" s="1"/>
  <c r="M560" i="36" s="1"/>
  <c r="N560" i="36" s="1"/>
  <c r="J551" i="36"/>
  <c r="K551" i="36" s="1"/>
  <c r="L551" i="36" s="1"/>
  <c r="M551" i="36" s="1"/>
  <c r="J542" i="36"/>
  <c r="K542" i="36" s="1"/>
  <c r="L542" i="36" s="1"/>
  <c r="M542" i="36" s="1"/>
  <c r="J533" i="36"/>
  <c r="K533" i="36" s="1"/>
  <c r="L533" i="36" s="1"/>
  <c r="M533" i="36" s="1"/>
  <c r="K523" i="36"/>
  <c r="L523" i="36" s="1"/>
  <c r="M523" i="36" s="1"/>
  <c r="L748" i="36"/>
  <c r="M748" i="36" s="1"/>
  <c r="G413" i="35"/>
  <c r="J551" i="35"/>
  <c r="K551" i="35" s="1"/>
  <c r="J533" i="35"/>
  <c r="K533" i="35" s="1"/>
  <c r="J560" i="35"/>
  <c r="K560" i="35" s="1"/>
  <c r="J542" i="35"/>
  <c r="K542" i="35" s="1"/>
  <c r="K523" i="35"/>
  <c r="G415" i="36"/>
  <c r="G364" i="35"/>
  <c r="G292" i="35"/>
  <c r="O746" i="36"/>
  <c r="L746" i="35"/>
  <c r="P746" i="36" s="1"/>
  <c r="J792" i="36"/>
  <c r="K792" i="36" s="1"/>
  <c r="L792" i="36" s="1"/>
  <c r="M792" i="36" s="1"/>
  <c r="J803" i="36"/>
  <c r="K803" i="36" s="1"/>
  <c r="L803" i="36" s="1"/>
  <c r="M803" i="36" s="1"/>
  <c r="N803" i="36" s="1"/>
  <c r="J770" i="36"/>
  <c r="K770" i="36" s="1"/>
  <c r="L770" i="36" s="1"/>
  <c r="M770" i="36" s="1"/>
  <c r="J781" i="36"/>
  <c r="K781" i="36" s="1"/>
  <c r="L781" i="36" s="1"/>
  <c r="M781" i="36" s="1"/>
  <c r="K758" i="36"/>
  <c r="L758" i="36" s="1"/>
  <c r="M758" i="36" s="1"/>
  <c r="L648" i="36"/>
  <c r="M648" i="36" s="1"/>
  <c r="G145" i="35"/>
  <c r="J707" i="35"/>
  <c r="K707" i="35" s="1"/>
  <c r="J685" i="35"/>
  <c r="K685" i="35" s="1"/>
  <c r="J718" i="35"/>
  <c r="K718" i="35" s="1"/>
  <c r="J696" i="35"/>
  <c r="K696" i="35" s="1"/>
  <c r="K673" i="35"/>
  <c r="J864" i="36"/>
  <c r="J873" i="36"/>
  <c r="J855" i="36"/>
  <c r="G80" i="35"/>
  <c r="J927" i="35"/>
  <c r="J945" i="35"/>
  <c r="J936" i="35"/>
  <c r="J555" i="36"/>
  <c r="J537" i="36"/>
  <c r="J546" i="36"/>
  <c r="O745" i="36"/>
  <c r="L745" i="35"/>
  <c r="P745" i="36" s="1"/>
  <c r="J543" i="35"/>
  <c r="J552" i="35"/>
  <c r="J534" i="35"/>
  <c r="J939" i="35"/>
  <c r="K939" i="35" s="1"/>
  <c r="J948" i="35"/>
  <c r="K948" i="35" s="1"/>
  <c r="J930" i="35"/>
  <c r="K930" i="35" s="1"/>
  <c r="J921" i="35"/>
  <c r="K921" i="35" s="1"/>
  <c r="K910" i="35"/>
  <c r="G291" i="35"/>
  <c r="G295" i="35"/>
  <c r="G294" i="35"/>
  <c r="G364" i="36"/>
  <c r="G292" i="36"/>
  <c r="G414" i="35"/>
  <c r="M655" i="35"/>
  <c r="Q655" i="36" s="1"/>
  <c r="L746" i="36"/>
  <c r="M746" i="36" s="1"/>
  <c r="M651" i="35"/>
  <c r="Q651" i="36" s="1"/>
  <c r="J877" i="36"/>
  <c r="K877" i="36" s="1"/>
  <c r="L877" i="36" s="1"/>
  <c r="M877" i="36" s="1"/>
  <c r="N877" i="36" s="1"/>
  <c r="J850" i="36"/>
  <c r="K850" i="36" s="1"/>
  <c r="L850" i="36" s="1"/>
  <c r="M850" i="36" s="1"/>
  <c r="J859" i="36"/>
  <c r="K859" i="36" s="1"/>
  <c r="L859" i="36" s="1"/>
  <c r="M859" i="36" s="1"/>
  <c r="J868" i="36"/>
  <c r="K868" i="36" s="1"/>
  <c r="L868" i="36" s="1"/>
  <c r="M868" i="36" s="1"/>
  <c r="K840" i="36"/>
  <c r="J604" i="36"/>
  <c r="K604" i="36" s="1"/>
  <c r="L604" i="36" s="1"/>
  <c r="M604" i="36" s="1"/>
  <c r="J626" i="36"/>
  <c r="K626" i="36" s="1"/>
  <c r="L626" i="36" s="1"/>
  <c r="M626" i="36" s="1"/>
  <c r="J615" i="36"/>
  <c r="K615" i="36" s="1"/>
  <c r="L615" i="36" s="1"/>
  <c r="M615" i="36" s="1"/>
  <c r="K592" i="36"/>
  <c r="L592" i="36" s="1"/>
  <c r="M592" i="36" s="1"/>
  <c r="G145" i="36"/>
  <c r="J872" i="35"/>
  <c r="J863" i="35"/>
  <c r="J854" i="35"/>
  <c r="J944" i="36"/>
  <c r="J935" i="36"/>
  <c r="J926" i="36"/>
  <c r="G80" i="36"/>
  <c r="J429" i="11"/>
  <c r="J152" i="11"/>
  <c r="J90" i="11"/>
  <c r="J91" i="11"/>
  <c r="G415" i="11"/>
  <c r="G434" i="11" s="1"/>
  <c r="G413" i="11"/>
  <c r="G432" i="11" s="1"/>
  <c r="J89" i="11"/>
  <c r="G414" i="11"/>
  <c r="J155" i="11"/>
  <c r="L650" i="11"/>
  <c r="M650" i="11" s="1"/>
  <c r="L730" i="11"/>
  <c r="M730" i="11" s="1"/>
  <c r="J855" i="11"/>
  <c r="J873" i="11"/>
  <c r="J864" i="11"/>
  <c r="L956" i="11"/>
  <c r="M956" i="11" s="1"/>
  <c r="J157" i="11"/>
  <c r="J980" i="11"/>
  <c r="G217" i="11"/>
  <c r="L568" i="11"/>
  <c r="M568" i="11" s="1"/>
  <c r="G295" i="11"/>
  <c r="J791" i="11"/>
  <c r="J769" i="11"/>
  <c r="K757" i="11"/>
  <c r="J780" i="11"/>
  <c r="J802" i="11"/>
  <c r="G363" i="11"/>
  <c r="J303" i="11"/>
  <c r="L567" i="11"/>
  <c r="M567" i="11" s="1"/>
  <c r="J1001" i="11"/>
  <c r="J989" i="11"/>
  <c r="J997" i="11"/>
  <c r="J985" i="11"/>
  <c r="J993" i="11"/>
  <c r="G82" i="11"/>
  <c r="G194" i="11"/>
  <c r="G80" i="11"/>
  <c r="J539" i="11"/>
  <c r="K520" i="11"/>
  <c r="J530" i="11"/>
  <c r="J548" i="11"/>
  <c r="J557" i="11"/>
  <c r="J868" i="11"/>
  <c r="K840" i="11"/>
  <c r="J877" i="11"/>
  <c r="J850" i="11"/>
  <c r="J859" i="11"/>
  <c r="J606" i="11"/>
  <c r="J617" i="11"/>
  <c r="J628" i="11"/>
  <c r="K594" i="11"/>
  <c r="G147" i="11"/>
  <c r="L813" i="11"/>
  <c r="M813" i="11" s="1"/>
  <c r="L569" i="11"/>
  <c r="M569" i="11" s="1"/>
  <c r="G221" i="11"/>
  <c r="J159" i="11"/>
  <c r="J611" i="11"/>
  <c r="J639" i="11"/>
  <c r="J633" i="11"/>
  <c r="J622" i="11"/>
  <c r="L815" i="11"/>
  <c r="M815" i="11" s="1"/>
  <c r="J305" i="11"/>
  <c r="G341" i="11"/>
  <c r="G280" i="11" s="1"/>
  <c r="J304" i="11"/>
  <c r="J777" i="11"/>
  <c r="J799" i="11"/>
  <c r="J788" i="11"/>
  <c r="J543" i="11"/>
  <c r="J552" i="11"/>
  <c r="J534" i="11"/>
  <c r="J930" i="11"/>
  <c r="J948" i="11"/>
  <c r="K910" i="11"/>
  <c r="J921" i="11"/>
  <c r="J939" i="11"/>
  <c r="L816" i="11"/>
  <c r="M816" i="11" s="1"/>
  <c r="J925" i="11"/>
  <c r="J934" i="11"/>
  <c r="J943" i="11"/>
  <c r="L812" i="11"/>
  <c r="M812" i="11" s="1"/>
  <c r="G120" i="11"/>
  <c r="J942" i="11"/>
  <c r="J924" i="11"/>
  <c r="J933" i="11"/>
  <c r="J803" i="11"/>
  <c r="J781" i="11"/>
  <c r="J792" i="11"/>
  <c r="K758" i="11"/>
  <c r="J770" i="11"/>
  <c r="G293" i="11"/>
  <c r="J927" i="11"/>
  <c r="J936" i="11"/>
  <c r="J945" i="11"/>
  <c r="L566" i="11"/>
  <c r="M566" i="11" s="1"/>
  <c r="J926" i="11"/>
  <c r="J944" i="11"/>
  <c r="J935" i="11"/>
  <c r="L887" i="11"/>
  <c r="M887" i="11" s="1"/>
  <c r="G145" i="11"/>
  <c r="J635" i="11"/>
  <c r="J618" i="11"/>
  <c r="J629" i="11"/>
  <c r="J607" i="11"/>
  <c r="G362" i="11"/>
  <c r="L957" i="11"/>
  <c r="M957" i="11" s="1"/>
  <c r="J707" i="11"/>
  <c r="K673" i="11"/>
  <c r="J696" i="11"/>
  <c r="J685" i="11"/>
  <c r="J718" i="11"/>
  <c r="L647" i="11"/>
  <c r="M647" i="11" s="1"/>
  <c r="J772" i="11"/>
  <c r="J794" i="11"/>
  <c r="J783" i="11"/>
  <c r="K760" i="11"/>
  <c r="J805" i="11"/>
  <c r="J701" i="11"/>
  <c r="J712" i="11"/>
  <c r="J690" i="11"/>
  <c r="J863" i="11"/>
  <c r="J854" i="11"/>
  <c r="J872" i="11"/>
  <c r="J879" i="11"/>
  <c r="K842" i="11"/>
  <c r="J870" i="11"/>
  <c r="J852" i="11"/>
  <c r="J861" i="11"/>
  <c r="J691" i="11"/>
  <c r="J713" i="11"/>
  <c r="J702" i="11"/>
  <c r="G218" i="11"/>
  <c r="J874" i="11"/>
  <c r="J865" i="11"/>
  <c r="J856" i="11"/>
  <c r="G219" i="11"/>
  <c r="L814" i="11"/>
  <c r="M814" i="11" s="1"/>
  <c r="J705" i="11"/>
  <c r="J716" i="11"/>
  <c r="J694" i="11"/>
  <c r="J867" i="11"/>
  <c r="J849" i="11"/>
  <c r="K839" i="11"/>
  <c r="J876" i="11"/>
  <c r="J858" i="11"/>
  <c r="G144" i="11"/>
  <c r="J708" i="11"/>
  <c r="K674" i="11"/>
  <c r="J719" i="11"/>
  <c r="J697" i="11"/>
  <c r="J686" i="11"/>
  <c r="J804" i="11"/>
  <c r="J793" i="11"/>
  <c r="K759" i="11"/>
  <c r="J782" i="11"/>
  <c r="J771" i="11"/>
  <c r="G79" i="11"/>
  <c r="L959" i="11"/>
  <c r="M959" i="11" s="1"/>
  <c r="L646" i="11"/>
  <c r="M646" i="11" s="1"/>
  <c r="G364" i="11"/>
  <c r="G294" i="11"/>
  <c r="L729" i="11"/>
  <c r="M729" i="11" s="1"/>
  <c r="L732" i="11"/>
  <c r="M732" i="11" s="1"/>
  <c r="J603" i="11"/>
  <c r="J614" i="11"/>
  <c r="K591" i="11"/>
  <c r="J625" i="11"/>
  <c r="J374" i="11"/>
  <c r="L733" i="11"/>
  <c r="M733" i="11" s="1"/>
  <c r="K841" i="11"/>
  <c r="J869" i="11"/>
  <c r="J851" i="11"/>
  <c r="J860" i="11"/>
  <c r="J878" i="11"/>
  <c r="J306" i="11"/>
  <c r="L889" i="11"/>
  <c r="M889" i="11" s="1"/>
  <c r="J544" i="11"/>
  <c r="J553" i="11"/>
  <c r="J535" i="11"/>
  <c r="J931" i="11"/>
  <c r="J922" i="11"/>
  <c r="J949" i="11"/>
  <c r="K911" i="11"/>
  <c r="J940" i="11"/>
  <c r="J631" i="11"/>
  <c r="J637" i="11"/>
  <c r="J609" i="11"/>
  <c r="J620" i="11"/>
  <c r="G148" i="11"/>
  <c r="G292" i="11"/>
  <c r="L886" i="11"/>
  <c r="M886" i="11" s="1"/>
  <c r="L958" i="11"/>
  <c r="M958" i="11" s="1"/>
  <c r="J536" i="11"/>
  <c r="J545" i="11"/>
  <c r="J554" i="11"/>
  <c r="J373" i="11"/>
  <c r="J88" i="11"/>
  <c r="K756" i="11"/>
  <c r="J790" i="11"/>
  <c r="J779" i="11"/>
  <c r="J768" i="11"/>
  <c r="J801" i="11"/>
  <c r="K909" i="11"/>
  <c r="J938" i="11"/>
  <c r="J947" i="11"/>
  <c r="J920" i="11"/>
  <c r="J929" i="11"/>
  <c r="J434" i="11"/>
  <c r="L648" i="11"/>
  <c r="M648" i="11" s="1"/>
  <c r="G416" i="11"/>
  <c r="K592" i="11"/>
  <c r="J626" i="11"/>
  <c r="J604" i="11"/>
  <c r="J615" i="11"/>
  <c r="G220" i="11"/>
  <c r="J932" i="11"/>
  <c r="J950" i="11"/>
  <c r="J941" i="11"/>
  <c r="J923" i="11"/>
  <c r="K912" i="11"/>
  <c r="J602" i="11"/>
  <c r="J624" i="11"/>
  <c r="K590" i="11"/>
  <c r="J613" i="11"/>
  <c r="K676" i="11"/>
  <c r="J721" i="11"/>
  <c r="J710" i="11"/>
  <c r="J699" i="11"/>
  <c r="J688" i="11"/>
  <c r="K677" i="11"/>
  <c r="J722" i="11"/>
  <c r="J700" i="11"/>
  <c r="J689" i="11"/>
  <c r="J711" i="11"/>
  <c r="J714" i="11"/>
  <c r="J692" i="11"/>
  <c r="J703" i="11"/>
  <c r="L649" i="11"/>
  <c r="M649" i="11" s="1"/>
  <c r="L888" i="11"/>
  <c r="M888" i="11" s="1"/>
  <c r="J774" i="11"/>
  <c r="J796" i="11"/>
  <c r="J785" i="11"/>
  <c r="J786" i="11"/>
  <c r="J775" i="11"/>
  <c r="J797" i="11"/>
  <c r="J636" i="11"/>
  <c r="J630" i="11"/>
  <c r="J619" i="11"/>
  <c r="J608" i="11"/>
  <c r="J787" i="11"/>
  <c r="J776" i="11"/>
  <c r="J798" i="11"/>
  <c r="J853" i="11"/>
  <c r="J862" i="11"/>
  <c r="J871" i="11"/>
  <c r="J693" i="11"/>
  <c r="J715" i="11"/>
  <c r="J704" i="11"/>
  <c r="G81" i="11"/>
  <c r="K523" i="11"/>
  <c r="J551" i="11"/>
  <c r="J542" i="11"/>
  <c r="J560" i="11"/>
  <c r="J533" i="11"/>
  <c r="G268" i="11"/>
  <c r="G207" i="11" s="1"/>
  <c r="G291" i="11"/>
  <c r="G403" i="11"/>
  <c r="G353" i="11" s="1"/>
  <c r="G365" i="11"/>
  <c r="J610" i="11"/>
  <c r="J632" i="11"/>
  <c r="J638" i="11"/>
  <c r="J621" i="11"/>
  <c r="K593" i="11"/>
  <c r="J605" i="11"/>
  <c r="J616" i="11"/>
  <c r="J627" i="11"/>
  <c r="J773" i="11"/>
  <c r="J784" i="11"/>
  <c r="J795" i="11"/>
  <c r="J720" i="11"/>
  <c r="J709" i="11"/>
  <c r="K675" i="11"/>
  <c r="J687" i="11"/>
  <c r="J698" i="11"/>
  <c r="J435" i="11"/>
  <c r="J228" i="11"/>
  <c r="J371" i="11"/>
  <c r="J537" i="11"/>
  <c r="J555" i="11"/>
  <c r="J546" i="11"/>
  <c r="J156" i="11"/>
  <c r="L731" i="11"/>
  <c r="M731" i="11" s="1"/>
  <c r="J158" i="11"/>
  <c r="J532" i="11"/>
  <c r="K522" i="11"/>
  <c r="J541" i="11"/>
  <c r="J550" i="11"/>
  <c r="J559" i="11"/>
  <c r="J372" i="11"/>
  <c r="K521" i="11"/>
  <c r="J549" i="11"/>
  <c r="J540" i="11"/>
  <c r="J531" i="11"/>
  <c r="J558" i="11"/>
  <c r="G146" i="11"/>
  <c r="J997" i="36" l="1"/>
  <c r="J985" i="36"/>
  <c r="G133" i="36"/>
  <c r="G156" i="36" s="1"/>
  <c r="G355" i="36"/>
  <c r="G374" i="36" s="1"/>
  <c r="G353" i="35"/>
  <c r="G372" i="35" s="1"/>
  <c r="J989" i="36"/>
  <c r="J1001" i="36"/>
  <c r="J1013" i="36" s="1"/>
  <c r="G355" i="35"/>
  <c r="G374" i="35" s="1"/>
  <c r="G352" i="35"/>
  <c r="G371" i="35" s="1"/>
  <c r="G134" i="35"/>
  <c r="G980" i="35" s="1"/>
  <c r="G133" i="35"/>
  <c r="G156" i="35" s="1"/>
  <c r="G352" i="36"/>
  <c r="G371" i="36" s="1"/>
  <c r="G354" i="36"/>
  <c r="G373" i="36" s="1"/>
  <c r="J1001" i="35"/>
  <c r="J1021" i="35" s="1"/>
  <c r="J985" i="35"/>
  <c r="J993" i="35"/>
  <c r="J992" i="35"/>
  <c r="J1000" i="35"/>
  <c r="J1004" i="35" s="1"/>
  <c r="J988" i="35"/>
  <c r="J996" i="35"/>
  <c r="J984" i="36"/>
  <c r="J992" i="36"/>
  <c r="J996" i="36"/>
  <c r="J1000" i="36"/>
  <c r="J1020" i="36" s="1"/>
  <c r="G70" i="35"/>
  <c r="G89" i="35" s="1"/>
  <c r="M959" i="35"/>
  <c r="Q959" i="36" s="1"/>
  <c r="G280" i="36"/>
  <c r="G303" i="36" s="1"/>
  <c r="M815" i="35"/>
  <c r="Q815" i="36" s="1"/>
  <c r="G280" i="35"/>
  <c r="G303" i="35" s="1"/>
  <c r="M729" i="35"/>
  <c r="Q729" i="36" s="1"/>
  <c r="G282" i="35"/>
  <c r="G305" i="35" s="1"/>
  <c r="G209" i="35"/>
  <c r="G232" i="35" s="1"/>
  <c r="G283" i="35"/>
  <c r="G306" i="35" s="1"/>
  <c r="M971" i="35"/>
  <c r="Q971" i="36" s="1"/>
  <c r="G208" i="35"/>
  <c r="G231" i="35" s="1"/>
  <c r="M958" i="35"/>
  <c r="Q958" i="36" s="1"/>
  <c r="M650" i="35"/>
  <c r="Q650" i="36" s="1"/>
  <c r="M663" i="35"/>
  <c r="Q663" i="36" s="1"/>
  <c r="M732" i="35"/>
  <c r="Q732" i="36" s="1"/>
  <c r="M812" i="35"/>
  <c r="Q812" i="36" s="1"/>
  <c r="M648" i="35"/>
  <c r="Q648" i="36" s="1"/>
  <c r="M889" i="35"/>
  <c r="Q889" i="36" s="1"/>
  <c r="M733" i="35"/>
  <c r="Q733" i="36" s="1"/>
  <c r="M646" i="35"/>
  <c r="Q646" i="36" s="1"/>
  <c r="M900" i="35"/>
  <c r="Q900" i="36" s="1"/>
  <c r="M886" i="35"/>
  <c r="Q886" i="36" s="1"/>
  <c r="M829" i="35"/>
  <c r="Q829" i="36" s="1"/>
  <c r="M813" i="35"/>
  <c r="Q813" i="36" s="1"/>
  <c r="M957" i="35"/>
  <c r="Q957" i="36" s="1"/>
  <c r="M580" i="35"/>
  <c r="Q580" i="36" s="1"/>
  <c r="M647" i="35"/>
  <c r="Q647" i="36" s="1"/>
  <c r="M662" i="35"/>
  <c r="Q662" i="36" s="1"/>
  <c r="M970" i="35"/>
  <c r="Q970" i="36" s="1"/>
  <c r="M748" i="35"/>
  <c r="Q748" i="36" s="1"/>
  <c r="M828" i="35"/>
  <c r="Q828" i="36" s="1"/>
  <c r="G209" i="36"/>
  <c r="G232" i="36" s="1"/>
  <c r="M901" i="35"/>
  <c r="Q901" i="36" s="1"/>
  <c r="M831" i="35"/>
  <c r="Q831" i="36" s="1"/>
  <c r="G134" i="36"/>
  <c r="G980" i="36" s="1"/>
  <c r="G136" i="36"/>
  <c r="G159" i="36" s="1"/>
  <c r="M830" i="35"/>
  <c r="Q830" i="36" s="1"/>
  <c r="M888" i="35"/>
  <c r="Q888" i="36" s="1"/>
  <c r="M956" i="35"/>
  <c r="Q956" i="36" s="1"/>
  <c r="G208" i="36"/>
  <c r="G231" i="36" s="1"/>
  <c r="M814" i="35"/>
  <c r="Q814" i="36" s="1"/>
  <c r="M972" i="35"/>
  <c r="Q972" i="36" s="1"/>
  <c r="M745" i="35"/>
  <c r="Q745" i="36" s="1"/>
  <c r="M832" i="35"/>
  <c r="Q832" i="36" s="1"/>
  <c r="M899" i="35"/>
  <c r="Q899" i="36" s="1"/>
  <c r="M887" i="35"/>
  <c r="Q887" i="36" s="1"/>
  <c r="M816" i="35"/>
  <c r="Q816" i="36" s="1"/>
  <c r="M581" i="35"/>
  <c r="Q581" i="36" s="1"/>
  <c r="M583" i="35"/>
  <c r="Q583" i="36" s="1"/>
  <c r="M566" i="35"/>
  <c r="Q566" i="36" s="1"/>
  <c r="M567" i="35"/>
  <c r="Q567" i="36" s="1"/>
  <c r="G158" i="36"/>
  <c r="G981" i="36"/>
  <c r="G88" i="35"/>
  <c r="G304" i="35"/>
  <c r="G228" i="35"/>
  <c r="G306" i="36"/>
  <c r="G230" i="36"/>
  <c r="G158" i="35"/>
  <c r="G981" i="35"/>
  <c r="O592" i="36"/>
  <c r="L592" i="35"/>
  <c r="P592" i="36" s="1"/>
  <c r="O756" i="36"/>
  <c r="L756" i="35"/>
  <c r="P756" i="36" s="1"/>
  <c r="O687" i="36"/>
  <c r="L687" i="35"/>
  <c r="P687" i="36" s="1"/>
  <c r="O931" i="36"/>
  <c r="L931" i="35"/>
  <c r="P931" i="36" s="1"/>
  <c r="O803" i="36"/>
  <c r="L803" i="35"/>
  <c r="P803" i="36" s="1"/>
  <c r="O548" i="36"/>
  <c r="L548" i="35"/>
  <c r="P548" i="36" s="1"/>
  <c r="O699" i="36"/>
  <c r="L699" i="35"/>
  <c r="P699" i="36" s="1"/>
  <c r="O616" i="36"/>
  <c r="L616" i="35"/>
  <c r="P616" i="36" s="1"/>
  <c r="O793" i="36"/>
  <c r="L793" i="35"/>
  <c r="P793" i="36" s="1"/>
  <c r="O624" i="36"/>
  <c r="L624" i="35"/>
  <c r="P624" i="36" s="1"/>
  <c r="O876" i="36"/>
  <c r="L876" i="35"/>
  <c r="P876" i="36" s="1"/>
  <c r="O910" i="36"/>
  <c r="L910" i="35"/>
  <c r="P910" i="36" s="1"/>
  <c r="O626" i="36"/>
  <c r="L626" i="35"/>
  <c r="P626" i="36" s="1"/>
  <c r="O790" i="36"/>
  <c r="L790" i="35"/>
  <c r="P790" i="36" s="1"/>
  <c r="O709" i="36"/>
  <c r="L709" i="35"/>
  <c r="P709" i="36" s="1"/>
  <c r="O940" i="36"/>
  <c r="L940" i="35"/>
  <c r="P940" i="36" s="1"/>
  <c r="O594" i="36"/>
  <c r="L594" i="35"/>
  <c r="P594" i="36" s="1"/>
  <c r="O792" i="36"/>
  <c r="L792" i="35"/>
  <c r="P792" i="36" s="1"/>
  <c r="O530" i="36"/>
  <c r="L530" i="35"/>
  <c r="P530" i="36" s="1"/>
  <c r="O522" i="36"/>
  <c r="L522" i="35"/>
  <c r="P522" i="36" s="1"/>
  <c r="O521" i="36"/>
  <c r="L521" i="35"/>
  <c r="P521" i="36" s="1"/>
  <c r="O804" i="36"/>
  <c r="L804" i="35"/>
  <c r="P804" i="36" s="1"/>
  <c r="G281" i="36"/>
  <c r="O613" i="36"/>
  <c r="L613" i="35"/>
  <c r="P613" i="36" s="1"/>
  <c r="G282" i="36"/>
  <c r="O921" i="36"/>
  <c r="L921" i="35"/>
  <c r="P921" i="36" s="1"/>
  <c r="O604" i="36"/>
  <c r="L604" i="35"/>
  <c r="P604" i="36" s="1"/>
  <c r="O801" i="36"/>
  <c r="L801" i="35"/>
  <c r="P801" i="36" s="1"/>
  <c r="O720" i="36"/>
  <c r="L720" i="35"/>
  <c r="P720" i="36" s="1"/>
  <c r="M582" i="35"/>
  <c r="Q582" i="36" s="1"/>
  <c r="M731" i="35"/>
  <c r="Q731" i="36" s="1"/>
  <c r="O949" i="36"/>
  <c r="L949" i="35"/>
  <c r="P949" i="36" s="1"/>
  <c r="O628" i="36"/>
  <c r="L628" i="35"/>
  <c r="P628" i="36" s="1"/>
  <c r="G207" i="35"/>
  <c r="O557" i="36"/>
  <c r="L557" i="35"/>
  <c r="P557" i="36" s="1"/>
  <c r="O559" i="36"/>
  <c r="L559" i="35"/>
  <c r="P559" i="36" s="1"/>
  <c r="O531" i="36"/>
  <c r="L531" i="35"/>
  <c r="P531" i="36" s="1"/>
  <c r="G206" i="36"/>
  <c r="M568" i="35"/>
  <c r="Q568" i="36" s="1"/>
  <c r="O840" i="36"/>
  <c r="L840" i="35"/>
  <c r="P840" i="36" s="1"/>
  <c r="O930" i="36"/>
  <c r="L930" i="35"/>
  <c r="P930" i="36" s="1"/>
  <c r="G373" i="35"/>
  <c r="O615" i="36"/>
  <c r="L615" i="35"/>
  <c r="P615" i="36" s="1"/>
  <c r="O768" i="36"/>
  <c r="L768" i="35"/>
  <c r="P768" i="36" s="1"/>
  <c r="O698" i="36"/>
  <c r="L698" i="35"/>
  <c r="P698" i="36" s="1"/>
  <c r="O922" i="36"/>
  <c r="L922" i="35"/>
  <c r="P922" i="36" s="1"/>
  <c r="O606" i="36"/>
  <c r="L606" i="35"/>
  <c r="P606" i="36" s="1"/>
  <c r="O539" i="36"/>
  <c r="L539" i="35"/>
  <c r="P539" i="36" s="1"/>
  <c r="O532" i="36"/>
  <c r="L532" i="35"/>
  <c r="P532" i="36" s="1"/>
  <c r="O558" i="36"/>
  <c r="L558" i="35"/>
  <c r="P558" i="36" s="1"/>
  <c r="O877" i="36"/>
  <c r="L877" i="35"/>
  <c r="P877" i="36" s="1"/>
  <c r="G279" i="36"/>
  <c r="G89" i="36"/>
  <c r="O948" i="36"/>
  <c r="L948" i="35"/>
  <c r="P948" i="36" s="1"/>
  <c r="J1021" i="36"/>
  <c r="J1005" i="36"/>
  <c r="J1009" i="36"/>
  <c r="O779" i="36"/>
  <c r="L779" i="35"/>
  <c r="P779" i="36" s="1"/>
  <c r="G434" i="35"/>
  <c r="O617" i="36"/>
  <c r="L617" i="35"/>
  <c r="P617" i="36" s="1"/>
  <c r="O550" i="36"/>
  <c r="L550" i="35"/>
  <c r="P550" i="36" s="1"/>
  <c r="O549" i="36"/>
  <c r="L549" i="35"/>
  <c r="P549" i="36" s="1"/>
  <c r="O850" i="36"/>
  <c r="L850" i="35"/>
  <c r="P850" i="36" s="1"/>
  <c r="G71" i="36"/>
  <c r="G433" i="35"/>
  <c r="O939" i="36"/>
  <c r="L939" i="35"/>
  <c r="P939" i="36" s="1"/>
  <c r="O673" i="36"/>
  <c r="L673" i="35"/>
  <c r="P673" i="36" s="1"/>
  <c r="G434" i="36"/>
  <c r="M665" i="35"/>
  <c r="Q665" i="36" s="1"/>
  <c r="M569" i="35"/>
  <c r="Q569" i="36" s="1"/>
  <c r="M969" i="35"/>
  <c r="Q969" i="36" s="1"/>
  <c r="G435" i="36"/>
  <c r="O842" i="36"/>
  <c r="L842" i="35"/>
  <c r="P842" i="36" s="1"/>
  <c r="O757" i="36"/>
  <c r="L757" i="35"/>
  <c r="P757" i="36" s="1"/>
  <c r="M749" i="35"/>
  <c r="Q749" i="36" s="1"/>
  <c r="O909" i="36"/>
  <c r="L909" i="35"/>
  <c r="P909" i="36" s="1"/>
  <c r="G72" i="35"/>
  <c r="O541" i="36"/>
  <c r="L541" i="35"/>
  <c r="P541" i="36" s="1"/>
  <c r="O540" i="36"/>
  <c r="L540" i="35"/>
  <c r="P540" i="36" s="1"/>
  <c r="M730" i="35"/>
  <c r="Q730" i="36" s="1"/>
  <c r="M664" i="35"/>
  <c r="Q664" i="36" s="1"/>
  <c r="M649" i="35"/>
  <c r="Q649" i="36" s="1"/>
  <c r="O677" i="36"/>
  <c r="L677" i="35"/>
  <c r="P677" i="36" s="1"/>
  <c r="G69" i="36"/>
  <c r="O868" i="36"/>
  <c r="L868" i="35"/>
  <c r="P868" i="36" s="1"/>
  <c r="O696" i="36"/>
  <c r="L696" i="35"/>
  <c r="P696" i="36" s="1"/>
  <c r="O523" i="36"/>
  <c r="L523" i="35"/>
  <c r="P523" i="36" s="1"/>
  <c r="O861" i="36"/>
  <c r="L861" i="35"/>
  <c r="P861" i="36" s="1"/>
  <c r="G372" i="36"/>
  <c r="O780" i="36"/>
  <c r="L780" i="35"/>
  <c r="P780" i="36" s="1"/>
  <c r="G136" i="35"/>
  <c r="O841" i="36"/>
  <c r="L841" i="35"/>
  <c r="P841" i="36" s="1"/>
  <c r="O947" i="36"/>
  <c r="L947" i="35"/>
  <c r="P947" i="36" s="1"/>
  <c r="G435" i="35"/>
  <c r="G132" i="35"/>
  <c r="O674" i="36"/>
  <c r="L674" i="35"/>
  <c r="P674" i="36" s="1"/>
  <c r="O591" i="36"/>
  <c r="L591" i="35"/>
  <c r="P591" i="36" s="1"/>
  <c r="L530" i="36"/>
  <c r="M530" i="36" s="1"/>
  <c r="O700" i="36"/>
  <c r="L700" i="35"/>
  <c r="P700" i="36" s="1"/>
  <c r="O859" i="36"/>
  <c r="L859" i="35"/>
  <c r="P859" i="36" s="1"/>
  <c r="O912" i="36"/>
  <c r="L912" i="35"/>
  <c r="P912" i="36" s="1"/>
  <c r="O760" i="36"/>
  <c r="L760" i="35"/>
  <c r="P760" i="36" s="1"/>
  <c r="O718" i="36"/>
  <c r="L718" i="35"/>
  <c r="P718" i="36" s="1"/>
  <c r="O542" i="36"/>
  <c r="L542" i="35"/>
  <c r="P542" i="36" s="1"/>
  <c r="G432" i="36"/>
  <c r="O870" i="36"/>
  <c r="L870" i="35"/>
  <c r="P870" i="36" s="1"/>
  <c r="O791" i="36"/>
  <c r="L791" i="35"/>
  <c r="P791" i="36" s="1"/>
  <c r="O878" i="36"/>
  <c r="L878" i="35"/>
  <c r="P878" i="36" s="1"/>
  <c r="O920" i="36"/>
  <c r="L920" i="35"/>
  <c r="P920" i="36" s="1"/>
  <c r="O719" i="36"/>
  <c r="L719" i="35"/>
  <c r="P719" i="36" s="1"/>
  <c r="O625" i="36"/>
  <c r="L625" i="35"/>
  <c r="P625" i="36" s="1"/>
  <c r="O711" i="36"/>
  <c r="L711" i="35"/>
  <c r="P711" i="36" s="1"/>
  <c r="O923" i="36"/>
  <c r="L923" i="35"/>
  <c r="P923" i="36" s="1"/>
  <c r="O772" i="36"/>
  <c r="L772" i="35"/>
  <c r="P772" i="36" s="1"/>
  <c r="L840" i="36"/>
  <c r="M840" i="36" s="1"/>
  <c r="O685" i="36"/>
  <c r="L685" i="35"/>
  <c r="P685" i="36" s="1"/>
  <c r="M746" i="35"/>
  <c r="Q746" i="36" s="1"/>
  <c r="O560" i="36"/>
  <c r="L560" i="35"/>
  <c r="P560" i="36" s="1"/>
  <c r="O879" i="36"/>
  <c r="L879" i="35"/>
  <c r="P879" i="36" s="1"/>
  <c r="O769" i="36"/>
  <c r="L769" i="35"/>
  <c r="P769" i="36" s="1"/>
  <c r="O851" i="36"/>
  <c r="L851" i="35"/>
  <c r="P851" i="36" s="1"/>
  <c r="O929" i="36"/>
  <c r="L929" i="35"/>
  <c r="P929" i="36" s="1"/>
  <c r="G72" i="36"/>
  <c r="O697" i="36"/>
  <c r="L697" i="35"/>
  <c r="P697" i="36" s="1"/>
  <c r="O603" i="36"/>
  <c r="L603" i="35"/>
  <c r="P603" i="36" s="1"/>
  <c r="O676" i="36"/>
  <c r="L676" i="35"/>
  <c r="P676" i="36" s="1"/>
  <c r="O689" i="36"/>
  <c r="L689" i="35"/>
  <c r="P689" i="36" s="1"/>
  <c r="O932" i="36"/>
  <c r="L932" i="35"/>
  <c r="P932" i="36" s="1"/>
  <c r="O783" i="36"/>
  <c r="L783" i="35"/>
  <c r="P783" i="36" s="1"/>
  <c r="O839" i="36"/>
  <c r="L839" i="35"/>
  <c r="P839" i="36" s="1"/>
  <c r="G71" i="35"/>
  <c r="O707" i="36"/>
  <c r="L707" i="35"/>
  <c r="P707" i="36" s="1"/>
  <c r="O533" i="36"/>
  <c r="L533" i="35"/>
  <c r="P533" i="36" s="1"/>
  <c r="O852" i="36"/>
  <c r="L852" i="35"/>
  <c r="P852" i="36" s="1"/>
  <c r="O802" i="36"/>
  <c r="L802" i="35"/>
  <c r="P802" i="36" s="1"/>
  <c r="O860" i="36"/>
  <c r="L860" i="35"/>
  <c r="P860" i="36" s="1"/>
  <c r="O938" i="36"/>
  <c r="L938" i="35"/>
  <c r="P938" i="36" s="1"/>
  <c r="O758" i="36"/>
  <c r="L758" i="35"/>
  <c r="P758" i="36" s="1"/>
  <c r="O686" i="36"/>
  <c r="L686" i="35"/>
  <c r="P686" i="36" s="1"/>
  <c r="O614" i="36"/>
  <c r="L614" i="35"/>
  <c r="P614" i="36" s="1"/>
  <c r="O688" i="36"/>
  <c r="L688" i="35"/>
  <c r="P688" i="36" s="1"/>
  <c r="O593" i="36"/>
  <c r="L593" i="35"/>
  <c r="P593" i="36" s="1"/>
  <c r="O759" i="36"/>
  <c r="L759" i="35"/>
  <c r="P759" i="36" s="1"/>
  <c r="O722" i="36"/>
  <c r="L722" i="35"/>
  <c r="P722" i="36" s="1"/>
  <c r="O941" i="36"/>
  <c r="L941" i="35"/>
  <c r="P941" i="36" s="1"/>
  <c r="O794" i="36"/>
  <c r="L794" i="35"/>
  <c r="P794" i="36" s="1"/>
  <c r="O867" i="36"/>
  <c r="L867" i="35"/>
  <c r="P867" i="36" s="1"/>
  <c r="O551" i="36"/>
  <c r="L551" i="35"/>
  <c r="P551" i="36" s="1"/>
  <c r="O869" i="36"/>
  <c r="L869" i="35"/>
  <c r="P869" i="36" s="1"/>
  <c r="O770" i="36"/>
  <c r="L770" i="35"/>
  <c r="P770" i="36" s="1"/>
  <c r="O708" i="36"/>
  <c r="L708" i="35"/>
  <c r="P708" i="36" s="1"/>
  <c r="O710" i="36"/>
  <c r="L710" i="35"/>
  <c r="P710" i="36" s="1"/>
  <c r="O605" i="36"/>
  <c r="L605" i="35"/>
  <c r="P605" i="36" s="1"/>
  <c r="O782" i="36"/>
  <c r="L782" i="35"/>
  <c r="P782" i="36" s="1"/>
  <c r="O590" i="36"/>
  <c r="L590" i="35"/>
  <c r="P590" i="36" s="1"/>
  <c r="O950" i="36"/>
  <c r="L950" i="35"/>
  <c r="P950" i="36" s="1"/>
  <c r="O805" i="36"/>
  <c r="L805" i="35"/>
  <c r="P805" i="36" s="1"/>
  <c r="O849" i="36"/>
  <c r="L849" i="35"/>
  <c r="P849" i="36" s="1"/>
  <c r="G279" i="35"/>
  <c r="G432" i="35"/>
  <c r="M747" i="35"/>
  <c r="Q747" i="36" s="1"/>
  <c r="M902" i="35"/>
  <c r="Q902" i="36" s="1"/>
  <c r="O675" i="36"/>
  <c r="L675" i="35"/>
  <c r="P675" i="36" s="1"/>
  <c r="L801" i="36"/>
  <c r="M801" i="36" s="1"/>
  <c r="N801" i="36" s="1"/>
  <c r="O911" i="36"/>
  <c r="L911" i="35"/>
  <c r="P911" i="36" s="1"/>
  <c r="G205" i="36"/>
  <c r="G132" i="36"/>
  <c r="O781" i="36"/>
  <c r="L781" i="35"/>
  <c r="P781" i="36" s="1"/>
  <c r="O520" i="36"/>
  <c r="L520" i="35"/>
  <c r="P520" i="36" s="1"/>
  <c r="O721" i="36"/>
  <c r="L721" i="35"/>
  <c r="P721" i="36" s="1"/>
  <c r="O627" i="36"/>
  <c r="L627" i="35"/>
  <c r="P627" i="36" s="1"/>
  <c r="O771" i="36"/>
  <c r="L771" i="35"/>
  <c r="P771" i="36" s="1"/>
  <c r="M666" i="35"/>
  <c r="Q666" i="36" s="1"/>
  <c r="G206" i="35"/>
  <c r="O602" i="36"/>
  <c r="L602" i="35"/>
  <c r="P602" i="36" s="1"/>
  <c r="O858" i="36"/>
  <c r="L858" i="35"/>
  <c r="P858" i="36" s="1"/>
  <c r="G70" i="11"/>
  <c r="G69" i="11"/>
  <c r="G433" i="11"/>
  <c r="G281" i="11"/>
  <c r="G71" i="11"/>
  <c r="G134" i="11"/>
  <c r="G355" i="11"/>
  <c r="G136" i="11"/>
  <c r="G303" i="11"/>
  <c r="G372" i="11"/>
  <c r="K687" i="11"/>
  <c r="K605" i="11"/>
  <c r="K697" i="11"/>
  <c r="K709" i="11"/>
  <c r="K711" i="11"/>
  <c r="K688" i="11"/>
  <c r="K768" i="11"/>
  <c r="L759" i="11"/>
  <c r="L674" i="11"/>
  <c r="K772" i="11"/>
  <c r="K707" i="11"/>
  <c r="G133" i="11"/>
  <c r="K617" i="11"/>
  <c r="G72" i="11"/>
  <c r="K720" i="11"/>
  <c r="K689" i="11"/>
  <c r="L912" i="11"/>
  <c r="G435" i="11"/>
  <c r="K779" i="11"/>
  <c r="K793" i="11"/>
  <c r="K708" i="11"/>
  <c r="K606" i="11"/>
  <c r="K780" i="11"/>
  <c r="K533" i="11"/>
  <c r="K700" i="11"/>
  <c r="K699" i="11"/>
  <c r="K923" i="11"/>
  <c r="K790" i="11"/>
  <c r="K804" i="11"/>
  <c r="G230" i="11"/>
  <c r="G135" i="11"/>
  <c r="K859" i="11"/>
  <c r="L757" i="11"/>
  <c r="K722" i="11"/>
  <c r="K850" i="11"/>
  <c r="K769" i="11"/>
  <c r="K558" i="11"/>
  <c r="K550" i="11"/>
  <c r="K542" i="11"/>
  <c r="L677" i="11"/>
  <c r="K721" i="11"/>
  <c r="K950" i="11"/>
  <c r="K940" i="11"/>
  <c r="K860" i="11"/>
  <c r="K625" i="11"/>
  <c r="K876" i="11"/>
  <c r="K770" i="11"/>
  <c r="K877" i="11"/>
  <c r="K557" i="11"/>
  <c r="K791" i="11"/>
  <c r="J996" i="11"/>
  <c r="J988" i="11"/>
  <c r="J984" i="11"/>
  <c r="J1000" i="11"/>
  <c r="J992" i="11"/>
  <c r="L756" i="11"/>
  <c r="K531" i="11"/>
  <c r="K541" i="11"/>
  <c r="G279" i="11"/>
  <c r="K551" i="11"/>
  <c r="L676" i="11"/>
  <c r="K613" i="11"/>
  <c r="K932" i="11"/>
  <c r="K929" i="11"/>
  <c r="L911" i="11"/>
  <c r="K851" i="11"/>
  <c r="L591" i="11"/>
  <c r="G354" i="11"/>
  <c r="L839" i="11"/>
  <c r="K852" i="11"/>
  <c r="G352" i="11"/>
  <c r="L758" i="11"/>
  <c r="K939" i="11"/>
  <c r="L840" i="11"/>
  <c r="K548" i="11"/>
  <c r="G283" i="11"/>
  <c r="K858" i="11"/>
  <c r="K861" i="11"/>
  <c r="K540" i="11"/>
  <c r="L522" i="11"/>
  <c r="L523" i="11"/>
  <c r="L590" i="11"/>
  <c r="K920" i="11"/>
  <c r="K949" i="11"/>
  <c r="K869" i="11"/>
  <c r="K614" i="11"/>
  <c r="K849" i="11"/>
  <c r="G206" i="11"/>
  <c r="K870" i="11"/>
  <c r="K792" i="11"/>
  <c r="K921" i="11"/>
  <c r="K868" i="11"/>
  <c r="K530" i="11"/>
  <c r="K878" i="11"/>
  <c r="K532" i="11"/>
  <c r="K624" i="11"/>
  <c r="G208" i="11"/>
  <c r="K615" i="11"/>
  <c r="K947" i="11"/>
  <c r="K922" i="11"/>
  <c r="L841" i="11"/>
  <c r="K603" i="11"/>
  <c r="K867" i="11"/>
  <c r="L842" i="11"/>
  <c r="K805" i="11"/>
  <c r="K781" i="11"/>
  <c r="L910" i="11"/>
  <c r="L520" i="11"/>
  <c r="K560" i="11"/>
  <c r="K710" i="11"/>
  <c r="K549" i="11"/>
  <c r="L521" i="11"/>
  <c r="K698" i="11"/>
  <c r="K627" i="11"/>
  <c r="K602" i="11"/>
  <c r="K604" i="11"/>
  <c r="K938" i="11"/>
  <c r="K931" i="11"/>
  <c r="G132" i="11"/>
  <c r="K879" i="11"/>
  <c r="K718" i="11"/>
  <c r="K803" i="11"/>
  <c r="K948" i="11"/>
  <c r="K539" i="11"/>
  <c r="K941" i="11"/>
  <c r="K616" i="11"/>
  <c r="K626" i="11"/>
  <c r="L909" i="11"/>
  <c r="K686" i="11"/>
  <c r="L760" i="11"/>
  <c r="K685" i="11"/>
  <c r="K930" i="11"/>
  <c r="L594" i="11"/>
  <c r="G205" i="11"/>
  <c r="K559" i="11"/>
  <c r="L592" i="11"/>
  <c r="K771" i="11"/>
  <c r="K783" i="11"/>
  <c r="K696" i="11"/>
  <c r="L675" i="11"/>
  <c r="L593" i="11"/>
  <c r="K801" i="11"/>
  <c r="G282" i="11"/>
  <c r="K782" i="11"/>
  <c r="K719" i="11"/>
  <c r="K794" i="11"/>
  <c r="L673" i="11"/>
  <c r="G209" i="11"/>
  <c r="K628" i="11"/>
  <c r="J1009" i="11"/>
  <c r="J1017" i="11"/>
  <c r="J1005" i="11"/>
  <c r="J1013" i="11"/>
  <c r="J1021" i="11"/>
  <c r="K802" i="11"/>
  <c r="G157" i="35" l="1"/>
  <c r="J1017" i="36"/>
  <c r="J1017" i="35"/>
  <c r="J1005" i="35"/>
  <c r="J1009" i="35"/>
  <c r="J1013" i="35"/>
  <c r="J1008" i="35"/>
  <c r="J1016" i="35"/>
  <c r="J1012" i="35"/>
  <c r="J1020" i="35"/>
  <c r="J1008" i="36"/>
  <c r="J1016" i="36"/>
  <c r="J1004" i="36"/>
  <c r="J1012" i="36"/>
  <c r="G157" i="36"/>
  <c r="M912" i="35"/>
  <c r="Q912" i="36" s="1"/>
  <c r="M709" i="35"/>
  <c r="Q709" i="36" s="1"/>
  <c r="M604" i="35"/>
  <c r="Q604" i="36" s="1"/>
  <c r="M839" i="35"/>
  <c r="Q839" i="36" s="1"/>
  <c r="M613" i="35"/>
  <c r="Q613" i="36" s="1"/>
  <c r="M756" i="35"/>
  <c r="Q756" i="36" s="1"/>
  <c r="M757" i="35"/>
  <c r="Q757" i="36" s="1"/>
  <c r="M949" i="35"/>
  <c r="N949" i="35" s="1"/>
  <c r="R949" i="36" s="1"/>
  <c r="M911" i="35"/>
  <c r="Q911" i="36" s="1"/>
  <c r="M541" i="35"/>
  <c r="Q541" i="36" s="1"/>
  <c r="M606" i="35"/>
  <c r="Q606" i="36" s="1"/>
  <c r="M627" i="35"/>
  <c r="Q627" i="36" s="1"/>
  <c r="M772" i="35"/>
  <c r="Q772" i="36" s="1"/>
  <c r="M805" i="35"/>
  <c r="N805" i="35" s="1"/>
  <c r="R805" i="36" s="1"/>
  <c r="M929" i="35"/>
  <c r="Q929" i="36" s="1"/>
  <c r="M676" i="35"/>
  <c r="Q676" i="36" s="1"/>
  <c r="M617" i="35"/>
  <c r="Q617" i="36" s="1"/>
  <c r="M948" i="35"/>
  <c r="N948" i="35" s="1"/>
  <c r="R948" i="36" s="1"/>
  <c r="M801" i="35"/>
  <c r="Q801" i="36" s="1"/>
  <c r="M700" i="35"/>
  <c r="Q700" i="36" s="1"/>
  <c r="M548" i="35"/>
  <c r="Q548" i="36" s="1"/>
  <c r="M523" i="35"/>
  <c r="Q523" i="36" s="1"/>
  <c r="M842" i="35"/>
  <c r="Q842" i="36" s="1"/>
  <c r="M851" i="35"/>
  <c r="Q851" i="36" s="1"/>
  <c r="M878" i="35"/>
  <c r="N878" i="35" s="1"/>
  <c r="R878" i="36" s="1"/>
  <c r="M780" i="35"/>
  <c r="Q780" i="36" s="1"/>
  <c r="M605" i="35"/>
  <c r="Q605" i="36" s="1"/>
  <c r="M677" i="35"/>
  <c r="Q677" i="36" s="1"/>
  <c r="M549" i="35"/>
  <c r="Q549" i="36" s="1"/>
  <c r="M698" i="35"/>
  <c r="Q698" i="36" s="1"/>
  <c r="M921" i="35"/>
  <c r="Q921" i="36" s="1"/>
  <c r="M521" i="35"/>
  <c r="Q521" i="36" s="1"/>
  <c r="M540" i="35"/>
  <c r="Q540" i="36" s="1"/>
  <c r="M532" i="35"/>
  <c r="Q532" i="36" s="1"/>
  <c r="M722" i="35"/>
  <c r="N722" i="35" s="1"/>
  <c r="R722" i="36" s="1"/>
  <c r="M879" i="35"/>
  <c r="Q879" i="36" s="1"/>
  <c r="M719" i="35"/>
  <c r="Q719" i="36" s="1"/>
  <c r="M877" i="35"/>
  <c r="Q877" i="36" s="1"/>
  <c r="M602" i="35"/>
  <c r="Q602" i="36" s="1"/>
  <c r="M520" i="35"/>
  <c r="Q520" i="36" s="1"/>
  <c r="M551" i="35"/>
  <c r="Q551" i="36" s="1"/>
  <c r="M938" i="35"/>
  <c r="Q938" i="36" s="1"/>
  <c r="M560" i="35"/>
  <c r="Q560" i="36" s="1"/>
  <c r="M840" i="35"/>
  <c r="Q840" i="36" s="1"/>
  <c r="M616" i="35"/>
  <c r="Q616" i="36" s="1"/>
  <c r="M860" i="35"/>
  <c r="Q860" i="36" s="1"/>
  <c r="M707" i="35"/>
  <c r="Q707" i="36" s="1"/>
  <c r="M594" i="35"/>
  <c r="Q594" i="36" s="1"/>
  <c r="M910" i="35"/>
  <c r="Q910" i="36" s="1"/>
  <c r="M768" i="35"/>
  <c r="Q768" i="36" s="1"/>
  <c r="M802" i="35"/>
  <c r="N802" i="35" s="1"/>
  <c r="R802" i="36" s="1"/>
  <c r="M861" i="35"/>
  <c r="Q861" i="36" s="1"/>
  <c r="M626" i="35"/>
  <c r="Q626" i="36" s="1"/>
  <c r="M758" i="35"/>
  <c r="Q758" i="36" s="1"/>
  <c r="M769" i="35"/>
  <c r="Q769" i="36" s="1"/>
  <c r="M718" i="35"/>
  <c r="Q718" i="36" s="1"/>
  <c r="M947" i="35"/>
  <c r="N947" i="35" s="1"/>
  <c r="R947" i="36" s="1"/>
  <c r="M909" i="35"/>
  <c r="Q909" i="36" s="1"/>
  <c r="M850" i="35"/>
  <c r="Q850" i="36" s="1"/>
  <c r="M559" i="35"/>
  <c r="N559" i="35" s="1"/>
  <c r="R559" i="36" s="1"/>
  <c r="M708" i="35"/>
  <c r="Q708" i="36" s="1"/>
  <c r="M593" i="35"/>
  <c r="Q593" i="36" s="1"/>
  <c r="M697" i="35"/>
  <c r="Q697" i="36" s="1"/>
  <c r="M930" i="35"/>
  <c r="Q930" i="36" s="1"/>
  <c r="M940" i="35"/>
  <c r="Q940" i="36" s="1"/>
  <c r="M590" i="35"/>
  <c r="Q590" i="36" s="1"/>
  <c r="M794" i="35"/>
  <c r="Q794" i="36" s="1"/>
  <c r="M932" i="35"/>
  <c r="Q932" i="36" s="1"/>
  <c r="M591" i="35"/>
  <c r="Q591" i="36" s="1"/>
  <c r="M530" i="35"/>
  <c r="Q530" i="36" s="1"/>
  <c r="M876" i="35"/>
  <c r="Q876" i="36" s="1"/>
  <c r="M614" i="35"/>
  <c r="Q614" i="36" s="1"/>
  <c r="M674" i="35"/>
  <c r="Q674" i="36" s="1"/>
  <c r="M868" i="35"/>
  <c r="Q868" i="36" s="1"/>
  <c r="M939" i="35"/>
  <c r="Q939" i="36" s="1"/>
  <c r="M792" i="35"/>
  <c r="Q792" i="36" s="1"/>
  <c r="M624" i="35"/>
  <c r="Q624" i="36" s="1"/>
  <c r="M803" i="35"/>
  <c r="N803" i="35" s="1"/>
  <c r="R803" i="36" s="1"/>
  <c r="M592" i="35"/>
  <c r="Q592" i="36" s="1"/>
  <c r="M721" i="35"/>
  <c r="M849" i="35"/>
  <c r="M782" i="35"/>
  <c r="M770" i="35"/>
  <c r="M941" i="35"/>
  <c r="M688" i="35"/>
  <c r="M852" i="35"/>
  <c r="M689" i="35"/>
  <c r="M685" i="35"/>
  <c r="G159" i="35"/>
  <c r="G230" i="35"/>
  <c r="G90" i="35"/>
  <c r="G91" i="36"/>
  <c r="M711" i="35"/>
  <c r="G90" i="36"/>
  <c r="G988" i="36"/>
  <c r="G996" i="36"/>
  <c r="G1000" i="36"/>
  <c r="G992" i="36"/>
  <c r="G984" i="36"/>
  <c r="G155" i="35"/>
  <c r="G229" i="36"/>
  <c r="G304" i="36"/>
  <c r="G229" i="35"/>
  <c r="M675" i="35"/>
  <c r="M869" i="35"/>
  <c r="M760" i="35"/>
  <c r="M696" i="35"/>
  <c r="G88" i="36"/>
  <c r="G302" i="36"/>
  <c r="M539" i="35"/>
  <c r="M531" i="35"/>
  <c r="M628" i="35"/>
  <c r="M720" i="35"/>
  <c r="M804" i="35"/>
  <c r="M793" i="35"/>
  <c r="G91" i="35"/>
  <c r="M771" i="35"/>
  <c r="M781" i="35"/>
  <c r="M950" i="35"/>
  <c r="M710" i="35"/>
  <c r="M867" i="35"/>
  <c r="Q867" i="36" s="1"/>
  <c r="M759" i="35"/>
  <c r="M686" i="35"/>
  <c r="M533" i="35"/>
  <c r="M783" i="35"/>
  <c r="Q783" i="36" s="1"/>
  <c r="M603" i="35"/>
  <c r="M791" i="35"/>
  <c r="M542" i="35"/>
  <c r="M673" i="35"/>
  <c r="M687" i="35"/>
  <c r="G989" i="35"/>
  <c r="G985" i="35"/>
  <c r="G1001" i="35"/>
  <c r="G997" i="35"/>
  <c r="G993" i="35"/>
  <c r="G985" i="36"/>
  <c r="G993" i="36"/>
  <c r="G1001" i="36"/>
  <c r="G989" i="36"/>
  <c r="G997" i="36"/>
  <c r="G155" i="36"/>
  <c r="G302" i="35"/>
  <c r="G988" i="35"/>
  <c r="G992" i="35"/>
  <c r="G996" i="35"/>
  <c r="G984" i="35"/>
  <c r="G1000" i="35"/>
  <c r="M858" i="35"/>
  <c r="G228" i="36"/>
  <c r="M923" i="35"/>
  <c r="M625" i="35"/>
  <c r="M920" i="35"/>
  <c r="M870" i="35"/>
  <c r="M859" i="35"/>
  <c r="M841" i="35"/>
  <c r="M550" i="35"/>
  <c r="Q550" i="36" s="1"/>
  <c r="M779" i="35"/>
  <c r="M558" i="35"/>
  <c r="M922" i="35"/>
  <c r="M615" i="35"/>
  <c r="M557" i="35"/>
  <c r="G305" i="36"/>
  <c r="M522" i="35"/>
  <c r="M790" i="35"/>
  <c r="M699" i="35"/>
  <c r="M931" i="35"/>
  <c r="G89" i="11"/>
  <c r="G980" i="11"/>
  <c r="G157" i="11"/>
  <c r="G374" i="11"/>
  <c r="G88" i="11"/>
  <c r="G90" i="11"/>
  <c r="G304" i="11"/>
  <c r="G159" i="11"/>
  <c r="M839" i="11"/>
  <c r="M520" i="11"/>
  <c r="M521" i="11"/>
  <c r="M676" i="11"/>
  <c r="M592" i="11"/>
  <c r="M674" i="11"/>
  <c r="M911" i="11"/>
  <c r="M523" i="11"/>
  <c r="M675" i="11"/>
  <c r="M522" i="11"/>
  <c r="M760" i="11"/>
  <c r="M758" i="11"/>
  <c r="L719" i="11"/>
  <c r="L938" i="11"/>
  <c r="L878" i="11"/>
  <c r="G229" i="11"/>
  <c r="L548" i="11"/>
  <c r="L932" i="11"/>
  <c r="M756" i="11"/>
  <c r="L627" i="11"/>
  <c r="M842" i="11"/>
  <c r="L849" i="11"/>
  <c r="L923" i="11"/>
  <c r="M912" i="11"/>
  <c r="L768" i="11"/>
  <c r="L879" i="11"/>
  <c r="L603" i="11"/>
  <c r="L551" i="11"/>
  <c r="L558" i="11"/>
  <c r="G228" i="11"/>
  <c r="M594" i="11"/>
  <c r="L616" i="11"/>
  <c r="L931" i="11"/>
  <c r="L710" i="11"/>
  <c r="M840" i="11"/>
  <c r="J1016" i="11"/>
  <c r="J1004" i="11"/>
  <c r="J1020" i="11"/>
  <c r="J1008" i="11"/>
  <c r="J1012" i="11"/>
  <c r="L625" i="11"/>
  <c r="L769" i="11"/>
  <c r="L606" i="11"/>
  <c r="L779" i="11"/>
  <c r="G91" i="11"/>
  <c r="L540" i="11"/>
  <c r="L697" i="11"/>
  <c r="L685" i="11"/>
  <c r="M909" i="11"/>
  <c r="L539" i="11"/>
  <c r="L604" i="11"/>
  <c r="L698" i="11"/>
  <c r="M841" i="11"/>
  <c r="L949" i="11"/>
  <c r="M591" i="11"/>
  <c r="M677" i="11"/>
  <c r="L711" i="11"/>
  <c r="L628" i="11"/>
  <c r="G373" i="11"/>
  <c r="G158" i="11"/>
  <c r="G981" i="11"/>
  <c r="G232" i="11"/>
  <c r="M673" i="11"/>
  <c r="L801" i="11"/>
  <c r="L771" i="11"/>
  <c r="L941" i="11"/>
  <c r="L549" i="11"/>
  <c r="L560" i="11"/>
  <c r="M910" i="11"/>
  <c r="L947" i="11"/>
  <c r="M590" i="11"/>
  <c r="G306" i="11"/>
  <c r="L939" i="11"/>
  <c r="G371" i="11"/>
  <c r="L851" i="11"/>
  <c r="L557" i="11"/>
  <c r="L860" i="11"/>
  <c r="L850" i="11"/>
  <c r="L780" i="11"/>
  <c r="L613" i="11"/>
  <c r="L802" i="11"/>
  <c r="L626" i="11"/>
  <c r="L602" i="11"/>
  <c r="L530" i="11"/>
  <c r="G302" i="11"/>
  <c r="L699" i="11"/>
  <c r="L708" i="11"/>
  <c r="L720" i="11"/>
  <c r="L605" i="11"/>
  <c r="L782" i="11"/>
  <c r="L794" i="11"/>
  <c r="G305" i="11"/>
  <c r="L532" i="11"/>
  <c r="L929" i="11"/>
  <c r="L877" i="11"/>
  <c r="L533" i="11"/>
  <c r="G156" i="11"/>
  <c r="L709" i="11"/>
  <c r="L781" i="11"/>
  <c r="M593" i="11"/>
  <c r="L559" i="11"/>
  <c r="L930" i="11"/>
  <c r="G155" i="11"/>
  <c r="L867" i="11"/>
  <c r="L868" i="11"/>
  <c r="L614" i="11"/>
  <c r="L852" i="11"/>
  <c r="L541" i="11"/>
  <c r="L542" i="11"/>
  <c r="L804" i="11"/>
  <c r="L790" i="11"/>
  <c r="L689" i="11"/>
  <c r="M759" i="11"/>
  <c r="L687" i="11"/>
  <c r="L791" i="11"/>
  <c r="L722" i="11"/>
  <c r="L696" i="11"/>
  <c r="L615" i="11"/>
  <c r="L870" i="11"/>
  <c r="L861" i="11"/>
  <c r="L950" i="11"/>
  <c r="L859" i="11"/>
  <c r="L793" i="11"/>
  <c r="L617" i="11"/>
  <c r="L707" i="11"/>
  <c r="L948" i="11"/>
  <c r="L686" i="11"/>
  <c r="L803" i="11"/>
  <c r="L922" i="11"/>
  <c r="G231" i="11"/>
  <c r="L869" i="11"/>
  <c r="L920" i="11"/>
  <c r="L531" i="11"/>
  <c r="L770" i="11"/>
  <c r="L700" i="11"/>
  <c r="L772" i="11"/>
  <c r="L921" i="11"/>
  <c r="L783" i="11"/>
  <c r="L718" i="11"/>
  <c r="L805" i="11"/>
  <c r="L624" i="11"/>
  <c r="L792" i="11"/>
  <c r="L858" i="11"/>
  <c r="L876" i="11"/>
  <c r="L940" i="11"/>
  <c r="L721" i="11"/>
  <c r="L550" i="11"/>
  <c r="M757" i="11"/>
  <c r="L688" i="11"/>
  <c r="Q949" i="36" l="1"/>
  <c r="N879" i="35"/>
  <c r="R879" i="36" s="1"/>
  <c r="Q559" i="36"/>
  <c r="Q802" i="36"/>
  <c r="Q878" i="36"/>
  <c r="N801" i="35"/>
  <c r="R801" i="36" s="1"/>
  <c r="Q805" i="36"/>
  <c r="N877" i="35"/>
  <c r="R877" i="36" s="1"/>
  <c r="N719" i="35"/>
  <c r="R719" i="36" s="1"/>
  <c r="Q948" i="36"/>
  <c r="N718" i="35"/>
  <c r="R718" i="36" s="1"/>
  <c r="N876" i="35"/>
  <c r="R876" i="36" s="1"/>
  <c r="N560" i="35"/>
  <c r="R560" i="36" s="1"/>
  <c r="Q803" i="36"/>
  <c r="Q722" i="36"/>
  <c r="Q947" i="36"/>
  <c r="Q931" i="36"/>
  <c r="Q699" i="36"/>
  <c r="Q686" i="36"/>
  <c r="G1004" i="36"/>
  <c r="G1016" i="36"/>
  <c r="G1008" i="36"/>
  <c r="G1020" i="36"/>
  <c r="G1012" i="36"/>
  <c r="Q689" i="36"/>
  <c r="Q790" i="36"/>
  <c r="Q841" i="36"/>
  <c r="Q759" i="36"/>
  <c r="Q696" i="36"/>
  <c r="Q711" i="36"/>
  <c r="Q852" i="36"/>
  <c r="Q859" i="36"/>
  <c r="Q793" i="36"/>
  <c r="Q760" i="36"/>
  <c r="Q688" i="36"/>
  <c r="G1009" i="36"/>
  <c r="G1017" i="36"/>
  <c r="G1021" i="36"/>
  <c r="G1013" i="36"/>
  <c r="G1005" i="36"/>
  <c r="Q522" i="36"/>
  <c r="Q870" i="36"/>
  <c r="G1005" i="35"/>
  <c r="G1021" i="35"/>
  <c r="G1013" i="35"/>
  <c r="G1017" i="35"/>
  <c r="G1009" i="35"/>
  <c r="Q710" i="36"/>
  <c r="N804" i="35"/>
  <c r="R804" i="36" s="1"/>
  <c r="Q804" i="36"/>
  <c r="Q869" i="36"/>
  <c r="Q941" i="36"/>
  <c r="Q779" i="36"/>
  <c r="Q920" i="36"/>
  <c r="G1020" i="35"/>
  <c r="G1012" i="35"/>
  <c r="G1004" i="35"/>
  <c r="G1008" i="35"/>
  <c r="G1016" i="35"/>
  <c r="N950" i="35"/>
  <c r="R950" i="36" s="1"/>
  <c r="Q950" i="36"/>
  <c r="N720" i="35"/>
  <c r="R720" i="36" s="1"/>
  <c r="Q720" i="36"/>
  <c r="Q770" i="36"/>
  <c r="Q625" i="36"/>
  <c r="Q673" i="36"/>
  <c r="Q628" i="36"/>
  <c r="Q675" i="36"/>
  <c r="Q782" i="36"/>
  <c r="Q685" i="36"/>
  <c r="N557" i="35"/>
  <c r="R557" i="36" s="1"/>
  <c r="Q557" i="36"/>
  <c r="Q923" i="36"/>
  <c r="Q781" i="36"/>
  <c r="Q531" i="36"/>
  <c r="Q849" i="36"/>
  <c r="Q615" i="36"/>
  <c r="Q542" i="36"/>
  <c r="Q771" i="36"/>
  <c r="N721" i="35"/>
  <c r="R721" i="36" s="1"/>
  <c r="Q721" i="36"/>
  <c r="Q922" i="36"/>
  <c r="Q791" i="36"/>
  <c r="Q539" i="36"/>
  <c r="Q533" i="36"/>
  <c r="N558" i="35"/>
  <c r="R558" i="36" s="1"/>
  <c r="Q558" i="36"/>
  <c r="Q858" i="36"/>
  <c r="Q603" i="36"/>
  <c r="Q687" i="36"/>
  <c r="M769" i="11"/>
  <c r="G984" i="11"/>
  <c r="G988" i="11"/>
  <c r="G996" i="11"/>
  <c r="G1000" i="11"/>
  <c r="G992" i="11"/>
  <c r="M604" i="11"/>
  <c r="M688" i="11"/>
  <c r="M550" i="11"/>
  <c r="M930" i="11"/>
  <c r="M707" i="11"/>
  <c r="M876" i="11"/>
  <c r="N876" i="11" s="1"/>
  <c r="M560" i="11"/>
  <c r="N560" i="11" s="1"/>
  <c r="M628" i="11"/>
  <c r="M719" i="11"/>
  <c r="M879" i="11"/>
  <c r="N879" i="11" s="1"/>
  <c r="M551" i="11"/>
  <c r="M532" i="11"/>
  <c r="M603" i="11"/>
  <c r="M849" i="11"/>
  <c r="M697" i="11"/>
  <c r="M922" i="11"/>
  <c r="M790" i="11"/>
  <c r="M549" i="11"/>
  <c r="M539" i="11"/>
  <c r="M699" i="11"/>
  <c r="M852" i="11"/>
  <c r="M941" i="11"/>
  <c r="M698" i="11"/>
  <c r="M923" i="11"/>
  <c r="M938" i="11"/>
  <c r="M804" i="11"/>
  <c r="M868" i="11"/>
  <c r="M783" i="11"/>
  <c r="M709" i="11"/>
  <c r="M794" i="11"/>
  <c r="M768" i="11"/>
  <c r="M870" i="11"/>
  <c r="M541" i="11"/>
  <c r="M720" i="11"/>
  <c r="N720" i="11" s="1"/>
  <c r="M626" i="11"/>
  <c r="M710" i="11"/>
  <c r="M947" i="11"/>
  <c r="N947" i="11" s="1"/>
  <c r="M940" i="11"/>
  <c r="M921" i="11"/>
  <c r="M708" i="11"/>
  <c r="M616" i="11"/>
  <c r="M696" i="11"/>
  <c r="M530" i="11"/>
  <c r="M613" i="11"/>
  <c r="M861" i="11"/>
  <c r="M791" i="11"/>
  <c r="M929" i="11"/>
  <c r="M711" i="11"/>
  <c r="M627" i="11"/>
  <c r="M878" i="11"/>
  <c r="M686" i="11"/>
  <c r="M718" i="11"/>
  <c r="M770" i="11"/>
  <c r="M920" i="11"/>
  <c r="M859" i="11"/>
  <c r="M559" i="11"/>
  <c r="M605" i="11"/>
  <c r="M801" i="11"/>
  <c r="M540" i="11"/>
  <c r="M606" i="11"/>
  <c r="M624" i="11"/>
  <c r="M772" i="11"/>
  <c r="M867" i="11"/>
  <c r="M533" i="11"/>
  <c r="M850" i="11"/>
  <c r="M685" i="11"/>
  <c r="M548" i="11"/>
  <c r="M948" i="11"/>
  <c r="M617" i="11"/>
  <c r="M781" i="11"/>
  <c r="M782" i="11"/>
  <c r="M860" i="11"/>
  <c r="M939" i="11"/>
  <c r="M931" i="11"/>
  <c r="M558" i="11"/>
  <c r="M700" i="11"/>
  <c r="M869" i="11"/>
  <c r="M950" i="11"/>
  <c r="M687" i="11"/>
  <c r="M602" i="11"/>
  <c r="M721" i="11"/>
  <c r="M531" i="11"/>
  <c r="M803" i="11"/>
  <c r="M802" i="11"/>
  <c r="M771" i="11"/>
  <c r="M932" i="11"/>
  <c r="M858" i="11"/>
  <c r="M805" i="11"/>
  <c r="M793" i="11"/>
  <c r="M722" i="11"/>
  <c r="M614" i="11"/>
  <c r="M877" i="11"/>
  <c r="M557" i="11"/>
  <c r="M779" i="11"/>
  <c r="M792" i="11"/>
  <c r="M615" i="11"/>
  <c r="M689" i="11"/>
  <c r="M542" i="11"/>
  <c r="M780" i="11"/>
  <c r="M851" i="11"/>
  <c r="G1001" i="11"/>
  <c r="G985" i="11"/>
  <c r="G989" i="11"/>
  <c r="G993" i="11"/>
  <c r="G997" i="11"/>
  <c r="M949" i="11"/>
  <c r="M625" i="11"/>
  <c r="G1016" i="11" l="1"/>
  <c r="G1004" i="11"/>
  <c r="G1020" i="11"/>
  <c r="G1008" i="11"/>
  <c r="G1012" i="11"/>
  <c r="N719" i="11"/>
  <c r="N804" i="11"/>
  <c r="N557" i="11"/>
  <c r="N718" i="11"/>
  <c r="N722" i="11"/>
  <c r="N877" i="11"/>
  <c r="N803" i="11"/>
  <c r="G1005" i="11"/>
  <c r="G1021" i="11"/>
  <c r="G1013" i="11"/>
  <c r="G1017" i="11"/>
  <c r="G1009" i="11"/>
  <c r="N805" i="11"/>
  <c r="N558" i="11"/>
  <c r="N801" i="11"/>
  <c r="N802" i="11"/>
  <c r="N878" i="11"/>
  <c r="N950" i="11"/>
  <c r="N948" i="11"/>
  <c r="N559" i="11"/>
  <c r="N721" i="11"/>
  <c r="N949" i="11"/>
  <c r="E282" i="10" l="1"/>
  <c r="F282" i="10" s="1"/>
  <c r="E297" i="10"/>
  <c r="F297" i="10" s="1"/>
  <c r="Q297" i="10" s="1"/>
  <c r="Q304" i="10" s="1"/>
  <c r="E166" i="10"/>
  <c r="F166" i="10" s="1"/>
  <c r="G906" i="36" l="1"/>
  <c r="G907" i="36"/>
  <c r="G905" i="36"/>
  <c r="G906" i="35"/>
  <c r="G905" i="35"/>
  <c r="G907" i="35"/>
  <c r="Q166" i="10"/>
  <c r="Q177" i="10" s="1"/>
  <c r="R166" i="10"/>
  <c r="R177" i="10" s="1"/>
  <c r="N166" i="10"/>
  <c r="N177" i="10" s="1"/>
  <c r="O166" i="10"/>
  <c r="O177" i="10" s="1"/>
  <c r="M166" i="10"/>
  <c r="M177" i="10" s="1"/>
  <c r="P166" i="10"/>
  <c r="P177" i="10" s="1"/>
  <c r="G906" i="11"/>
  <c r="G907" i="11"/>
  <c r="G905" i="11"/>
  <c r="N297" i="10"/>
  <c r="N304" i="10" s="1"/>
  <c r="P297" i="10"/>
  <c r="P304" i="10" s="1"/>
  <c r="O297" i="10"/>
  <c r="O304" i="10" s="1"/>
  <c r="R297" i="10"/>
  <c r="R304" i="10" s="1"/>
  <c r="M297" i="10"/>
  <c r="M304" i="10" s="1"/>
  <c r="Q282" i="10"/>
  <c r="Q290" i="10" s="1"/>
  <c r="R282" i="10"/>
  <c r="R290" i="10" s="1"/>
  <c r="N282" i="10"/>
  <c r="N290" i="10" s="1"/>
  <c r="P282" i="10"/>
  <c r="P290" i="10" s="1"/>
  <c r="M282" i="10"/>
  <c r="M290" i="10" s="1"/>
  <c r="O282" i="10"/>
  <c r="O290" i="10" s="1"/>
  <c r="G904" i="36" l="1"/>
  <c r="K904" i="36" s="1"/>
  <c r="L904" i="36" s="1"/>
  <c r="M904" i="36" s="1"/>
  <c r="G904" i="35"/>
  <c r="K904" i="35" s="1"/>
  <c r="G976" i="36"/>
  <c r="G977" i="36"/>
  <c r="G975" i="36"/>
  <c r="G977" i="35"/>
  <c r="G975" i="35"/>
  <c r="G976" i="35"/>
  <c r="G837" i="36"/>
  <c r="G835" i="36"/>
  <c r="G836" i="36"/>
  <c r="G837" i="35"/>
  <c r="G835" i="35"/>
  <c r="G836" i="35"/>
  <c r="G671" i="36"/>
  <c r="G669" i="36"/>
  <c r="G670" i="36"/>
  <c r="G670" i="35"/>
  <c r="G671" i="35"/>
  <c r="G669" i="35"/>
  <c r="G588" i="36"/>
  <c r="G586" i="36"/>
  <c r="G587" i="36"/>
  <c r="G587" i="35"/>
  <c r="G586" i="35"/>
  <c r="G588" i="35"/>
  <c r="G754" i="36"/>
  <c r="G752" i="36"/>
  <c r="G753" i="36"/>
  <c r="G752" i="35"/>
  <c r="G754" i="35"/>
  <c r="G753" i="35"/>
  <c r="G751" i="36"/>
  <c r="K751" i="36" s="1"/>
  <c r="L751" i="36" s="1"/>
  <c r="M751" i="36" s="1"/>
  <c r="G751" i="35"/>
  <c r="K751" i="35" s="1"/>
  <c r="G585" i="36"/>
  <c r="K585" i="36" s="1"/>
  <c r="L585" i="36" s="1"/>
  <c r="M585" i="36" s="1"/>
  <c r="G585" i="35"/>
  <c r="K585" i="35" s="1"/>
  <c r="G834" i="36"/>
  <c r="K834" i="36" s="1"/>
  <c r="L834" i="36" s="1"/>
  <c r="M834" i="36" s="1"/>
  <c r="G834" i="35"/>
  <c r="K834" i="35" s="1"/>
  <c r="G668" i="36"/>
  <c r="K668" i="36" s="1"/>
  <c r="L668" i="36" s="1"/>
  <c r="M668" i="36" s="1"/>
  <c r="G668" i="35"/>
  <c r="K668" i="35" s="1"/>
  <c r="G974" i="36"/>
  <c r="K974" i="36" s="1"/>
  <c r="L974" i="36" s="1"/>
  <c r="M974" i="36" s="1"/>
  <c r="G974" i="35"/>
  <c r="K974" i="35" s="1"/>
  <c r="G904" i="11"/>
  <c r="K904" i="11" s="1"/>
  <c r="G975" i="11"/>
  <c r="G976" i="11"/>
  <c r="G977" i="11"/>
  <c r="G837" i="11"/>
  <c r="G836" i="11"/>
  <c r="G835" i="11"/>
  <c r="M182" i="10"/>
  <c r="M180" i="10"/>
  <c r="M181" i="10"/>
  <c r="M178" i="10"/>
  <c r="M179" i="10"/>
  <c r="G752" i="11"/>
  <c r="G753" i="11"/>
  <c r="G754" i="11"/>
  <c r="G751" i="11"/>
  <c r="K751" i="11" s="1"/>
  <c r="O178" i="10"/>
  <c r="O181" i="10"/>
  <c r="O182" i="10"/>
  <c r="O179" i="10"/>
  <c r="O180" i="10"/>
  <c r="P182" i="10"/>
  <c r="P179" i="10"/>
  <c r="P180" i="10"/>
  <c r="P181" i="10"/>
  <c r="P178" i="10"/>
  <c r="G585" i="11"/>
  <c r="K585" i="11" s="1"/>
  <c r="G668" i="11"/>
  <c r="K668" i="11" s="1"/>
  <c r="R182" i="10"/>
  <c r="R180" i="10"/>
  <c r="R178" i="10"/>
  <c r="R179" i="10"/>
  <c r="R181" i="10"/>
  <c r="G588" i="11"/>
  <c r="G587" i="11"/>
  <c r="G586" i="11"/>
  <c r="G671" i="11"/>
  <c r="G670" i="11"/>
  <c r="G669" i="11"/>
  <c r="G834" i="11"/>
  <c r="K834" i="11" s="1"/>
  <c r="N182" i="10"/>
  <c r="N181" i="10"/>
  <c r="N179" i="10"/>
  <c r="N178" i="10"/>
  <c r="N180" i="10"/>
  <c r="G974" i="11"/>
  <c r="K974" i="11" s="1"/>
  <c r="Q178" i="10"/>
  <c r="Q181" i="10"/>
  <c r="Q180" i="10"/>
  <c r="Q179" i="10"/>
  <c r="Q182" i="10"/>
  <c r="G509" i="36" l="1"/>
  <c r="G497" i="36"/>
  <c r="G503" i="36"/>
  <c r="G509" i="35"/>
  <c r="K509" i="35" s="1"/>
  <c r="G503" i="35"/>
  <c r="K503" i="35" s="1"/>
  <c r="G497" i="35"/>
  <c r="K497" i="35" s="1"/>
  <c r="G493" i="36"/>
  <c r="G493" i="35"/>
  <c r="G511" i="36"/>
  <c r="G499" i="36"/>
  <c r="G505" i="36"/>
  <c r="G511" i="35"/>
  <c r="K511" i="35" s="1"/>
  <c r="G499" i="35"/>
  <c r="K499" i="35" s="1"/>
  <c r="G505" i="35"/>
  <c r="K505" i="35" s="1"/>
  <c r="G504" i="36"/>
  <c r="G510" i="36"/>
  <c r="G498" i="36"/>
  <c r="G504" i="35"/>
  <c r="K504" i="35" s="1"/>
  <c r="G510" i="35"/>
  <c r="K510" i="35" s="1"/>
  <c r="G498" i="35"/>
  <c r="K498" i="35" s="1"/>
  <c r="G515" i="36"/>
  <c r="G515" i="35"/>
  <c r="K515" i="35" s="1"/>
  <c r="G486" i="36"/>
  <c r="G486" i="35"/>
  <c r="G506" i="36"/>
  <c r="G512" i="36"/>
  <c r="G500" i="36"/>
  <c r="G506" i="35"/>
  <c r="K506" i="35" s="1"/>
  <c r="G500" i="35"/>
  <c r="K500" i="35" s="1"/>
  <c r="G512" i="35"/>
  <c r="K512" i="35" s="1"/>
  <c r="G491" i="36"/>
  <c r="G491" i="35"/>
  <c r="O834" i="36"/>
  <c r="L834" i="35"/>
  <c r="P834" i="36" s="1"/>
  <c r="G514" i="36"/>
  <c r="G514" i="35"/>
  <c r="K514" i="35" s="1"/>
  <c r="G472" i="36"/>
  <c r="G472" i="35"/>
  <c r="O974" i="36"/>
  <c r="L974" i="35"/>
  <c r="P974" i="36" s="1"/>
  <c r="O585" i="36"/>
  <c r="L585" i="35"/>
  <c r="P585" i="36" s="1"/>
  <c r="G502" i="36"/>
  <c r="G508" i="36"/>
  <c r="G496" i="36"/>
  <c r="G508" i="35"/>
  <c r="K508" i="35" s="1"/>
  <c r="G502" i="35"/>
  <c r="K502" i="35" s="1"/>
  <c r="G496" i="35"/>
  <c r="K496" i="35" s="1"/>
  <c r="G473" i="36"/>
  <c r="G473" i="35"/>
  <c r="G487" i="36"/>
  <c r="G487" i="35"/>
  <c r="G478" i="36"/>
  <c r="G478" i="35"/>
  <c r="G484" i="36"/>
  <c r="G484" i="35"/>
  <c r="G474" i="36"/>
  <c r="G474" i="35"/>
  <c r="G517" i="36"/>
  <c r="G517" i="35"/>
  <c r="K517" i="35" s="1"/>
  <c r="O668" i="36"/>
  <c r="L668" i="35"/>
  <c r="P668" i="36" s="1"/>
  <c r="G485" i="36"/>
  <c r="G485" i="35"/>
  <c r="G488" i="36"/>
  <c r="G488" i="35"/>
  <c r="G479" i="36"/>
  <c r="G479" i="35"/>
  <c r="G476" i="36"/>
  <c r="G476" i="35"/>
  <c r="O751" i="36"/>
  <c r="L751" i="35"/>
  <c r="P751" i="36" s="1"/>
  <c r="G475" i="36"/>
  <c r="G475" i="35"/>
  <c r="L904" i="35"/>
  <c r="P904" i="36" s="1"/>
  <c r="O904" i="36"/>
  <c r="G492" i="36"/>
  <c r="G492" i="35"/>
  <c r="G516" i="36"/>
  <c r="G516" i="35"/>
  <c r="K516" i="35" s="1"/>
  <c r="G480" i="36"/>
  <c r="G480" i="35"/>
  <c r="G481" i="36"/>
  <c r="G481" i="35"/>
  <c r="G482" i="36"/>
  <c r="G482" i="35"/>
  <c r="G490" i="36"/>
  <c r="G490" i="35"/>
  <c r="G472" i="11"/>
  <c r="G473" i="11"/>
  <c r="G475" i="11"/>
  <c r="L585" i="11"/>
  <c r="M585" i="11" s="1"/>
  <c r="G487" i="11"/>
  <c r="G474" i="11"/>
  <c r="G517" i="11"/>
  <c r="G516" i="11"/>
  <c r="G490" i="11"/>
  <c r="G484" i="11"/>
  <c r="G476" i="11"/>
  <c r="G479" i="11"/>
  <c r="G493" i="11"/>
  <c r="G488" i="11"/>
  <c r="G478" i="11"/>
  <c r="G506" i="11"/>
  <c r="G512" i="11"/>
  <c r="G500" i="11"/>
  <c r="G481" i="11"/>
  <c r="G492" i="11"/>
  <c r="L751" i="11"/>
  <c r="M751" i="11" s="1"/>
  <c r="G480" i="11"/>
  <c r="G514" i="11"/>
  <c r="G503" i="11"/>
  <c r="G497" i="11"/>
  <c r="G509" i="11"/>
  <c r="G504" i="11"/>
  <c r="G510" i="11"/>
  <c r="G498" i="11"/>
  <c r="G482" i="11"/>
  <c r="L668" i="11"/>
  <c r="M668" i="11" s="1"/>
  <c r="G491" i="11"/>
  <c r="G486" i="11"/>
  <c r="G485" i="11"/>
  <c r="G502" i="11"/>
  <c r="G496" i="11"/>
  <c r="G508" i="11"/>
  <c r="L834" i="11"/>
  <c r="M834" i="11" s="1"/>
  <c r="L904" i="11"/>
  <c r="M904" i="11" s="1"/>
  <c r="L974" i="11"/>
  <c r="M974" i="11" s="1"/>
  <c r="G515" i="11"/>
  <c r="G511" i="11"/>
  <c r="G499" i="11"/>
  <c r="G505" i="11"/>
  <c r="M904" i="35" l="1"/>
  <c r="Q904" i="36" s="1"/>
  <c r="M668" i="35"/>
  <c r="Q668" i="36" s="1"/>
  <c r="M585" i="35"/>
  <c r="Q585" i="36" s="1"/>
  <c r="M834" i="35"/>
  <c r="Q834" i="36" s="1"/>
  <c r="M751" i="35"/>
  <c r="Q751" i="36" s="1"/>
  <c r="O517" i="36"/>
  <c r="L517" i="35"/>
  <c r="P517" i="36" s="1"/>
  <c r="G743" i="35"/>
  <c r="K481" i="35"/>
  <c r="G661" i="36"/>
  <c r="G579" i="36"/>
  <c r="G576" i="35"/>
  <c r="G658" i="35"/>
  <c r="K473" i="35"/>
  <c r="L500" i="35"/>
  <c r="P500" i="36" s="1"/>
  <c r="O500" i="36"/>
  <c r="O498" i="36"/>
  <c r="L498" i="35"/>
  <c r="P498" i="36" s="1"/>
  <c r="G575" i="36"/>
  <c r="G657" i="36"/>
  <c r="G743" i="36"/>
  <c r="G741" i="35"/>
  <c r="K479" i="35"/>
  <c r="G658" i="36"/>
  <c r="G576" i="36"/>
  <c r="O506" i="36"/>
  <c r="L506" i="35"/>
  <c r="P506" i="36" s="1"/>
  <c r="L510" i="35"/>
  <c r="P510" i="36" s="1"/>
  <c r="O510" i="36"/>
  <c r="K493" i="35"/>
  <c r="G968" i="35"/>
  <c r="G898" i="35"/>
  <c r="G744" i="36"/>
  <c r="G661" i="35"/>
  <c r="G579" i="35"/>
  <c r="K579" i="35" s="1"/>
  <c r="K476" i="35"/>
  <c r="G742" i="35"/>
  <c r="K480" i="35"/>
  <c r="G741" i="36"/>
  <c r="O496" i="36"/>
  <c r="L496" i="35"/>
  <c r="P496" i="36" s="1"/>
  <c r="O504" i="36"/>
  <c r="L504" i="35"/>
  <c r="P504" i="36" s="1"/>
  <c r="G898" i="36"/>
  <c r="G968" i="36"/>
  <c r="G742" i="36"/>
  <c r="G578" i="35"/>
  <c r="G660" i="35"/>
  <c r="K475" i="35"/>
  <c r="G827" i="35"/>
  <c r="K488" i="35"/>
  <c r="O502" i="36"/>
  <c r="L502" i="35"/>
  <c r="P502" i="36" s="1"/>
  <c r="M974" i="35"/>
  <c r="Q974" i="36" s="1"/>
  <c r="O497" i="36"/>
  <c r="L497" i="35"/>
  <c r="P497" i="36" s="1"/>
  <c r="L515" i="35"/>
  <c r="P515" i="36" s="1"/>
  <c r="O515" i="36"/>
  <c r="O503" i="36"/>
  <c r="L503" i="35"/>
  <c r="P503" i="36" s="1"/>
  <c r="G826" i="36"/>
  <c r="G659" i="35"/>
  <c r="G577" i="35"/>
  <c r="K474" i="35"/>
  <c r="G824" i="35"/>
  <c r="K485" i="35"/>
  <c r="G659" i="36"/>
  <c r="G577" i="36"/>
  <c r="O509" i="36"/>
  <c r="L509" i="35"/>
  <c r="P509" i="36" s="1"/>
  <c r="G744" i="35"/>
  <c r="K482" i="35"/>
  <c r="O512" i="36"/>
  <c r="L512" i="35"/>
  <c r="P512" i="36" s="1"/>
  <c r="G578" i="36"/>
  <c r="G660" i="36"/>
  <c r="G824" i="36"/>
  <c r="G823" i="35"/>
  <c r="K484" i="35"/>
  <c r="O514" i="36"/>
  <c r="L514" i="35"/>
  <c r="P514" i="36" s="1"/>
  <c r="G827" i="36"/>
  <c r="K492" i="35"/>
  <c r="G897" i="35"/>
  <c r="G967" i="35"/>
  <c r="G823" i="36"/>
  <c r="L505" i="35"/>
  <c r="P505" i="36" s="1"/>
  <c r="O505" i="36"/>
  <c r="G826" i="35"/>
  <c r="K487" i="35"/>
  <c r="O516" i="36"/>
  <c r="L516" i="35"/>
  <c r="P516" i="36" s="1"/>
  <c r="G895" i="35"/>
  <c r="K490" i="35"/>
  <c r="G965" i="35"/>
  <c r="G897" i="36"/>
  <c r="G967" i="36"/>
  <c r="G740" i="35"/>
  <c r="K478" i="35"/>
  <c r="K491" i="35"/>
  <c r="G966" i="35"/>
  <c r="G896" i="35"/>
  <c r="G825" i="35"/>
  <c r="K486" i="35"/>
  <c r="L499" i="35"/>
  <c r="P499" i="36" s="1"/>
  <c r="O499" i="36"/>
  <c r="O508" i="36"/>
  <c r="L508" i="35"/>
  <c r="P508" i="36" s="1"/>
  <c r="G965" i="36"/>
  <c r="G895" i="36"/>
  <c r="G740" i="36"/>
  <c r="K472" i="35"/>
  <c r="G657" i="35"/>
  <c r="G575" i="35"/>
  <c r="G896" i="36"/>
  <c r="G966" i="36"/>
  <c r="G825" i="36"/>
  <c r="O511" i="36"/>
  <c r="L511" i="35"/>
  <c r="P511" i="36" s="1"/>
  <c r="G575" i="11"/>
  <c r="G657" i="11"/>
  <c r="G823" i="11"/>
  <c r="G740" i="11"/>
  <c r="G826" i="11"/>
  <c r="G658" i="11"/>
  <c r="G576" i="11"/>
  <c r="G742" i="11"/>
  <c r="G744" i="11"/>
  <c r="G897" i="11"/>
  <c r="G967" i="11"/>
  <c r="G968" i="11"/>
  <c r="G898" i="11"/>
  <c r="G965" i="11"/>
  <c r="G895" i="11"/>
  <c r="G579" i="11"/>
  <c r="G661" i="11"/>
  <c r="G824" i="11"/>
  <c r="G827" i="11"/>
  <c r="G741" i="11"/>
  <c r="G660" i="11"/>
  <c r="G578" i="11"/>
  <c r="G966" i="11"/>
  <c r="G896" i="11"/>
  <c r="G743" i="11"/>
  <c r="G825" i="11"/>
  <c r="G659" i="11"/>
  <c r="G577" i="11"/>
  <c r="M505" i="35" l="1"/>
  <c r="Q505" i="36" s="1"/>
  <c r="M517" i="35"/>
  <c r="Q517" i="36" s="1"/>
  <c r="M504" i="35"/>
  <c r="Q504" i="36" s="1"/>
  <c r="M512" i="35"/>
  <c r="Q512" i="36" s="1"/>
  <c r="M498" i="35"/>
  <c r="Q498" i="36" s="1"/>
  <c r="M499" i="35"/>
  <c r="Q499" i="36" s="1"/>
  <c r="M506" i="35"/>
  <c r="Q506" i="36" s="1"/>
  <c r="M503" i="35"/>
  <c r="Q503" i="36" s="1"/>
  <c r="M511" i="35"/>
  <c r="Q511" i="36" s="1"/>
  <c r="M508" i="35"/>
  <c r="Q508" i="36" s="1"/>
  <c r="M502" i="35"/>
  <c r="Q502" i="36" s="1"/>
  <c r="M496" i="35"/>
  <c r="Q496" i="36" s="1"/>
  <c r="M497" i="35"/>
  <c r="Q497" i="36" s="1"/>
  <c r="M509" i="35"/>
  <c r="Q509" i="36" s="1"/>
  <c r="M515" i="35"/>
  <c r="Q515" i="36" s="1"/>
  <c r="M500" i="35"/>
  <c r="Q500" i="36" s="1"/>
  <c r="G913" i="36"/>
  <c r="G844" i="35"/>
  <c r="K896" i="35"/>
  <c r="K897" i="35"/>
  <c r="G845" i="35"/>
  <c r="G764" i="36"/>
  <c r="G679" i="36"/>
  <c r="G595" i="36"/>
  <c r="G596" i="35"/>
  <c r="K658" i="35"/>
  <c r="K966" i="35"/>
  <c r="G914" i="35"/>
  <c r="G762" i="36"/>
  <c r="G598" i="36"/>
  <c r="G846" i="36"/>
  <c r="G680" i="35"/>
  <c r="K742" i="35"/>
  <c r="O492" i="36"/>
  <c r="L492" i="35"/>
  <c r="P492" i="36" s="1"/>
  <c r="G764" i="35"/>
  <c r="K826" i="35"/>
  <c r="G526" i="36"/>
  <c r="O476" i="36"/>
  <c r="L476" i="35"/>
  <c r="P476" i="36" s="1"/>
  <c r="O487" i="36"/>
  <c r="L487" i="35"/>
  <c r="P487" i="36" s="1"/>
  <c r="G844" i="36"/>
  <c r="G678" i="35"/>
  <c r="K740" i="35"/>
  <c r="G765" i="36"/>
  <c r="G527" i="36"/>
  <c r="O579" i="36"/>
  <c r="L579" i="35"/>
  <c r="P579" i="36" s="1"/>
  <c r="G599" i="36"/>
  <c r="O480" i="36"/>
  <c r="L480" i="35"/>
  <c r="P480" i="36" s="1"/>
  <c r="G915" i="36"/>
  <c r="G597" i="36"/>
  <c r="O488" i="36"/>
  <c r="L488" i="35"/>
  <c r="P488" i="36" s="1"/>
  <c r="G599" i="35"/>
  <c r="K661" i="35"/>
  <c r="O481" i="36"/>
  <c r="L481" i="35"/>
  <c r="P481" i="36" s="1"/>
  <c r="G916" i="36"/>
  <c r="G524" i="35"/>
  <c r="K575" i="35"/>
  <c r="G595" i="35"/>
  <c r="K657" i="35"/>
  <c r="G845" i="36"/>
  <c r="M514" i="35"/>
  <c r="Q514" i="36" s="1"/>
  <c r="O485" i="36"/>
  <c r="L485" i="35"/>
  <c r="P485" i="36" s="1"/>
  <c r="G765" i="35"/>
  <c r="K827" i="35"/>
  <c r="G525" i="36"/>
  <c r="K743" i="35"/>
  <c r="G681" i="35"/>
  <c r="G763" i="36"/>
  <c r="G525" i="35"/>
  <c r="K576" i="35"/>
  <c r="K824" i="35"/>
  <c r="G762" i="35"/>
  <c r="O475" i="36"/>
  <c r="L475" i="35"/>
  <c r="P475" i="36" s="1"/>
  <c r="G682" i="36"/>
  <c r="G596" i="36"/>
  <c r="G524" i="36"/>
  <c r="O478" i="36"/>
  <c r="L478" i="35"/>
  <c r="P478" i="36" s="1"/>
  <c r="K965" i="35"/>
  <c r="G913" i="35"/>
  <c r="O482" i="36"/>
  <c r="L482" i="35"/>
  <c r="P482" i="36" s="1"/>
  <c r="O474" i="36"/>
  <c r="L474" i="35"/>
  <c r="P474" i="36" s="1"/>
  <c r="G598" i="35"/>
  <c r="K660" i="35"/>
  <c r="G846" i="35"/>
  <c r="K898" i="35"/>
  <c r="O479" i="36"/>
  <c r="L479" i="35"/>
  <c r="P479" i="36" s="1"/>
  <c r="O491" i="36"/>
  <c r="L491" i="35"/>
  <c r="P491" i="36" s="1"/>
  <c r="G678" i="36"/>
  <c r="O490" i="36"/>
  <c r="L490" i="35"/>
  <c r="P490" i="36" s="1"/>
  <c r="K744" i="35"/>
  <c r="G682" i="35"/>
  <c r="G526" i="35"/>
  <c r="K577" i="35"/>
  <c r="G527" i="35"/>
  <c r="K578" i="35"/>
  <c r="G916" i="35"/>
  <c r="K968" i="35"/>
  <c r="G679" i="35"/>
  <c r="K741" i="35"/>
  <c r="G914" i="36"/>
  <c r="G843" i="36"/>
  <c r="O486" i="36"/>
  <c r="L486" i="35"/>
  <c r="P486" i="36" s="1"/>
  <c r="G843" i="35"/>
  <c r="K895" i="35"/>
  <c r="G761" i="36"/>
  <c r="O484" i="36"/>
  <c r="L484" i="35"/>
  <c r="P484" i="36" s="1"/>
  <c r="G597" i="35"/>
  <c r="K659" i="35"/>
  <c r="O493" i="36"/>
  <c r="L493" i="35"/>
  <c r="P493" i="36" s="1"/>
  <c r="O472" i="36"/>
  <c r="L472" i="35"/>
  <c r="P472" i="36" s="1"/>
  <c r="G763" i="35"/>
  <c r="K825" i="35"/>
  <c r="M516" i="35"/>
  <c r="Q516" i="36" s="1"/>
  <c r="K967" i="35"/>
  <c r="G915" i="35"/>
  <c r="K823" i="35"/>
  <c r="G761" i="35"/>
  <c r="G680" i="36"/>
  <c r="M510" i="35"/>
  <c r="Q510" i="36" s="1"/>
  <c r="G681" i="36"/>
  <c r="O473" i="36"/>
  <c r="L473" i="35"/>
  <c r="P473" i="36" s="1"/>
  <c r="G682" i="11"/>
  <c r="G680" i="11"/>
  <c r="G596" i="11"/>
  <c r="G761" i="11"/>
  <c r="G599" i="11"/>
  <c r="G764" i="11"/>
  <c r="G843" i="11"/>
  <c r="G915" i="11"/>
  <c r="G913" i="11"/>
  <c r="G845" i="11"/>
  <c r="G679" i="11"/>
  <c r="G678" i="11"/>
  <c r="G527" i="11"/>
  <c r="G595" i="11"/>
  <c r="G762" i="11"/>
  <c r="G598" i="11"/>
  <c r="G846" i="11"/>
  <c r="G524" i="11"/>
  <c r="G844" i="11"/>
  <c r="G914" i="11"/>
  <c r="G526" i="11"/>
  <c r="G916" i="11"/>
  <c r="G763" i="11"/>
  <c r="G765" i="11"/>
  <c r="G597" i="11"/>
  <c r="G681" i="11"/>
  <c r="G525" i="11"/>
  <c r="M487" i="35" l="1"/>
  <c r="Q487" i="36" s="1"/>
  <c r="M486" i="35"/>
  <c r="Q486" i="36" s="1"/>
  <c r="M484" i="35"/>
  <c r="Q484" i="36" s="1"/>
  <c r="M479" i="35"/>
  <c r="Q479" i="36" s="1"/>
  <c r="M476" i="35"/>
  <c r="Q476" i="36" s="1"/>
  <c r="M473" i="35"/>
  <c r="Q473" i="36" s="1"/>
  <c r="M482" i="35"/>
  <c r="Q482" i="36" s="1"/>
  <c r="M492" i="35"/>
  <c r="Q492" i="36" s="1"/>
  <c r="M475" i="35"/>
  <c r="Q475" i="36" s="1"/>
  <c r="M493" i="35"/>
  <c r="Q493" i="36" s="1"/>
  <c r="M474" i="35"/>
  <c r="Q474" i="36" s="1"/>
  <c r="M490" i="35"/>
  <c r="Q490" i="36" s="1"/>
  <c r="O895" i="36"/>
  <c r="L895" i="35"/>
  <c r="P895" i="36" s="1"/>
  <c r="G945" i="35"/>
  <c r="G936" i="35"/>
  <c r="G927" i="35"/>
  <c r="M491" i="35"/>
  <c r="Q491" i="36" s="1"/>
  <c r="G630" i="36"/>
  <c r="G619" i="36"/>
  <c r="G608" i="36"/>
  <c r="G636" i="36"/>
  <c r="G704" i="35"/>
  <c r="G693" i="35"/>
  <c r="G715" i="35"/>
  <c r="O657" i="36"/>
  <c r="L657" i="35"/>
  <c r="P657" i="36" s="1"/>
  <c r="O742" i="36"/>
  <c r="L742" i="35"/>
  <c r="P742" i="36" s="1"/>
  <c r="O578" i="36"/>
  <c r="L578" i="35"/>
  <c r="P578" i="36" s="1"/>
  <c r="G555" i="35"/>
  <c r="G537" i="35"/>
  <c r="G546" i="35"/>
  <c r="G716" i="36"/>
  <c r="G694" i="36"/>
  <c r="G705" i="36"/>
  <c r="G553" i="36"/>
  <c r="G544" i="36"/>
  <c r="G535" i="36"/>
  <c r="O575" i="36"/>
  <c r="L575" i="35"/>
  <c r="P575" i="36" s="1"/>
  <c r="G874" i="36"/>
  <c r="G856" i="36"/>
  <c r="G865" i="36"/>
  <c r="O577" i="36"/>
  <c r="L577" i="35"/>
  <c r="P577" i="36" s="1"/>
  <c r="G552" i="35"/>
  <c r="G543" i="35"/>
  <c r="G534" i="35"/>
  <c r="G631" i="36"/>
  <c r="G637" i="36"/>
  <c r="G620" i="36"/>
  <c r="G609" i="36"/>
  <c r="G546" i="36"/>
  <c r="G537" i="36"/>
  <c r="G555" i="36"/>
  <c r="G713" i="36"/>
  <c r="G691" i="36"/>
  <c r="G702" i="36"/>
  <c r="O743" i="36"/>
  <c r="L743" i="35"/>
  <c r="P743" i="36" s="1"/>
  <c r="G795" i="35"/>
  <c r="G773" i="35"/>
  <c r="G784" i="35"/>
  <c r="G536" i="35"/>
  <c r="G545" i="35"/>
  <c r="G554" i="35"/>
  <c r="G933" i="35"/>
  <c r="G942" i="35"/>
  <c r="G924" i="35"/>
  <c r="O827" i="36"/>
  <c r="L827" i="35"/>
  <c r="P827" i="36" s="1"/>
  <c r="G777" i="36"/>
  <c r="G799" i="36"/>
  <c r="G788" i="36"/>
  <c r="O823" i="36"/>
  <c r="L823" i="35"/>
  <c r="P823" i="36" s="1"/>
  <c r="O659" i="36"/>
  <c r="L659" i="35"/>
  <c r="P659" i="36" s="1"/>
  <c r="G853" i="36"/>
  <c r="G871" i="36"/>
  <c r="G862" i="36"/>
  <c r="G694" i="35"/>
  <c r="G716" i="35"/>
  <c r="G705" i="35"/>
  <c r="O965" i="36"/>
  <c r="L965" i="35"/>
  <c r="P965" i="36" s="1"/>
  <c r="G777" i="35"/>
  <c r="G799" i="35"/>
  <c r="G788" i="35"/>
  <c r="G945" i="36"/>
  <c r="G927" i="36"/>
  <c r="G936" i="36"/>
  <c r="G926" i="36"/>
  <c r="G944" i="36"/>
  <c r="G935" i="36"/>
  <c r="G554" i="36"/>
  <c r="G545" i="36"/>
  <c r="G536" i="36"/>
  <c r="G621" i="36"/>
  <c r="G610" i="36"/>
  <c r="G638" i="36"/>
  <c r="G632" i="36"/>
  <c r="G787" i="36"/>
  <c r="G776" i="36"/>
  <c r="G798" i="36"/>
  <c r="G635" i="35"/>
  <c r="G629" i="35"/>
  <c r="G618" i="35"/>
  <c r="G607" i="35"/>
  <c r="G714" i="36"/>
  <c r="G703" i="36"/>
  <c r="G692" i="36"/>
  <c r="G944" i="35"/>
  <c r="G926" i="35"/>
  <c r="G935" i="35"/>
  <c r="G631" i="35"/>
  <c r="G609" i="35"/>
  <c r="G637" i="35"/>
  <c r="G620" i="35"/>
  <c r="O744" i="36"/>
  <c r="L744" i="35"/>
  <c r="P744" i="36" s="1"/>
  <c r="O898" i="36"/>
  <c r="L898" i="35"/>
  <c r="P898" i="36" s="1"/>
  <c r="M478" i="35"/>
  <c r="Q478" i="36" s="1"/>
  <c r="G774" i="35"/>
  <c r="G796" i="35"/>
  <c r="G785" i="35"/>
  <c r="M485" i="35"/>
  <c r="Q485" i="36" s="1"/>
  <c r="M481" i="35"/>
  <c r="Q481" i="36" s="1"/>
  <c r="M480" i="35"/>
  <c r="Q480" i="36" s="1"/>
  <c r="O740" i="36"/>
  <c r="L740" i="35"/>
  <c r="P740" i="36" s="1"/>
  <c r="G796" i="36"/>
  <c r="G774" i="36"/>
  <c r="G785" i="36"/>
  <c r="G855" i="35"/>
  <c r="G873" i="35"/>
  <c r="G864" i="35"/>
  <c r="G871" i="35"/>
  <c r="G862" i="35"/>
  <c r="G853" i="35"/>
  <c r="O967" i="36"/>
  <c r="L967" i="35"/>
  <c r="P967" i="36" s="1"/>
  <c r="G865" i="35"/>
  <c r="G874" i="35"/>
  <c r="G856" i="35"/>
  <c r="O824" i="36"/>
  <c r="L824" i="35"/>
  <c r="P824" i="36" s="1"/>
  <c r="G712" i="35"/>
  <c r="G690" i="35"/>
  <c r="G701" i="35"/>
  <c r="O826" i="36"/>
  <c r="L826" i="35"/>
  <c r="P826" i="36" s="1"/>
  <c r="O897" i="36"/>
  <c r="L897" i="35"/>
  <c r="P897" i="36" s="1"/>
  <c r="G692" i="35"/>
  <c r="G703" i="35"/>
  <c r="G714" i="35"/>
  <c r="G943" i="36"/>
  <c r="G934" i="36"/>
  <c r="G925" i="36"/>
  <c r="O660" i="36"/>
  <c r="L660" i="35"/>
  <c r="P660" i="36" s="1"/>
  <c r="O576" i="36"/>
  <c r="L576" i="35"/>
  <c r="P576" i="36" s="1"/>
  <c r="G787" i="35"/>
  <c r="G776" i="35"/>
  <c r="G798" i="35"/>
  <c r="G943" i="35"/>
  <c r="G934" i="35"/>
  <c r="G925" i="35"/>
  <c r="O896" i="36"/>
  <c r="L896" i="35"/>
  <c r="P896" i="36" s="1"/>
  <c r="G635" i="36"/>
  <c r="G618" i="36"/>
  <c r="G629" i="36"/>
  <c r="G607" i="36"/>
  <c r="O825" i="36"/>
  <c r="L825" i="35"/>
  <c r="P825" i="36" s="1"/>
  <c r="O741" i="36"/>
  <c r="L741" i="35"/>
  <c r="P741" i="36" s="1"/>
  <c r="G632" i="35"/>
  <c r="G610" i="35"/>
  <c r="G638" i="35"/>
  <c r="G621" i="35"/>
  <c r="G535" i="35"/>
  <c r="G553" i="35"/>
  <c r="G544" i="35"/>
  <c r="O661" i="36"/>
  <c r="L661" i="35"/>
  <c r="P661" i="36" s="1"/>
  <c r="G872" i="36"/>
  <c r="G863" i="36"/>
  <c r="G854" i="36"/>
  <c r="O966" i="36"/>
  <c r="L966" i="35"/>
  <c r="P966" i="36" s="1"/>
  <c r="G872" i="35"/>
  <c r="G863" i="35"/>
  <c r="G854" i="35"/>
  <c r="G775" i="35"/>
  <c r="G786" i="35"/>
  <c r="G797" i="35"/>
  <c r="G795" i="36"/>
  <c r="G784" i="36"/>
  <c r="G773" i="36"/>
  <c r="G713" i="35"/>
  <c r="G691" i="35"/>
  <c r="G702" i="35"/>
  <c r="G543" i="36"/>
  <c r="G534" i="36"/>
  <c r="G552" i="36"/>
  <c r="G797" i="36"/>
  <c r="G786" i="36"/>
  <c r="G775" i="36"/>
  <c r="G873" i="36"/>
  <c r="G864" i="36"/>
  <c r="G855" i="36"/>
  <c r="G611" i="35"/>
  <c r="G622" i="35"/>
  <c r="G633" i="35"/>
  <c r="G639" i="35"/>
  <c r="G622" i="36"/>
  <c r="G639" i="36"/>
  <c r="G633" i="36"/>
  <c r="G611" i="36"/>
  <c r="O658" i="36"/>
  <c r="L658" i="35"/>
  <c r="P658" i="36" s="1"/>
  <c r="G942" i="36"/>
  <c r="G924" i="36"/>
  <c r="G933" i="36"/>
  <c r="G693" i="36"/>
  <c r="G715" i="36"/>
  <c r="G704" i="36"/>
  <c r="M472" i="35"/>
  <c r="Q472" i="36" s="1"/>
  <c r="O968" i="36"/>
  <c r="L968" i="35"/>
  <c r="P968" i="36" s="1"/>
  <c r="G690" i="36"/>
  <c r="G701" i="36"/>
  <c r="G712" i="36"/>
  <c r="M488" i="35"/>
  <c r="Q488" i="36" s="1"/>
  <c r="M579" i="35"/>
  <c r="Q579" i="36" s="1"/>
  <c r="G619" i="35"/>
  <c r="G636" i="35"/>
  <c r="G630" i="35"/>
  <c r="G608" i="35"/>
  <c r="G943" i="11"/>
  <c r="G934" i="11"/>
  <c r="G925" i="11"/>
  <c r="G690" i="11"/>
  <c r="G701" i="11"/>
  <c r="G712" i="11"/>
  <c r="G784" i="11"/>
  <c r="G795" i="11"/>
  <c r="G773" i="11"/>
  <c r="G716" i="11"/>
  <c r="G694" i="11"/>
  <c r="G705" i="11"/>
  <c r="G863" i="11"/>
  <c r="G854" i="11"/>
  <c r="G872" i="11"/>
  <c r="G713" i="11"/>
  <c r="G702" i="11"/>
  <c r="G691" i="11"/>
  <c r="G797" i="11"/>
  <c r="G786" i="11"/>
  <c r="G775" i="11"/>
  <c r="G704" i="11"/>
  <c r="G715" i="11"/>
  <c r="G693" i="11"/>
  <c r="G865" i="11"/>
  <c r="G856" i="11"/>
  <c r="G874" i="11"/>
  <c r="G638" i="11"/>
  <c r="G632" i="11"/>
  <c r="G621" i="11"/>
  <c r="G610" i="11"/>
  <c r="G926" i="11"/>
  <c r="G944" i="11"/>
  <c r="G935" i="11"/>
  <c r="G787" i="11"/>
  <c r="G798" i="11"/>
  <c r="G776" i="11"/>
  <c r="G927" i="11"/>
  <c r="G945" i="11"/>
  <c r="G936" i="11"/>
  <c r="G871" i="11"/>
  <c r="G862" i="11"/>
  <c r="G853" i="11"/>
  <c r="G633" i="11"/>
  <c r="G611" i="11"/>
  <c r="G639" i="11"/>
  <c r="G622" i="11"/>
  <c r="G636" i="11"/>
  <c r="G630" i="11"/>
  <c r="G619" i="11"/>
  <c r="G608" i="11"/>
  <c r="G536" i="11"/>
  <c r="G554" i="11"/>
  <c r="G545" i="11"/>
  <c r="G534" i="11"/>
  <c r="G543" i="11"/>
  <c r="G552" i="11"/>
  <c r="G635" i="11"/>
  <c r="G607" i="11"/>
  <c r="G629" i="11"/>
  <c r="G618" i="11"/>
  <c r="G873" i="11"/>
  <c r="G864" i="11"/>
  <c r="G855" i="11"/>
  <c r="G692" i="11"/>
  <c r="G703" i="11"/>
  <c r="G714" i="11"/>
  <c r="G609" i="11"/>
  <c r="G631" i="11"/>
  <c r="G620" i="11"/>
  <c r="G637" i="11"/>
  <c r="G788" i="11"/>
  <c r="G777" i="11"/>
  <c r="G799" i="11"/>
  <c r="G796" i="11"/>
  <c r="G785" i="11"/>
  <c r="G774" i="11"/>
  <c r="G537" i="11"/>
  <c r="G546" i="11"/>
  <c r="G555" i="11"/>
  <c r="G924" i="11"/>
  <c r="G942" i="11"/>
  <c r="G933" i="11"/>
  <c r="G535" i="11"/>
  <c r="G553" i="11"/>
  <c r="G544" i="11"/>
  <c r="M827" i="35" l="1"/>
  <c r="Q827" i="36" s="1"/>
  <c r="M743" i="35"/>
  <c r="Q743" i="36" s="1"/>
  <c r="M657" i="35"/>
  <c r="Q657" i="36" s="1"/>
  <c r="M896" i="35"/>
  <c r="Q896" i="36" s="1"/>
  <c r="M965" i="35"/>
  <c r="Q965" i="36" s="1"/>
  <c r="M966" i="35"/>
  <c r="Q966" i="36" s="1"/>
  <c r="M659" i="35"/>
  <c r="Q659" i="36" s="1"/>
  <c r="M895" i="35"/>
  <c r="Q895" i="36" s="1"/>
  <c r="M660" i="35"/>
  <c r="Q660" i="36" s="1"/>
  <c r="M741" i="35"/>
  <c r="Q741" i="36" s="1"/>
  <c r="M968" i="35"/>
  <c r="Q968" i="36" s="1"/>
  <c r="M742" i="35"/>
  <c r="Q742" i="36" s="1"/>
  <c r="M661" i="35"/>
  <c r="Q661" i="36" s="1"/>
  <c r="M898" i="35"/>
  <c r="Q898" i="36" s="1"/>
  <c r="M967" i="35"/>
  <c r="Q967" i="36" s="1"/>
  <c r="M897" i="35"/>
  <c r="Q897" i="36" s="1"/>
  <c r="M575" i="35"/>
  <c r="Q575" i="36" s="1"/>
  <c r="M578" i="35"/>
  <c r="Q578" i="36" s="1"/>
  <c r="M740" i="35"/>
  <c r="Q740" i="36" s="1"/>
  <c r="M658" i="35"/>
  <c r="Q658" i="36" s="1"/>
  <c r="M577" i="35"/>
  <c r="Q577" i="36" s="1"/>
  <c r="M576" i="35"/>
  <c r="Q576" i="36" s="1"/>
  <c r="M824" i="35"/>
  <c r="Q824" i="36" s="1"/>
  <c r="M744" i="35"/>
  <c r="Q744" i="36" s="1"/>
  <c r="M823" i="35"/>
  <c r="Q823" i="36" s="1"/>
  <c r="M825" i="35"/>
  <c r="Q825" i="36" s="1"/>
  <c r="M826" i="35"/>
  <c r="Q826" i="36" s="1"/>
  <c r="D37" i="22"/>
  <c r="F37" i="22" s="1"/>
  <c r="D176" i="22"/>
  <c r="P176" i="22" s="1"/>
  <c r="P181" i="22" s="1"/>
  <c r="H976" i="36" l="1"/>
  <c r="K976" i="36" s="1"/>
  <c r="L976" i="36" s="1"/>
  <c r="M976" i="36" s="1"/>
  <c r="H977" i="36"/>
  <c r="K977" i="36" s="1"/>
  <c r="L977" i="36" s="1"/>
  <c r="M977" i="36" s="1"/>
  <c r="H975" i="36"/>
  <c r="H977" i="35"/>
  <c r="K977" i="35" s="1"/>
  <c r="H975" i="35"/>
  <c r="H976" i="35"/>
  <c r="K976" i="35" s="1"/>
  <c r="N176" i="22"/>
  <c r="N181" i="22" s="1"/>
  <c r="L176" i="22"/>
  <c r="L181" i="22" s="1"/>
  <c r="M176" i="22"/>
  <c r="M181" i="22" s="1"/>
  <c r="H977" i="11"/>
  <c r="K977" i="11" s="1"/>
  <c r="H975" i="11"/>
  <c r="H976" i="11"/>
  <c r="K976" i="11" s="1"/>
  <c r="K176" i="22"/>
  <c r="K181" i="22" s="1"/>
  <c r="O176" i="22"/>
  <c r="O181" i="22" s="1"/>
  <c r="H837" i="36" l="1"/>
  <c r="K837" i="36" s="1"/>
  <c r="L837" i="36" s="1"/>
  <c r="M837" i="36" s="1"/>
  <c r="H835" i="36"/>
  <c r="H836" i="36"/>
  <c r="K836" i="36" s="1"/>
  <c r="L836" i="36" s="1"/>
  <c r="M836" i="36" s="1"/>
  <c r="H837" i="35"/>
  <c r="K837" i="35" s="1"/>
  <c r="H836" i="35"/>
  <c r="K836" i="35" s="1"/>
  <c r="H835" i="35"/>
  <c r="H588" i="36"/>
  <c r="K588" i="36" s="1"/>
  <c r="L588" i="36" s="1"/>
  <c r="M588" i="36" s="1"/>
  <c r="H586" i="36"/>
  <c r="H587" i="35"/>
  <c r="K587" i="35" s="1"/>
  <c r="H587" i="36"/>
  <c r="K587" i="36" s="1"/>
  <c r="L587" i="36" s="1"/>
  <c r="M587" i="36" s="1"/>
  <c r="H588" i="35"/>
  <c r="K588" i="35" s="1"/>
  <c r="H586" i="35"/>
  <c r="H916" i="36"/>
  <c r="H915" i="36"/>
  <c r="H914" i="36"/>
  <c r="H913" i="36"/>
  <c r="K975" i="36"/>
  <c r="L975" i="36" s="1"/>
  <c r="M975" i="36" s="1"/>
  <c r="H671" i="36"/>
  <c r="K671" i="36" s="1"/>
  <c r="L671" i="36" s="1"/>
  <c r="M671" i="36" s="1"/>
  <c r="H669" i="36"/>
  <c r="H670" i="36"/>
  <c r="K670" i="36" s="1"/>
  <c r="L670" i="36" s="1"/>
  <c r="M670" i="36" s="1"/>
  <c r="H669" i="35"/>
  <c r="H671" i="35"/>
  <c r="K671" i="35" s="1"/>
  <c r="H670" i="35"/>
  <c r="K670" i="35" s="1"/>
  <c r="O976" i="36"/>
  <c r="L976" i="35"/>
  <c r="P976" i="36" s="1"/>
  <c r="H915" i="35"/>
  <c r="H916" i="35"/>
  <c r="H914" i="35"/>
  <c r="H913" i="35"/>
  <c r="K975" i="35"/>
  <c r="H754" i="36"/>
  <c r="K754" i="36" s="1"/>
  <c r="L754" i="36" s="1"/>
  <c r="M754" i="36" s="1"/>
  <c r="H752" i="36"/>
  <c r="H753" i="36"/>
  <c r="K753" i="36" s="1"/>
  <c r="H753" i="35"/>
  <c r="K753" i="35" s="1"/>
  <c r="H754" i="35"/>
  <c r="K754" i="35" s="1"/>
  <c r="H752" i="35"/>
  <c r="H906" i="36"/>
  <c r="K906" i="36" s="1"/>
  <c r="L906" i="36" s="1"/>
  <c r="M906" i="36" s="1"/>
  <c r="H907" i="36"/>
  <c r="K907" i="36" s="1"/>
  <c r="L907" i="36" s="1"/>
  <c r="M907" i="36" s="1"/>
  <c r="H905" i="36"/>
  <c r="H907" i="35"/>
  <c r="K907" i="35" s="1"/>
  <c r="H906" i="35"/>
  <c r="K906" i="35" s="1"/>
  <c r="H905" i="35"/>
  <c r="O977" i="36"/>
  <c r="L977" i="35"/>
  <c r="H754" i="11"/>
  <c r="K754" i="11" s="1"/>
  <c r="L754" i="11" s="1"/>
  <c r="M754" i="11" s="1"/>
  <c r="H752" i="11"/>
  <c r="K752" i="11" s="1"/>
  <c r="H753" i="11"/>
  <c r="K753" i="11" s="1"/>
  <c r="L753" i="11" s="1"/>
  <c r="M753" i="11" s="1"/>
  <c r="H835" i="11"/>
  <c r="K835" i="11" s="1"/>
  <c r="H836" i="11"/>
  <c r="K836" i="11" s="1"/>
  <c r="L836" i="11" s="1"/>
  <c r="M836" i="11" s="1"/>
  <c r="H837" i="11"/>
  <c r="K837" i="11" s="1"/>
  <c r="L837" i="11" s="1"/>
  <c r="M837" i="11" s="1"/>
  <c r="H671" i="11"/>
  <c r="K671" i="11" s="1"/>
  <c r="L671" i="11" s="1"/>
  <c r="M671" i="11" s="1"/>
  <c r="H669" i="11"/>
  <c r="K669" i="11" s="1"/>
  <c r="H670" i="11"/>
  <c r="K670" i="11" s="1"/>
  <c r="L670" i="11" s="1"/>
  <c r="M670" i="11" s="1"/>
  <c r="K975" i="11"/>
  <c r="L976" i="11"/>
  <c r="M976" i="11" s="1"/>
  <c r="H907" i="11"/>
  <c r="K907" i="11" s="1"/>
  <c r="H906" i="11"/>
  <c r="K906" i="11" s="1"/>
  <c r="H905" i="11"/>
  <c r="H587" i="11"/>
  <c r="K587" i="11" s="1"/>
  <c r="H588" i="11"/>
  <c r="K588" i="11" s="1"/>
  <c r="H586" i="11"/>
  <c r="L977" i="11"/>
  <c r="M977" i="11" s="1"/>
  <c r="M976" i="35" l="1"/>
  <c r="Q976" i="36" s="1"/>
  <c r="H525" i="35"/>
  <c r="H526" i="35"/>
  <c r="H524" i="35"/>
  <c r="H527" i="35"/>
  <c r="K586" i="35"/>
  <c r="O670" i="36"/>
  <c r="L670" i="35"/>
  <c r="P670" i="36" s="1"/>
  <c r="H598" i="35"/>
  <c r="H596" i="35"/>
  <c r="H597" i="35"/>
  <c r="H595" i="35"/>
  <c r="H599" i="35"/>
  <c r="K669" i="35"/>
  <c r="H525" i="36"/>
  <c r="H524" i="36"/>
  <c r="H526" i="36"/>
  <c r="H527" i="36"/>
  <c r="K586" i="36"/>
  <c r="L586" i="36" s="1"/>
  <c r="M586" i="36" s="1"/>
  <c r="O587" i="36"/>
  <c r="L587" i="35"/>
  <c r="P587" i="36" s="1"/>
  <c r="O975" i="36"/>
  <c r="L975" i="35"/>
  <c r="P975" i="36" s="1"/>
  <c r="H596" i="36"/>
  <c r="H595" i="36"/>
  <c r="H597" i="36"/>
  <c r="H599" i="36"/>
  <c r="H598" i="36"/>
  <c r="K669" i="36"/>
  <c r="L669" i="36" s="1"/>
  <c r="M669" i="36" s="1"/>
  <c r="H761" i="35"/>
  <c r="H764" i="35"/>
  <c r="H765" i="35"/>
  <c r="H763" i="35"/>
  <c r="H762" i="35"/>
  <c r="K835" i="35"/>
  <c r="H843" i="35"/>
  <c r="H844" i="35"/>
  <c r="H846" i="35"/>
  <c r="H845" i="35"/>
  <c r="K905" i="35"/>
  <c r="O907" i="36"/>
  <c r="L907" i="35"/>
  <c r="P907" i="36" s="1"/>
  <c r="H934" i="35"/>
  <c r="K934" i="35" s="1"/>
  <c r="H925" i="35"/>
  <c r="K925" i="35" s="1"/>
  <c r="H943" i="35"/>
  <c r="K943" i="35" s="1"/>
  <c r="K914" i="35"/>
  <c r="L836" i="35"/>
  <c r="P836" i="36" s="1"/>
  <c r="O836" i="36"/>
  <c r="L753" i="36"/>
  <c r="M753" i="36" s="1"/>
  <c r="H679" i="36"/>
  <c r="H680" i="36"/>
  <c r="H681" i="36"/>
  <c r="H678" i="36"/>
  <c r="H682" i="36"/>
  <c r="K752" i="36"/>
  <c r="L752" i="36" s="1"/>
  <c r="M752" i="36" s="1"/>
  <c r="H846" i="36"/>
  <c r="H845" i="36"/>
  <c r="H844" i="36"/>
  <c r="H843" i="36"/>
  <c r="K905" i="36"/>
  <c r="L905" i="36" s="1"/>
  <c r="M905" i="36" s="1"/>
  <c r="H945" i="35"/>
  <c r="K945" i="35" s="1"/>
  <c r="H936" i="35"/>
  <c r="K936" i="35" s="1"/>
  <c r="H927" i="35"/>
  <c r="K927" i="35" s="1"/>
  <c r="K916" i="35"/>
  <c r="H942" i="36"/>
  <c r="H933" i="36"/>
  <c r="H924" i="36"/>
  <c r="L837" i="35"/>
  <c r="P837" i="36" s="1"/>
  <c r="O837" i="36"/>
  <c r="O588" i="36"/>
  <c r="L588" i="35"/>
  <c r="P588" i="36" s="1"/>
  <c r="M977" i="35"/>
  <c r="Q977" i="36" s="1"/>
  <c r="P977" i="36"/>
  <c r="O906" i="36"/>
  <c r="L906" i="35"/>
  <c r="P906" i="36" s="1"/>
  <c r="H935" i="35"/>
  <c r="K935" i="35" s="1"/>
  <c r="H926" i="35"/>
  <c r="K926" i="35" s="1"/>
  <c r="H944" i="35"/>
  <c r="K944" i="35" s="1"/>
  <c r="K915" i="35"/>
  <c r="H943" i="36"/>
  <c r="H934" i="36"/>
  <c r="H925" i="36"/>
  <c r="O671" i="36"/>
  <c r="L671" i="35"/>
  <c r="P671" i="36" s="1"/>
  <c r="H933" i="35"/>
  <c r="K933" i="35" s="1"/>
  <c r="H924" i="35"/>
  <c r="K924" i="35" s="1"/>
  <c r="H942" i="35"/>
  <c r="K942" i="35" s="1"/>
  <c r="K913" i="35"/>
  <c r="H944" i="36"/>
  <c r="H935" i="36"/>
  <c r="H926" i="36"/>
  <c r="H765" i="36"/>
  <c r="H764" i="36"/>
  <c r="H763" i="36"/>
  <c r="H761" i="36"/>
  <c r="H762" i="36"/>
  <c r="K835" i="36"/>
  <c r="L835" i="36" s="1"/>
  <c r="M835" i="36" s="1"/>
  <c r="O754" i="36"/>
  <c r="L754" i="35"/>
  <c r="P754" i="36" s="1"/>
  <c r="O753" i="36"/>
  <c r="L753" i="35"/>
  <c r="P753" i="36" s="1"/>
  <c r="H680" i="35"/>
  <c r="H681" i="35"/>
  <c r="H679" i="35"/>
  <c r="H678" i="35"/>
  <c r="H682" i="35"/>
  <c r="K752" i="35"/>
  <c r="H936" i="36"/>
  <c r="H927" i="36"/>
  <c r="H945" i="36"/>
  <c r="L975" i="11"/>
  <c r="M975" i="11" s="1"/>
  <c r="L835" i="11"/>
  <c r="M835" i="11" s="1"/>
  <c r="L588" i="11"/>
  <c r="M588" i="11" s="1"/>
  <c r="L907" i="11"/>
  <c r="M907" i="11" s="1"/>
  <c r="L752" i="11"/>
  <c r="M752" i="11" s="1"/>
  <c r="L906" i="11"/>
  <c r="M906" i="11" s="1"/>
  <c r="L587" i="11"/>
  <c r="M587" i="11" s="1"/>
  <c r="L669" i="11"/>
  <c r="M669" i="11" s="1"/>
  <c r="K586" i="11"/>
  <c r="K905" i="11"/>
  <c r="M754" i="35" l="1"/>
  <c r="Q754" i="36" s="1"/>
  <c r="M906" i="35"/>
  <c r="Q906" i="36" s="1"/>
  <c r="M670" i="35"/>
  <c r="Q670" i="36" s="1"/>
  <c r="M588" i="35"/>
  <c r="Q588" i="36" s="1"/>
  <c r="M836" i="35"/>
  <c r="Q836" i="36" s="1"/>
  <c r="M587" i="35"/>
  <c r="Q587" i="36" s="1"/>
  <c r="M671" i="35"/>
  <c r="Q671" i="36" s="1"/>
  <c r="M907" i="35"/>
  <c r="Q907" i="36" s="1"/>
  <c r="M753" i="35"/>
  <c r="Q753" i="36" s="1"/>
  <c r="M837" i="35"/>
  <c r="Q837" i="36" s="1"/>
  <c r="O943" i="36"/>
  <c r="L943" i="35"/>
  <c r="P943" i="36" s="1"/>
  <c r="H785" i="35"/>
  <c r="K785" i="35" s="1"/>
  <c r="H796" i="35"/>
  <c r="K796" i="35" s="1"/>
  <c r="H774" i="35"/>
  <c r="K774" i="35" s="1"/>
  <c r="K762" i="35"/>
  <c r="H635" i="35"/>
  <c r="K635" i="35" s="1"/>
  <c r="H607" i="35"/>
  <c r="K595" i="35"/>
  <c r="H784" i="36"/>
  <c r="H773" i="36"/>
  <c r="H795" i="36"/>
  <c r="H797" i="35"/>
  <c r="K797" i="35" s="1"/>
  <c r="H786" i="35"/>
  <c r="K786" i="35" s="1"/>
  <c r="H775" i="35"/>
  <c r="K775" i="35" s="1"/>
  <c r="K763" i="35"/>
  <c r="H637" i="35"/>
  <c r="K637" i="35" s="1"/>
  <c r="H609" i="35"/>
  <c r="K597" i="35"/>
  <c r="H691" i="35"/>
  <c r="K691" i="35" s="1"/>
  <c r="H713" i="35"/>
  <c r="K713" i="35" s="1"/>
  <c r="H702" i="35"/>
  <c r="K702" i="35" s="1"/>
  <c r="K679" i="35"/>
  <c r="O934" i="36"/>
  <c r="L934" i="35"/>
  <c r="P934" i="36" s="1"/>
  <c r="H788" i="35"/>
  <c r="K788" i="35" s="1"/>
  <c r="H799" i="35"/>
  <c r="K799" i="35" s="1"/>
  <c r="H777" i="35"/>
  <c r="K777" i="35" s="1"/>
  <c r="K765" i="35"/>
  <c r="H608" i="35"/>
  <c r="H636" i="35"/>
  <c r="K636" i="35" s="1"/>
  <c r="K596" i="35"/>
  <c r="H785" i="36"/>
  <c r="H796" i="36"/>
  <c r="H774" i="36"/>
  <c r="H693" i="36"/>
  <c r="H715" i="36"/>
  <c r="H704" i="36"/>
  <c r="H798" i="35"/>
  <c r="K798" i="35" s="1"/>
  <c r="H787" i="35"/>
  <c r="K787" i="35" s="1"/>
  <c r="H776" i="35"/>
  <c r="K776" i="35" s="1"/>
  <c r="K764" i="35"/>
  <c r="H610" i="35"/>
  <c r="H638" i="35"/>
  <c r="K638" i="35" s="1"/>
  <c r="K598" i="35"/>
  <c r="H712" i="35"/>
  <c r="K712" i="35" s="1"/>
  <c r="H701" i="35"/>
  <c r="K701" i="35" s="1"/>
  <c r="H690" i="35"/>
  <c r="K690" i="35" s="1"/>
  <c r="K678" i="35"/>
  <c r="H690" i="36"/>
  <c r="H712" i="36"/>
  <c r="H701" i="36"/>
  <c r="H692" i="36"/>
  <c r="H714" i="36"/>
  <c r="H703" i="36"/>
  <c r="H784" i="35"/>
  <c r="K784" i="35" s="1"/>
  <c r="H795" i="35"/>
  <c r="K795" i="35" s="1"/>
  <c r="H773" i="35"/>
  <c r="K773" i="35" s="1"/>
  <c r="K761" i="35"/>
  <c r="H694" i="36"/>
  <c r="H716" i="36"/>
  <c r="H705" i="36"/>
  <c r="O936" i="36"/>
  <c r="L936" i="35"/>
  <c r="P936" i="36" s="1"/>
  <c r="H702" i="36"/>
  <c r="H691" i="36"/>
  <c r="H713" i="36"/>
  <c r="H786" i="36"/>
  <c r="H797" i="36"/>
  <c r="H775" i="36"/>
  <c r="O916" i="36"/>
  <c r="L916" i="35"/>
  <c r="P916" i="36" s="1"/>
  <c r="O905" i="36"/>
  <c r="L905" i="35"/>
  <c r="P905" i="36" s="1"/>
  <c r="H610" i="36"/>
  <c r="H638" i="36"/>
  <c r="H546" i="36"/>
  <c r="H537" i="36"/>
  <c r="H555" i="36"/>
  <c r="H703" i="35"/>
  <c r="K703" i="35" s="1"/>
  <c r="H692" i="35"/>
  <c r="K692" i="35" s="1"/>
  <c r="H714" i="35"/>
  <c r="K714" i="35" s="1"/>
  <c r="K680" i="35"/>
  <c r="H864" i="35"/>
  <c r="K864" i="35" s="1"/>
  <c r="H873" i="35"/>
  <c r="K873" i="35" s="1"/>
  <c r="H855" i="35"/>
  <c r="K855" i="35" s="1"/>
  <c r="K845" i="35"/>
  <c r="H639" i="36"/>
  <c r="H611" i="36"/>
  <c r="H554" i="36"/>
  <c r="H545" i="36"/>
  <c r="H536" i="36"/>
  <c r="O586" i="36"/>
  <c r="L586" i="35"/>
  <c r="P586" i="36" s="1"/>
  <c r="H716" i="35"/>
  <c r="K716" i="35" s="1"/>
  <c r="H694" i="35"/>
  <c r="K694" i="35" s="1"/>
  <c r="H705" i="35"/>
  <c r="K705" i="35" s="1"/>
  <c r="K682" i="35"/>
  <c r="H777" i="36"/>
  <c r="H799" i="36"/>
  <c r="H788" i="36"/>
  <c r="O915" i="36"/>
  <c r="L915" i="35"/>
  <c r="P915" i="36" s="1"/>
  <c r="H871" i="36"/>
  <c r="H862" i="36"/>
  <c r="H853" i="36"/>
  <c r="H865" i="35"/>
  <c r="K865" i="35" s="1"/>
  <c r="H856" i="35"/>
  <c r="K856" i="35" s="1"/>
  <c r="H874" i="35"/>
  <c r="K874" i="35" s="1"/>
  <c r="K846" i="35"/>
  <c r="H637" i="36"/>
  <c r="H609" i="36"/>
  <c r="H543" i="36"/>
  <c r="H552" i="36"/>
  <c r="H534" i="36"/>
  <c r="H555" i="35"/>
  <c r="K555" i="35" s="1"/>
  <c r="H537" i="35"/>
  <c r="K537" i="35" s="1"/>
  <c r="H546" i="35"/>
  <c r="K546" i="35" s="1"/>
  <c r="K527" i="35"/>
  <c r="H704" i="35"/>
  <c r="K704" i="35" s="1"/>
  <c r="H715" i="35"/>
  <c r="K715" i="35" s="1"/>
  <c r="H693" i="35"/>
  <c r="K693" i="35" s="1"/>
  <c r="K681" i="35"/>
  <c r="O913" i="36"/>
  <c r="L913" i="35"/>
  <c r="P913" i="36" s="1"/>
  <c r="O944" i="36"/>
  <c r="L944" i="35"/>
  <c r="P944" i="36" s="1"/>
  <c r="H854" i="36"/>
  <c r="H863" i="36"/>
  <c r="H872" i="36"/>
  <c r="H863" i="35"/>
  <c r="K863" i="35" s="1"/>
  <c r="H854" i="35"/>
  <c r="K854" i="35" s="1"/>
  <c r="H872" i="35"/>
  <c r="K872" i="35" s="1"/>
  <c r="K844" i="35"/>
  <c r="H635" i="36"/>
  <c r="H607" i="36"/>
  <c r="H553" i="36"/>
  <c r="H535" i="36"/>
  <c r="H544" i="36"/>
  <c r="H543" i="35"/>
  <c r="K543" i="35" s="1"/>
  <c r="H534" i="35"/>
  <c r="K534" i="35" s="1"/>
  <c r="H552" i="35"/>
  <c r="K552" i="35" s="1"/>
  <c r="K524" i="35"/>
  <c r="O925" i="36"/>
  <c r="L925" i="35"/>
  <c r="P925" i="36" s="1"/>
  <c r="O927" i="36"/>
  <c r="L927" i="35"/>
  <c r="P927" i="36" s="1"/>
  <c r="O945" i="36"/>
  <c r="L945" i="35"/>
  <c r="P945" i="36" s="1"/>
  <c r="O942" i="36"/>
  <c r="L942" i="35"/>
  <c r="P942" i="36" s="1"/>
  <c r="O926" i="36"/>
  <c r="L926" i="35"/>
  <c r="P926" i="36" s="1"/>
  <c r="H864" i="36"/>
  <c r="H873" i="36"/>
  <c r="H855" i="36"/>
  <c r="H862" i="35"/>
  <c r="K862" i="35" s="1"/>
  <c r="H871" i="35"/>
  <c r="K871" i="35" s="1"/>
  <c r="H853" i="35"/>
  <c r="K853" i="35" s="1"/>
  <c r="K843" i="35"/>
  <c r="H636" i="36"/>
  <c r="H608" i="36"/>
  <c r="O669" i="36"/>
  <c r="L669" i="35"/>
  <c r="P669" i="36" s="1"/>
  <c r="H536" i="35"/>
  <c r="K536" i="35" s="1"/>
  <c r="H545" i="35"/>
  <c r="K545" i="35" s="1"/>
  <c r="H554" i="35"/>
  <c r="K554" i="35" s="1"/>
  <c r="K526" i="35"/>
  <c r="O933" i="36"/>
  <c r="L933" i="35"/>
  <c r="P933" i="36" s="1"/>
  <c r="H787" i="36"/>
  <c r="H776" i="36"/>
  <c r="H798" i="36"/>
  <c r="O752" i="36"/>
  <c r="L752" i="35"/>
  <c r="P752" i="36" s="1"/>
  <c r="O924" i="36"/>
  <c r="L924" i="35"/>
  <c r="P924" i="36" s="1"/>
  <c r="O935" i="36"/>
  <c r="L935" i="35"/>
  <c r="P935" i="36" s="1"/>
  <c r="H865" i="36"/>
  <c r="H874" i="36"/>
  <c r="H856" i="36"/>
  <c r="O914" i="36"/>
  <c r="L914" i="35"/>
  <c r="P914" i="36" s="1"/>
  <c r="O835" i="36"/>
  <c r="L835" i="35"/>
  <c r="P835" i="36" s="1"/>
  <c r="M975" i="35"/>
  <c r="Q975" i="36" s="1"/>
  <c r="H611" i="35"/>
  <c r="H639" i="35"/>
  <c r="K639" i="35" s="1"/>
  <c r="K599" i="35"/>
  <c r="H544" i="35"/>
  <c r="K544" i="35" s="1"/>
  <c r="H535" i="35"/>
  <c r="K535" i="35" s="1"/>
  <c r="H553" i="35"/>
  <c r="K553" i="35" s="1"/>
  <c r="K525" i="35"/>
  <c r="L586" i="11"/>
  <c r="M586" i="11" s="1"/>
  <c r="L905" i="11"/>
  <c r="M905" i="11" s="1"/>
  <c r="F224" i="13"/>
  <c r="G224" i="13" s="1"/>
  <c r="F242" i="13"/>
  <c r="G242" i="13" s="1"/>
  <c r="F233" i="13"/>
  <c r="G233" i="13" s="1"/>
  <c r="F251" i="13"/>
  <c r="G251" i="13" s="1"/>
  <c r="F124" i="13"/>
  <c r="G124" i="13" s="1"/>
  <c r="F89" i="13"/>
  <c r="G89" i="13" s="1"/>
  <c r="F117" i="13"/>
  <c r="G117" i="13" s="1"/>
  <c r="F110" i="13"/>
  <c r="G110" i="13" s="1"/>
  <c r="F103" i="13"/>
  <c r="G103" i="13" s="1"/>
  <c r="F261" i="13"/>
  <c r="G261" i="13" s="1"/>
  <c r="F269" i="13"/>
  <c r="G269" i="13" s="1"/>
  <c r="F277" i="13"/>
  <c r="G277" i="13" s="1"/>
  <c r="F285" i="13"/>
  <c r="G285" i="13" s="1"/>
  <c r="M934" i="35" l="1"/>
  <c r="N930" i="35" s="1"/>
  <c r="R930" i="36" s="1"/>
  <c r="M943" i="35"/>
  <c r="Q943" i="36" s="1"/>
  <c r="M752" i="35"/>
  <c r="Q752" i="36" s="1"/>
  <c r="M669" i="35"/>
  <c r="Q669" i="36" s="1"/>
  <c r="M926" i="35"/>
  <c r="N922" i="35" s="1"/>
  <c r="R922" i="36" s="1"/>
  <c r="M913" i="35"/>
  <c r="N909" i="35" s="1"/>
  <c r="R909" i="36" s="1"/>
  <c r="M935" i="35"/>
  <c r="Q935" i="36" s="1"/>
  <c r="M927" i="35"/>
  <c r="Q927" i="36" s="1"/>
  <c r="M905" i="35"/>
  <c r="Q905" i="36" s="1"/>
  <c r="M915" i="35"/>
  <c r="N911" i="35" s="1"/>
  <c r="R911" i="36" s="1"/>
  <c r="M835" i="35"/>
  <c r="Q835" i="36" s="1"/>
  <c r="M945" i="35"/>
  <c r="Q945" i="36" s="1"/>
  <c r="M586" i="35"/>
  <c r="Q586" i="36" s="1"/>
  <c r="M914" i="35"/>
  <c r="N910" i="35" s="1"/>
  <c r="R910" i="36" s="1"/>
  <c r="M944" i="35"/>
  <c r="Q944" i="36" s="1"/>
  <c r="O843" i="36"/>
  <c r="L843" i="35"/>
  <c r="P843" i="36" s="1"/>
  <c r="O524" i="36"/>
  <c r="L524" i="35"/>
  <c r="P524" i="36" s="1"/>
  <c r="O872" i="36"/>
  <c r="L872" i="35"/>
  <c r="P872" i="36" s="1"/>
  <c r="O705" i="36"/>
  <c r="L705" i="35"/>
  <c r="P705" i="36" s="1"/>
  <c r="H632" i="35"/>
  <c r="K632" i="35" s="1"/>
  <c r="H621" i="35"/>
  <c r="K621" i="35" s="1"/>
  <c r="K610" i="35"/>
  <c r="O702" i="36"/>
  <c r="L702" i="35"/>
  <c r="P702" i="36" s="1"/>
  <c r="O853" i="36"/>
  <c r="L853" i="35"/>
  <c r="P853" i="36" s="1"/>
  <c r="O552" i="36"/>
  <c r="L552" i="35"/>
  <c r="P552" i="36" s="1"/>
  <c r="O854" i="36"/>
  <c r="L854" i="35"/>
  <c r="P854" i="36" s="1"/>
  <c r="O694" i="36"/>
  <c r="L694" i="35"/>
  <c r="P694" i="36" s="1"/>
  <c r="O845" i="36"/>
  <c r="L845" i="35"/>
  <c r="P845" i="36" s="1"/>
  <c r="O764" i="36"/>
  <c r="L764" i="35"/>
  <c r="P764" i="36" s="1"/>
  <c r="O596" i="36"/>
  <c r="L596" i="35"/>
  <c r="P596" i="36" s="1"/>
  <c r="O713" i="36"/>
  <c r="L713" i="35"/>
  <c r="P713" i="36" s="1"/>
  <c r="O525" i="36"/>
  <c r="L525" i="35"/>
  <c r="P525" i="36" s="1"/>
  <c r="O526" i="36"/>
  <c r="L526" i="35"/>
  <c r="P526" i="36" s="1"/>
  <c r="O871" i="36"/>
  <c r="L871" i="35"/>
  <c r="P871" i="36" s="1"/>
  <c r="O534" i="36"/>
  <c r="L534" i="35"/>
  <c r="P534" i="36" s="1"/>
  <c r="O863" i="36"/>
  <c r="L863" i="35"/>
  <c r="P863" i="36" s="1"/>
  <c r="O681" i="36"/>
  <c r="L681" i="35"/>
  <c r="P681" i="36" s="1"/>
  <c r="O716" i="36"/>
  <c r="L716" i="35"/>
  <c r="P716" i="36" s="1"/>
  <c r="O855" i="36"/>
  <c r="L855" i="35"/>
  <c r="P855" i="36" s="1"/>
  <c r="O776" i="36"/>
  <c r="L776" i="35"/>
  <c r="P776" i="36" s="1"/>
  <c r="O636" i="36"/>
  <c r="L636" i="35"/>
  <c r="P636" i="36" s="1"/>
  <c r="O691" i="36"/>
  <c r="L691" i="35"/>
  <c r="P691" i="36" s="1"/>
  <c r="O595" i="36"/>
  <c r="L595" i="35"/>
  <c r="P595" i="36" s="1"/>
  <c r="O553" i="36"/>
  <c r="L553" i="35"/>
  <c r="P553" i="36" s="1"/>
  <c r="O554" i="36"/>
  <c r="L554" i="35"/>
  <c r="P554" i="36" s="1"/>
  <c r="O862" i="36"/>
  <c r="L862" i="35"/>
  <c r="P862" i="36" s="1"/>
  <c r="O543" i="36"/>
  <c r="L543" i="35"/>
  <c r="P543" i="36" s="1"/>
  <c r="O693" i="36"/>
  <c r="L693" i="35"/>
  <c r="P693" i="36" s="1"/>
  <c r="H620" i="36"/>
  <c r="H631" i="36"/>
  <c r="O873" i="36"/>
  <c r="L873" i="35"/>
  <c r="P873" i="36" s="1"/>
  <c r="L787" i="35"/>
  <c r="P787" i="36" s="1"/>
  <c r="O787" i="36"/>
  <c r="H630" i="35"/>
  <c r="K630" i="35" s="1"/>
  <c r="H619" i="35"/>
  <c r="K619" i="35" s="1"/>
  <c r="K608" i="35"/>
  <c r="O597" i="36"/>
  <c r="L597" i="35"/>
  <c r="P597" i="36" s="1"/>
  <c r="H629" i="35"/>
  <c r="K629" i="35" s="1"/>
  <c r="H618" i="35"/>
  <c r="K618" i="35" s="1"/>
  <c r="K607" i="35"/>
  <c r="O535" i="36"/>
  <c r="L535" i="35"/>
  <c r="P535" i="36" s="1"/>
  <c r="O545" i="36"/>
  <c r="L545" i="35"/>
  <c r="P545" i="36" s="1"/>
  <c r="O715" i="36"/>
  <c r="L715" i="35"/>
  <c r="P715" i="36" s="1"/>
  <c r="O864" i="36"/>
  <c r="L864" i="35"/>
  <c r="P864" i="36" s="1"/>
  <c r="O798" i="36"/>
  <c r="L798" i="35"/>
  <c r="P798" i="36" s="1"/>
  <c r="O765" i="36"/>
  <c r="L765" i="35"/>
  <c r="P765" i="36" s="1"/>
  <c r="H620" i="35"/>
  <c r="K620" i="35" s="1"/>
  <c r="H631" i="35"/>
  <c r="K631" i="35" s="1"/>
  <c r="K609" i="35"/>
  <c r="O635" i="36"/>
  <c r="L635" i="35"/>
  <c r="P635" i="36" s="1"/>
  <c r="O544" i="36"/>
  <c r="L544" i="35"/>
  <c r="P544" i="36" s="1"/>
  <c r="O536" i="36"/>
  <c r="L536" i="35"/>
  <c r="P536" i="36" s="1"/>
  <c r="O704" i="36"/>
  <c r="L704" i="35"/>
  <c r="P704" i="36" s="1"/>
  <c r="O846" i="36"/>
  <c r="L846" i="35"/>
  <c r="P846" i="36" s="1"/>
  <c r="O777" i="36"/>
  <c r="L777" i="35"/>
  <c r="P777" i="36" s="1"/>
  <c r="O637" i="36"/>
  <c r="L637" i="35"/>
  <c r="P637" i="36" s="1"/>
  <c r="O762" i="36"/>
  <c r="L762" i="35"/>
  <c r="P762" i="36" s="1"/>
  <c r="O599" i="36"/>
  <c r="L599" i="35"/>
  <c r="P599" i="36" s="1"/>
  <c r="O527" i="36"/>
  <c r="L527" i="35"/>
  <c r="P527" i="36" s="1"/>
  <c r="O874" i="36"/>
  <c r="L874" i="35"/>
  <c r="P874" i="36" s="1"/>
  <c r="H621" i="36"/>
  <c r="H632" i="36"/>
  <c r="O761" i="36"/>
  <c r="L761" i="35"/>
  <c r="P761" i="36" s="1"/>
  <c r="O678" i="36"/>
  <c r="L678" i="35"/>
  <c r="P678" i="36" s="1"/>
  <c r="O799" i="36"/>
  <c r="L799" i="35"/>
  <c r="P799" i="36" s="1"/>
  <c r="O763" i="36"/>
  <c r="L763" i="35"/>
  <c r="P763" i="36" s="1"/>
  <c r="O774" i="36"/>
  <c r="L774" i="35"/>
  <c r="P774" i="36" s="1"/>
  <c r="O639" i="36"/>
  <c r="L639" i="35"/>
  <c r="P639" i="36" s="1"/>
  <c r="O546" i="36"/>
  <c r="L546" i="35"/>
  <c r="P546" i="36" s="1"/>
  <c r="O856" i="36"/>
  <c r="L856" i="35"/>
  <c r="P856" i="36" s="1"/>
  <c r="O680" i="36"/>
  <c r="L680" i="35"/>
  <c r="P680" i="36" s="1"/>
  <c r="O773" i="36"/>
  <c r="L773" i="35"/>
  <c r="P773" i="36" s="1"/>
  <c r="O690" i="36"/>
  <c r="L690" i="35"/>
  <c r="P690" i="36" s="1"/>
  <c r="O788" i="36"/>
  <c r="L788" i="35"/>
  <c r="P788" i="36" s="1"/>
  <c r="O775" i="36"/>
  <c r="L775" i="35"/>
  <c r="P775" i="36" s="1"/>
  <c r="O796" i="36"/>
  <c r="L796" i="35"/>
  <c r="P796" i="36" s="1"/>
  <c r="H633" i="35"/>
  <c r="K633" i="35" s="1"/>
  <c r="H622" i="35"/>
  <c r="K622" i="35" s="1"/>
  <c r="K611" i="35"/>
  <c r="O537" i="36"/>
  <c r="L537" i="35"/>
  <c r="P537" i="36" s="1"/>
  <c r="O865" i="36"/>
  <c r="L865" i="35"/>
  <c r="P865" i="36" s="1"/>
  <c r="O714" i="36"/>
  <c r="L714" i="35"/>
  <c r="P714" i="36" s="1"/>
  <c r="O795" i="36"/>
  <c r="L795" i="35"/>
  <c r="P795" i="36" s="1"/>
  <c r="O701" i="36"/>
  <c r="L701" i="35"/>
  <c r="P701" i="36" s="1"/>
  <c r="O786" i="36"/>
  <c r="L786" i="35"/>
  <c r="P786" i="36" s="1"/>
  <c r="O785" i="36"/>
  <c r="L785" i="35"/>
  <c r="P785" i="36" s="1"/>
  <c r="M925" i="35"/>
  <c r="H629" i="36"/>
  <c r="H618" i="36"/>
  <c r="O555" i="36"/>
  <c r="L555" i="35"/>
  <c r="P555" i="36" s="1"/>
  <c r="O692" i="36"/>
  <c r="L692" i="35"/>
  <c r="P692" i="36" s="1"/>
  <c r="O784" i="36"/>
  <c r="L784" i="35"/>
  <c r="P784" i="36" s="1"/>
  <c r="O712" i="36"/>
  <c r="L712" i="35"/>
  <c r="P712" i="36" s="1"/>
  <c r="O797" i="36"/>
  <c r="L797" i="35"/>
  <c r="P797" i="36" s="1"/>
  <c r="H619" i="36"/>
  <c r="H630" i="36"/>
  <c r="O703" i="36"/>
  <c r="L703" i="35"/>
  <c r="P703" i="36" s="1"/>
  <c r="O598" i="36"/>
  <c r="L598" i="35"/>
  <c r="P598" i="36" s="1"/>
  <c r="M924" i="35"/>
  <c r="M933" i="35"/>
  <c r="M942" i="35"/>
  <c r="O844" i="36"/>
  <c r="L844" i="35"/>
  <c r="P844" i="36" s="1"/>
  <c r="O682" i="36"/>
  <c r="L682" i="35"/>
  <c r="P682" i="36" s="1"/>
  <c r="H622" i="36"/>
  <c r="H633" i="36"/>
  <c r="M916" i="35"/>
  <c r="M936" i="35"/>
  <c r="O638" i="36"/>
  <c r="L638" i="35"/>
  <c r="P638" i="36" s="1"/>
  <c r="O679" i="36"/>
  <c r="L679" i="35"/>
  <c r="P679" i="36" s="1"/>
  <c r="S285" i="13"/>
  <c r="S280" i="13" s="1"/>
  <c r="S298" i="13" s="1"/>
  <c r="R285" i="13"/>
  <c r="R280" i="13" s="1"/>
  <c r="R298" i="13" s="1"/>
  <c r="N285" i="13"/>
  <c r="N280" i="13" s="1"/>
  <c r="I514" i="36" s="1"/>
  <c r="K514" i="36" s="1"/>
  <c r="L514" i="36" s="1"/>
  <c r="M514" i="36" s="1"/>
  <c r="P285" i="13"/>
  <c r="P280" i="13" s="1"/>
  <c r="I516" i="36" s="1"/>
  <c r="K516" i="36" s="1"/>
  <c r="L516" i="36" s="1"/>
  <c r="M516" i="36" s="1"/>
  <c r="Q285" i="13"/>
  <c r="Q280" i="13" s="1"/>
  <c r="I517" i="36" s="1"/>
  <c r="K517" i="36" s="1"/>
  <c r="L517" i="36" s="1"/>
  <c r="M517" i="36" s="1"/>
  <c r="O285" i="13"/>
  <c r="O280" i="13" s="1"/>
  <c r="I515" i="36" s="1"/>
  <c r="K515" i="36" s="1"/>
  <c r="L515" i="36" s="1"/>
  <c r="M515" i="36" s="1"/>
  <c r="S277" i="13"/>
  <c r="S272" i="13" s="1"/>
  <c r="S295" i="13" s="1"/>
  <c r="N277" i="13"/>
  <c r="N272" i="13" s="1"/>
  <c r="I508" i="36" s="1"/>
  <c r="K508" i="36" s="1"/>
  <c r="L508" i="36" s="1"/>
  <c r="M508" i="36" s="1"/>
  <c r="Q277" i="13"/>
  <c r="Q272" i="13" s="1"/>
  <c r="I511" i="36" s="1"/>
  <c r="K511" i="36" s="1"/>
  <c r="L511" i="36" s="1"/>
  <c r="M511" i="36" s="1"/>
  <c r="R277" i="13"/>
  <c r="R272" i="13" s="1"/>
  <c r="I512" i="36" s="1"/>
  <c r="K512" i="36" s="1"/>
  <c r="L512" i="36" s="1"/>
  <c r="M512" i="36" s="1"/>
  <c r="O277" i="13"/>
  <c r="O272" i="13" s="1"/>
  <c r="I509" i="36" s="1"/>
  <c r="K509" i="36" s="1"/>
  <c r="L509" i="36" s="1"/>
  <c r="M509" i="36" s="1"/>
  <c r="P277" i="13"/>
  <c r="P272" i="13" s="1"/>
  <c r="I510" i="36" s="1"/>
  <c r="K510" i="36" s="1"/>
  <c r="L510" i="36" s="1"/>
  <c r="M510" i="36" s="1"/>
  <c r="S269" i="13"/>
  <c r="S264" i="13" s="1"/>
  <c r="S292" i="13" s="1"/>
  <c r="P269" i="13"/>
  <c r="P264" i="13" s="1"/>
  <c r="I504" i="36" s="1"/>
  <c r="K504" i="36" s="1"/>
  <c r="L504" i="36" s="1"/>
  <c r="M504" i="36" s="1"/>
  <c r="R269" i="13"/>
  <c r="R264" i="13" s="1"/>
  <c r="I506" i="36" s="1"/>
  <c r="K506" i="36" s="1"/>
  <c r="L506" i="36" s="1"/>
  <c r="M506" i="36" s="1"/>
  <c r="O269" i="13"/>
  <c r="O264" i="13" s="1"/>
  <c r="I503" i="36" s="1"/>
  <c r="K503" i="36" s="1"/>
  <c r="L503" i="36" s="1"/>
  <c r="M503" i="36" s="1"/>
  <c r="N269" i="13"/>
  <c r="N264" i="13" s="1"/>
  <c r="I502" i="36" s="1"/>
  <c r="K502" i="36" s="1"/>
  <c r="L502" i="36" s="1"/>
  <c r="M502" i="36" s="1"/>
  <c r="Q269" i="13"/>
  <c r="Q264" i="13" s="1"/>
  <c r="I505" i="36" s="1"/>
  <c r="K505" i="36" s="1"/>
  <c r="L505" i="36" s="1"/>
  <c r="M505" i="36" s="1"/>
  <c r="S261" i="13"/>
  <c r="S256" i="13" s="1"/>
  <c r="S289" i="13" s="1"/>
  <c r="P261" i="13"/>
  <c r="P256" i="13" s="1"/>
  <c r="I498" i="36" s="1"/>
  <c r="K498" i="36" s="1"/>
  <c r="Q261" i="13"/>
  <c r="Q256" i="13" s="1"/>
  <c r="I499" i="36" s="1"/>
  <c r="K499" i="36" s="1"/>
  <c r="L499" i="36" s="1"/>
  <c r="M499" i="36" s="1"/>
  <c r="R261" i="13"/>
  <c r="R256" i="13" s="1"/>
  <c r="I500" i="36" s="1"/>
  <c r="K500" i="36" s="1"/>
  <c r="L500" i="36" s="1"/>
  <c r="M500" i="36" s="1"/>
  <c r="O261" i="13"/>
  <c r="O256" i="13" s="1"/>
  <c r="I497" i="36" s="1"/>
  <c r="K497" i="36" s="1"/>
  <c r="L497" i="36" s="1"/>
  <c r="M497" i="36" s="1"/>
  <c r="N261" i="13"/>
  <c r="N256" i="13" s="1"/>
  <c r="I496" i="36" s="1"/>
  <c r="K496" i="36" s="1"/>
  <c r="L496" i="36" s="1"/>
  <c r="M496" i="36" s="1"/>
  <c r="S96" i="13"/>
  <c r="S94" i="13" s="1"/>
  <c r="N96" i="13"/>
  <c r="N94" i="13" s="1"/>
  <c r="I188" i="36" s="1"/>
  <c r="I132" i="36" s="1"/>
  <c r="I155" i="36" s="1"/>
  <c r="R96" i="13"/>
  <c r="R94" i="13" s="1"/>
  <c r="I192" i="36" s="1"/>
  <c r="I136" i="36" s="1"/>
  <c r="I159" i="36" s="1"/>
  <c r="O96" i="13"/>
  <c r="O94" i="13" s="1"/>
  <c r="I189" i="36" s="1"/>
  <c r="I133" i="36" s="1"/>
  <c r="I156" i="36" s="1"/>
  <c r="P96" i="13"/>
  <c r="P94" i="13" s="1"/>
  <c r="I190" i="36" s="1"/>
  <c r="I134" i="36" s="1"/>
  <c r="Q96" i="13"/>
  <c r="Q94" i="13" s="1"/>
  <c r="I191" i="36" s="1"/>
  <c r="I135" i="36" s="1"/>
  <c r="S103" i="13"/>
  <c r="S101" i="13" s="1"/>
  <c r="P103" i="13"/>
  <c r="P101" i="13" s="1"/>
  <c r="I264" i="36" s="1"/>
  <c r="I207" i="36" s="1"/>
  <c r="I230" i="36" s="1"/>
  <c r="Q103" i="13"/>
  <c r="Q101" i="13" s="1"/>
  <c r="I265" i="36" s="1"/>
  <c r="I208" i="36" s="1"/>
  <c r="I231" i="36" s="1"/>
  <c r="R103" i="13"/>
  <c r="R101" i="13" s="1"/>
  <c r="I266" i="36" s="1"/>
  <c r="I209" i="36" s="1"/>
  <c r="I232" i="36" s="1"/>
  <c r="O103" i="13"/>
  <c r="O101" i="13" s="1"/>
  <c r="I263" i="36" s="1"/>
  <c r="I206" i="36" s="1"/>
  <c r="I229" i="36" s="1"/>
  <c r="N103" i="13"/>
  <c r="N101" i="13" s="1"/>
  <c r="I262" i="36" s="1"/>
  <c r="I205" i="36" s="1"/>
  <c r="I228" i="36" s="1"/>
  <c r="S110" i="13"/>
  <c r="S108" i="13" s="1"/>
  <c r="N110" i="13"/>
  <c r="N108" i="13" s="1"/>
  <c r="I335" i="36" s="1"/>
  <c r="I279" i="36" s="1"/>
  <c r="I302" i="36" s="1"/>
  <c r="P110" i="13"/>
  <c r="P108" i="13" s="1"/>
  <c r="I337" i="36" s="1"/>
  <c r="I281" i="36" s="1"/>
  <c r="I304" i="36" s="1"/>
  <c r="Q110" i="13"/>
  <c r="Q108" i="13" s="1"/>
  <c r="I338" i="36" s="1"/>
  <c r="I282" i="36" s="1"/>
  <c r="I305" i="36" s="1"/>
  <c r="O110" i="13"/>
  <c r="O108" i="13" s="1"/>
  <c r="I336" i="36" s="1"/>
  <c r="I280" i="36" s="1"/>
  <c r="I303" i="36" s="1"/>
  <c r="R110" i="13"/>
  <c r="R108" i="13" s="1"/>
  <c r="I339" i="36" s="1"/>
  <c r="I283" i="36" s="1"/>
  <c r="I306" i="36" s="1"/>
  <c r="S117" i="13"/>
  <c r="S115" i="13" s="1"/>
  <c r="O117" i="13"/>
  <c r="O115" i="13" s="1"/>
  <c r="I399" i="36" s="1"/>
  <c r="I353" i="36" s="1"/>
  <c r="I372" i="36" s="1"/>
  <c r="N117" i="13"/>
  <c r="N115" i="13" s="1"/>
  <c r="I398" i="36" s="1"/>
  <c r="I352" i="36" s="1"/>
  <c r="I371" i="36" s="1"/>
  <c r="Q117" i="13"/>
  <c r="Q115" i="13" s="1"/>
  <c r="I401" i="36" s="1"/>
  <c r="I355" i="36" s="1"/>
  <c r="I374" i="36" s="1"/>
  <c r="P117" i="13"/>
  <c r="P115" i="13" s="1"/>
  <c r="I400" i="36" s="1"/>
  <c r="I354" i="36" s="1"/>
  <c r="I373" i="36" s="1"/>
  <c r="R117" i="13"/>
  <c r="R115" i="13" s="1"/>
  <c r="R89" i="13"/>
  <c r="R87" i="13" s="1"/>
  <c r="S89" i="13"/>
  <c r="S87" i="13" s="1"/>
  <c r="O89" i="13"/>
  <c r="O87" i="13" s="1"/>
  <c r="I116" i="36" s="1"/>
  <c r="I70" i="36" s="1"/>
  <c r="I89" i="36" s="1"/>
  <c r="Q89" i="13"/>
  <c r="Q87" i="13" s="1"/>
  <c r="I118" i="36" s="1"/>
  <c r="I72" i="36" s="1"/>
  <c r="I91" i="36" s="1"/>
  <c r="N89" i="13"/>
  <c r="N87" i="13" s="1"/>
  <c r="I115" i="36" s="1"/>
  <c r="I69" i="36" s="1"/>
  <c r="I88" i="36" s="1"/>
  <c r="P89" i="13"/>
  <c r="P87" i="13" s="1"/>
  <c r="I117" i="36" s="1"/>
  <c r="I71" i="36" s="1"/>
  <c r="I90" i="36" s="1"/>
  <c r="S124" i="13"/>
  <c r="S122" i="13" s="1"/>
  <c r="O124" i="13"/>
  <c r="O122" i="13" s="1"/>
  <c r="I460" i="36" s="1"/>
  <c r="I414" i="36" s="1"/>
  <c r="I433" i="36" s="1"/>
  <c r="Q124" i="13"/>
  <c r="Q122" i="13" s="1"/>
  <c r="I462" i="36" s="1"/>
  <c r="I416" i="36" s="1"/>
  <c r="I435" i="36" s="1"/>
  <c r="R124" i="13"/>
  <c r="R122" i="13" s="1"/>
  <c r="N124" i="13"/>
  <c r="N122" i="13" s="1"/>
  <c r="I459" i="36" s="1"/>
  <c r="I413" i="36" s="1"/>
  <c r="I432" i="36" s="1"/>
  <c r="P124" i="13"/>
  <c r="P122" i="13" s="1"/>
  <c r="I461" i="36" s="1"/>
  <c r="I415" i="36" s="1"/>
  <c r="I434" i="36" s="1"/>
  <c r="O251" i="13"/>
  <c r="S251" i="13"/>
  <c r="R251" i="13"/>
  <c r="N251" i="13"/>
  <c r="Q251" i="13"/>
  <c r="P251" i="13"/>
  <c r="P242" i="13"/>
  <c r="O242" i="13"/>
  <c r="R242" i="13"/>
  <c r="S242" i="13"/>
  <c r="Q242" i="13"/>
  <c r="N242" i="13"/>
  <c r="O233" i="13"/>
  <c r="R233" i="13"/>
  <c r="S233" i="13"/>
  <c r="N233" i="13"/>
  <c r="Q233" i="13"/>
  <c r="P233" i="13"/>
  <c r="P224" i="13"/>
  <c r="S224" i="13"/>
  <c r="N224" i="13"/>
  <c r="O224" i="13"/>
  <c r="Q224" i="13"/>
  <c r="R224" i="13"/>
  <c r="Q913" i="36" l="1"/>
  <c r="Q915" i="36"/>
  <c r="Q934" i="36"/>
  <c r="N931" i="35"/>
  <c r="R931" i="36" s="1"/>
  <c r="M854" i="35"/>
  <c r="Q926" i="36"/>
  <c r="N939" i="35"/>
  <c r="R939" i="36" s="1"/>
  <c r="N923" i="35"/>
  <c r="R923" i="36" s="1"/>
  <c r="M872" i="35"/>
  <c r="Q872" i="36" s="1"/>
  <c r="M715" i="35"/>
  <c r="Q715" i="36" s="1"/>
  <c r="M639" i="35"/>
  <c r="Q639" i="36" s="1"/>
  <c r="M716" i="35"/>
  <c r="Q716" i="36" s="1"/>
  <c r="M863" i="35"/>
  <c r="N859" i="35" s="1"/>
  <c r="R859" i="36" s="1"/>
  <c r="N940" i="35"/>
  <c r="R940" i="36" s="1"/>
  <c r="M678" i="35"/>
  <c r="Q678" i="36" s="1"/>
  <c r="M843" i="35"/>
  <c r="Q843" i="36" s="1"/>
  <c r="Q914" i="36"/>
  <c r="M864" i="35"/>
  <c r="Q864" i="36" s="1"/>
  <c r="M703" i="35"/>
  <c r="N698" i="35" s="1"/>
  <c r="R698" i="36" s="1"/>
  <c r="M786" i="35"/>
  <c r="N781" i="35" s="1"/>
  <c r="R781" i="36" s="1"/>
  <c r="M775" i="35"/>
  <c r="Q775" i="36" s="1"/>
  <c r="M799" i="35"/>
  <c r="Q799" i="36" s="1"/>
  <c r="M846" i="35"/>
  <c r="Q846" i="36" s="1"/>
  <c r="M855" i="35"/>
  <c r="Q855" i="36" s="1"/>
  <c r="M765" i="35"/>
  <c r="Q765" i="36" s="1"/>
  <c r="M787" i="35"/>
  <c r="Q787" i="36" s="1"/>
  <c r="N941" i="35"/>
  <c r="R941" i="36" s="1"/>
  <c r="M691" i="35"/>
  <c r="Q691" i="36" s="1"/>
  <c r="M702" i="35"/>
  <c r="N697" i="35" s="1"/>
  <c r="R697" i="36" s="1"/>
  <c r="M638" i="35"/>
  <c r="N638" i="35" s="1"/>
  <c r="R638" i="36" s="1"/>
  <c r="M693" i="35"/>
  <c r="Q693" i="36" s="1"/>
  <c r="M553" i="35"/>
  <c r="Q553" i="36" s="1"/>
  <c r="M534" i="35"/>
  <c r="Q534" i="36" s="1"/>
  <c r="M543" i="35"/>
  <c r="N539" i="35" s="1"/>
  <c r="R539" i="36" s="1"/>
  <c r="M595" i="35"/>
  <c r="Q595" i="36" s="1"/>
  <c r="M871" i="35"/>
  <c r="Q871" i="36" s="1"/>
  <c r="M774" i="35"/>
  <c r="Q774" i="36" s="1"/>
  <c r="M798" i="35"/>
  <c r="Q798" i="36" s="1"/>
  <c r="M525" i="35"/>
  <c r="N521" i="35" s="1"/>
  <c r="R521" i="36" s="1"/>
  <c r="M524" i="35"/>
  <c r="Q524" i="36" s="1"/>
  <c r="M773" i="35"/>
  <c r="N768" i="35" s="1"/>
  <c r="R768" i="36" s="1"/>
  <c r="M785" i="35"/>
  <c r="N780" i="35" s="1"/>
  <c r="R780" i="36" s="1"/>
  <c r="M714" i="35"/>
  <c r="N709" i="35" s="1"/>
  <c r="R709" i="36" s="1"/>
  <c r="M762" i="35"/>
  <c r="N757" i="35" s="1"/>
  <c r="R757" i="36" s="1"/>
  <c r="M536" i="35"/>
  <c r="N532" i="35" s="1"/>
  <c r="R532" i="36" s="1"/>
  <c r="M694" i="35"/>
  <c r="N689" i="35" s="1"/>
  <c r="R689" i="36" s="1"/>
  <c r="M795" i="35"/>
  <c r="Q795" i="36" s="1"/>
  <c r="M777" i="35"/>
  <c r="N772" i="35" s="1"/>
  <c r="R772" i="36" s="1"/>
  <c r="M853" i="35"/>
  <c r="Q853" i="36" s="1"/>
  <c r="M844" i="35"/>
  <c r="Q844" i="36" s="1"/>
  <c r="M865" i="35"/>
  <c r="Q865" i="36" s="1"/>
  <c r="M680" i="35"/>
  <c r="N675" i="35" s="1"/>
  <c r="R675" i="36" s="1"/>
  <c r="M704" i="35"/>
  <c r="Q704" i="36" s="1"/>
  <c r="M596" i="35"/>
  <c r="Q596" i="36" s="1"/>
  <c r="M701" i="35"/>
  <c r="N696" i="35" s="1"/>
  <c r="R696" i="36" s="1"/>
  <c r="M856" i="35"/>
  <c r="Q856" i="36" s="1"/>
  <c r="M763" i="35"/>
  <c r="Q763" i="36" s="1"/>
  <c r="M873" i="35"/>
  <c r="Q873" i="36" s="1"/>
  <c r="M797" i="35"/>
  <c r="Q797" i="36" s="1"/>
  <c r="M862" i="35"/>
  <c r="Q862" i="36" s="1"/>
  <c r="M681" i="35"/>
  <c r="Q681" i="36" s="1"/>
  <c r="M845" i="35"/>
  <c r="Q845" i="36" s="1"/>
  <c r="M537" i="35"/>
  <c r="Q537" i="36" s="1"/>
  <c r="M545" i="35"/>
  <c r="N541" i="35" s="1"/>
  <c r="R541" i="36" s="1"/>
  <c r="M527" i="35"/>
  <c r="N523" i="35" s="1"/>
  <c r="R523" i="36" s="1"/>
  <c r="M526" i="35"/>
  <c r="Q526" i="36" s="1"/>
  <c r="M552" i="35"/>
  <c r="Q552" i="36" s="1"/>
  <c r="M679" i="35"/>
  <c r="N674" i="35" s="1"/>
  <c r="R674" i="36" s="1"/>
  <c r="M705" i="35"/>
  <c r="N700" i="35" s="1"/>
  <c r="R700" i="36" s="1"/>
  <c r="M712" i="35"/>
  <c r="Q712" i="36" s="1"/>
  <c r="M690" i="35"/>
  <c r="N685" i="35" s="1"/>
  <c r="R685" i="36" s="1"/>
  <c r="M554" i="35"/>
  <c r="N550" i="35" s="1"/>
  <c r="R550" i="36" s="1"/>
  <c r="M637" i="35"/>
  <c r="Q637" i="36" s="1"/>
  <c r="M544" i="35"/>
  <c r="Q544" i="36" s="1"/>
  <c r="M535" i="35"/>
  <c r="N531" i="35" s="1"/>
  <c r="R531" i="36" s="1"/>
  <c r="M555" i="35"/>
  <c r="Q555" i="36" s="1"/>
  <c r="M635" i="35"/>
  <c r="N635" i="35" s="1"/>
  <c r="R635" i="36" s="1"/>
  <c r="M598" i="35"/>
  <c r="Q598" i="36" s="1"/>
  <c r="M597" i="35"/>
  <c r="Q597" i="36" s="1"/>
  <c r="Q924" i="36"/>
  <c r="N920" i="35"/>
  <c r="R920" i="36" s="1"/>
  <c r="O620" i="36"/>
  <c r="L620" i="35"/>
  <c r="P620" i="36" s="1"/>
  <c r="O607" i="36"/>
  <c r="L607" i="35"/>
  <c r="P607" i="36" s="1"/>
  <c r="M682" i="35"/>
  <c r="M784" i="35"/>
  <c r="O618" i="36"/>
  <c r="L618" i="35"/>
  <c r="P618" i="36" s="1"/>
  <c r="Q854" i="36"/>
  <c r="N850" i="35"/>
  <c r="R850" i="36" s="1"/>
  <c r="O611" i="36"/>
  <c r="L611" i="35"/>
  <c r="P611" i="36" s="1"/>
  <c r="O629" i="36"/>
  <c r="L629" i="35"/>
  <c r="P629" i="36" s="1"/>
  <c r="M776" i="35"/>
  <c r="L498" i="36"/>
  <c r="M498" i="36" s="1"/>
  <c r="O622" i="36"/>
  <c r="L622" i="35"/>
  <c r="P622" i="36" s="1"/>
  <c r="Q925" i="36"/>
  <c r="N921" i="35"/>
  <c r="R921" i="36" s="1"/>
  <c r="O633" i="36"/>
  <c r="L633" i="35"/>
  <c r="P633" i="36" s="1"/>
  <c r="I158" i="36"/>
  <c r="I981" i="36"/>
  <c r="M692" i="35"/>
  <c r="M796" i="35"/>
  <c r="M546" i="35"/>
  <c r="M761" i="35"/>
  <c r="M713" i="35"/>
  <c r="O610" i="36"/>
  <c r="L610" i="35"/>
  <c r="P610" i="36" s="1"/>
  <c r="I157" i="36"/>
  <c r="I980" i="36"/>
  <c r="O608" i="36"/>
  <c r="L608" i="35"/>
  <c r="P608" i="36" s="1"/>
  <c r="O621" i="36"/>
  <c r="L621" i="35"/>
  <c r="P621" i="36" s="1"/>
  <c r="O619" i="36"/>
  <c r="L619" i="35"/>
  <c r="P619" i="36" s="1"/>
  <c r="O632" i="36"/>
  <c r="L632" i="35"/>
  <c r="P632" i="36" s="1"/>
  <c r="Q936" i="36"/>
  <c r="N932" i="35"/>
  <c r="R932" i="36" s="1"/>
  <c r="O630" i="36"/>
  <c r="L630" i="35"/>
  <c r="P630" i="36" s="1"/>
  <c r="Q916" i="36"/>
  <c r="N912" i="35"/>
  <c r="R912" i="36" s="1"/>
  <c r="Q942" i="36"/>
  <c r="N938" i="35"/>
  <c r="R938" i="36" s="1"/>
  <c r="O609" i="36"/>
  <c r="L609" i="35"/>
  <c r="P609" i="36" s="1"/>
  <c r="M636" i="35"/>
  <c r="Q933" i="36"/>
  <c r="N929" i="35"/>
  <c r="R929" i="36" s="1"/>
  <c r="M788" i="35"/>
  <c r="M874" i="35"/>
  <c r="M599" i="35"/>
  <c r="O631" i="36"/>
  <c r="L631" i="35"/>
  <c r="P631" i="36" s="1"/>
  <c r="M764" i="35"/>
  <c r="I461" i="11"/>
  <c r="I415" i="11" s="1"/>
  <c r="I266" i="11"/>
  <c r="I209" i="11" s="1"/>
  <c r="I400" i="11"/>
  <c r="I354" i="11" s="1"/>
  <c r="I511" i="11"/>
  <c r="Q295" i="13"/>
  <c r="N289" i="13"/>
  <c r="I496" i="11"/>
  <c r="R295" i="13"/>
  <c r="I512" i="11"/>
  <c r="N295" i="13"/>
  <c r="I508" i="11"/>
  <c r="I499" i="11"/>
  <c r="Q289" i="13"/>
  <c r="O289" i="13"/>
  <c r="I497" i="11"/>
  <c r="O298" i="13"/>
  <c r="I515" i="11"/>
  <c r="I265" i="11"/>
  <c r="I208" i="11" s="1"/>
  <c r="I115" i="11"/>
  <c r="I69" i="11" s="1"/>
  <c r="I190" i="11"/>
  <c r="I134" i="11" s="1"/>
  <c r="N292" i="13"/>
  <c r="I502" i="11"/>
  <c r="Q298" i="13"/>
  <c r="I517" i="11"/>
  <c r="O295" i="13"/>
  <c r="I509" i="11"/>
  <c r="I462" i="11"/>
  <c r="I416" i="11" s="1"/>
  <c r="I264" i="11"/>
  <c r="I207" i="11" s="1"/>
  <c r="Q292" i="13"/>
  <c r="I505" i="11"/>
  <c r="I118" i="11"/>
  <c r="I72" i="11" s="1"/>
  <c r="I338" i="11"/>
  <c r="I282" i="11" s="1"/>
  <c r="I189" i="11"/>
  <c r="I133" i="11" s="1"/>
  <c r="O292" i="13"/>
  <c r="I503" i="11"/>
  <c r="P298" i="13"/>
  <c r="I516" i="11"/>
  <c r="I262" i="11"/>
  <c r="I205" i="11" s="1"/>
  <c r="I459" i="11"/>
  <c r="I413" i="11" s="1"/>
  <c r="I398" i="11"/>
  <c r="I352" i="11" s="1"/>
  <c r="I399" i="11"/>
  <c r="I353" i="11" s="1"/>
  <c r="I191" i="11"/>
  <c r="I135" i="11" s="1"/>
  <c r="I336" i="11"/>
  <c r="I280" i="11" s="1"/>
  <c r="I116" i="11"/>
  <c r="I70" i="11" s="1"/>
  <c r="I337" i="11"/>
  <c r="I281" i="11" s="1"/>
  <c r="I192" i="11"/>
  <c r="I136" i="11" s="1"/>
  <c r="R292" i="13"/>
  <c r="I506" i="11"/>
  <c r="I514" i="11"/>
  <c r="N298" i="13"/>
  <c r="I263" i="11"/>
  <c r="I206" i="11" s="1"/>
  <c r="I401" i="11"/>
  <c r="I355" i="11" s="1"/>
  <c r="I460" i="11"/>
  <c r="I414" i="11" s="1"/>
  <c r="I117" i="11"/>
  <c r="I71" i="11" s="1"/>
  <c r="I335" i="11"/>
  <c r="I279" i="11" s="1"/>
  <c r="I188" i="11"/>
  <c r="I132" i="11" s="1"/>
  <c r="I504" i="11"/>
  <c r="P292" i="13"/>
  <c r="P295" i="13"/>
  <c r="I510" i="11"/>
  <c r="R289" i="13"/>
  <c r="I500" i="11"/>
  <c r="I498" i="11"/>
  <c r="P289" i="13"/>
  <c r="I339" i="11"/>
  <c r="I283" i="11" s="1"/>
  <c r="N710" i="35" l="1"/>
  <c r="R710" i="36" s="1"/>
  <c r="N868" i="35"/>
  <c r="R868" i="36" s="1"/>
  <c r="N639" i="35"/>
  <c r="R639" i="36" s="1"/>
  <c r="N711" i="35"/>
  <c r="R711" i="36" s="1"/>
  <c r="Q545" i="36"/>
  <c r="N839" i="35"/>
  <c r="R839" i="36" s="1"/>
  <c r="N673" i="35"/>
  <c r="R673" i="36" s="1"/>
  <c r="N849" i="35"/>
  <c r="R849" i="36" s="1"/>
  <c r="Q680" i="36"/>
  <c r="M632" i="35"/>
  <c r="Q863" i="36"/>
  <c r="Q703" i="36"/>
  <c r="Q786" i="36"/>
  <c r="N688" i="35"/>
  <c r="R688" i="36" s="1"/>
  <c r="Q635" i="36"/>
  <c r="N860" i="35"/>
  <c r="R860" i="36" s="1"/>
  <c r="N520" i="35"/>
  <c r="R520" i="36" s="1"/>
  <c r="Q679" i="36"/>
  <c r="Q638" i="36"/>
  <c r="Q714" i="36"/>
  <c r="Q762" i="36"/>
  <c r="N699" i="35"/>
  <c r="R699" i="36" s="1"/>
  <c r="Q773" i="36"/>
  <c r="N591" i="35"/>
  <c r="R591" i="36" s="1"/>
  <c r="Q785" i="36"/>
  <c r="Q525" i="36"/>
  <c r="Q543" i="36"/>
  <c r="N842" i="35"/>
  <c r="R842" i="36" s="1"/>
  <c r="N794" i="35"/>
  <c r="R794" i="36" s="1"/>
  <c r="N770" i="35"/>
  <c r="R770" i="36" s="1"/>
  <c r="Q701" i="36"/>
  <c r="M620" i="35"/>
  <c r="Q620" i="36" s="1"/>
  <c r="N637" i="35"/>
  <c r="R637" i="36" s="1"/>
  <c r="N851" i="35"/>
  <c r="R851" i="36" s="1"/>
  <c r="M609" i="35"/>
  <c r="N604" i="35" s="1"/>
  <c r="R604" i="36" s="1"/>
  <c r="M629" i="35"/>
  <c r="Q629" i="36" s="1"/>
  <c r="N793" i="35"/>
  <c r="R793" i="36" s="1"/>
  <c r="N676" i="35"/>
  <c r="R676" i="36" s="1"/>
  <c r="N867" i="35"/>
  <c r="R867" i="36" s="1"/>
  <c r="N769" i="35"/>
  <c r="R769" i="36" s="1"/>
  <c r="N707" i="35"/>
  <c r="R707" i="36" s="1"/>
  <c r="Q527" i="36"/>
  <c r="N861" i="35"/>
  <c r="R861" i="36" s="1"/>
  <c r="N686" i="35"/>
  <c r="R686" i="36" s="1"/>
  <c r="N760" i="35"/>
  <c r="R760" i="36" s="1"/>
  <c r="Q702" i="36"/>
  <c r="N782" i="35"/>
  <c r="R782" i="36" s="1"/>
  <c r="N840" i="35"/>
  <c r="R840" i="36" s="1"/>
  <c r="Q777" i="36"/>
  <c r="N841" i="35"/>
  <c r="R841" i="36" s="1"/>
  <c r="Q535" i="36"/>
  <c r="Q536" i="36"/>
  <c r="Q690" i="36"/>
  <c r="N549" i="35"/>
  <c r="R549" i="36" s="1"/>
  <c r="N530" i="35"/>
  <c r="R530" i="36" s="1"/>
  <c r="N852" i="35"/>
  <c r="R852" i="36" s="1"/>
  <c r="M630" i="35"/>
  <c r="Q630" i="36" s="1"/>
  <c r="M611" i="35"/>
  <c r="N606" i="35" s="1"/>
  <c r="R606" i="36" s="1"/>
  <c r="N522" i="35"/>
  <c r="R522" i="36" s="1"/>
  <c r="Q694" i="36"/>
  <c r="N790" i="35"/>
  <c r="R790" i="36" s="1"/>
  <c r="N590" i="35"/>
  <c r="R590" i="36" s="1"/>
  <c r="N858" i="35"/>
  <c r="R858" i="36" s="1"/>
  <c r="N592" i="35"/>
  <c r="R592" i="36" s="1"/>
  <c r="N792" i="35"/>
  <c r="R792" i="36" s="1"/>
  <c r="N548" i="35"/>
  <c r="R548" i="36" s="1"/>
  <c r="N551" i="35"/>
  <c r="R551" i="36" s="1"/>
  <c r="N533" i="35"/>
  <c r="R533" i="36" s="1"/>
  <c r="M619" i="35"/>
  <c r="Q619" i="36" s="1"/>
  <c r="M633" i="35"/>
  <c r="Q633" i="36" s="1"/>
  <c r="N758" i="35"/>
  <c r="R758" i="36" s="1"/>
  <c r="Q705" i="36"/>
  <c r="N869" i="35"/>
  <c r="R869" i="36" s="1"/>
  <c r="N540" i="35"/>
  <c r="R540" i="36" s="1"/>
  <c r="Q554" i="36"/>
  <c r="N593" i="35"/>
  <c r="R593" i="36" s="1"/>
  <c r="M608" i="35"/>
  <c r="M618" i="35"/>
  <c r="Q713" i="36"/>
  <c r="N708" i="35"/>
  <c r="R708" i="36" s="1"/>
  <c r="Q761" i="36"/>
  <c r="N756" i="35"/>
  <c r="R756" i="36" s="1"/>
  <c r="Q764" i="36"/>
  <c r="N759" i="35"/>
  <c r="R759" i="36" s="1"/>
  <c r="Q546" i="36"/>
  <c r="N542" i="35"/>
  <c r="R542" i="36" s="1"/>
  <c r="M631" i="35"/>
  <c r="M621" i="35"/>
  <c r="Q796" i="36"/>
  <c r="N791" i="35"/>
  <c r="R791" i="36" s="1"/>
  <c r="Q776" i="36"/>
  <c r="N771" i="35"/>
  <c r="R771" i="36" s="1"/>
  <c r="Q692" i="36"/>
  <c r="N687" i="35"/>
  <c r="R687" i="36" s="1"/>
  <c r="Q632" i="36"/>
  <c r="N627" i="35"/>
  <c r="R627" i="36" s="1"/>
  <c r="I985" i="36"/>
  <c r="I997" i="36"/>
  <c r="I993" i="36"/>
  <c r="I1001" i="36"/>
  <c r="I989" i="36"/>
  <c r="Q784" i="36"/>
  <c r="N779" i="35"/>
  <c r="R779" i="36" s="1"/>
  <c r="Q599" i="36"/>
  <c r="N594" i="35"/>
  <c r="R594" i="36" s="1"/>
  <c r="N636" i="35"/>
  <c r="R636" i="36" s="1"/>
  <c r="Q636" i="36"/>
  <c r="M622" i="35"/>
  <c r="Q682" i="36"/>
  <c r="N677" i="35"/>
  <c r="R677" i="36" s="1"/>
  <c r="Q874" i="36"/>
  <c r="N870" i="35"/>
  <c r="R870" i="36" s="1"/>
  <c r="I988" i="36"/>
  <c r="I1000" i="36"/>
  <c r="I992" i="36"/>
  <c r="I984" i="36"/>
  <c r="I996" i="36"/>
  <c r="N783" i="35"/>
  <c r="R783" i="36" s="1"/>
  <c r="Q788" i="36"/>
  <c r="M610" i="35"/>
  <c r="M607" i="35"/>
  <c r="I157" i="11"/>
  <c r="I980" i="11"/>
  <c r="K497" i="11"/>
  <c r="K505" i="11"/>
  <c r="I158" i="11"/>
  <c r="I981" i="11"/>
  <c r="I88" i="11"/>
  <c r="K511" i="11"/>
  <c r="K517" i="11"/>
  <c r="K512" i="11"/>
  <c r="I373" i="11"/>
  <c r="K500" i="11"/>
  <c r="I155" i="11"/>
  <c r="I432" i="11"/>
  <c r="I156" i="11"/>
  <c r="K503" i="11"/>
  <c r="I229" i="11"/>
  <c r="I228" i="11"/>
  <c r="I230" i="11"/>
  <c r="I231" i="11"/>
  <c r="I374" i="11"/>
  <c r="I159" i="11"/>
  <c r="I302" i="11"/>
  <c r="K499" i="11"/>
  <c r="I232" i="11"/>
  <c r="K510" i="11"/>
  <c r="I90" i="11"/>
  <c r="I372" i="11"/>
  <c r="I305" i="11"/>
  <c r="K502" i="11"/>
  <c r="K496" i="11"/>
  <c r="K514" i="11"/>
  <c r="I89" i="11"/>
  <c r="I371" i="11"/>
  <c r="K516" i="11"/>
  <c r="I435" i="11"/>
  <c r="K515" i="11"/>
  <c r="K498" i="11"/>
  <c r="K504" i="11"/>
  <c r="I434" i="11"/>
  <c r="I304" i="11"/>
  <c r="K506" i="11"/>
  <c r="I91" i="11"/>
  <c r="I306" i="11"/>
  <c r="I433" i="11"/>
  <c r="I303" i="11"/>
  <c r="K509" i="11"/>
  <c r="K508" i="11"/>
  <c r="Q611" i="36" l="1"/>
  <c r="N615" i="35"/>
  <c r="R615" i="36" s="1"/>
  <c r="Q609" i="36"/>
  <c r="N625" i="35"/>
  <c r="R625" i="36" s="1"/>
  <c r="N624" i="35"/>
  <c r="R624" i="36" s="1"/>
  <c r="N628" i="35"/>
  <c r="R628" i="36" s="1"/>
  <c r="N614" i="35"/>
  <c r="R614" i="36" s="1"/>
  <c r="Q607" i="36"/>
  <c r="N602" i="35"/>
  <c r="R602" i="36" s="1"/>
  <c r="Q610" i="36"/>
  <c r="N605" i="35"/>
  <c r="R605" i="36" s="1"/>
  <c r="I1017" i="36"/>
  <c r="I1009" i="36"/>
  <c r="I1021" i="36"/>
  <c r="I1013" i="36"/>
  <c r="I1005" i="36"/>
  <c r="Q622" i="36"/>
  <c r="N617" i="35"/>
  <c r="R617" i="36" s="1"/>
  <c r="Q621" i="36"/>
  <c r="N616" i="35"/>
  <c r="R616" i="36" s="1"/>
  <c r="Q631" i="36"/>
  <c r="N626" i="35"/>
  <c r="R626" i="36" s="1"/>
  <c r="I1004" i="36"/>
  <c r="I1016" i="36"/>
  <c r="I1020" i="36"/>
  <c r="I1012" i="36"/>
  <c r="I1008" i="36"/>
  <c r="Q618" i="36"/>
  <c r="N613" i="35"/>
  <c r="R613" i="36" s="1"/>
  <c r="Q608" i="36"/>
  <c r="N603" i="35"/>
  <c r="R603" i="36" s="1"/>
  <c r="L500" i="11"/>
  <c r="L505" i="11"/>
  <c r="L515" i="11"/>
  <c r="L506" i="11"/>
  <c r="L512" i="11"/>
  <c r="I985" i="11"/>
  <c r="I989" i="11"/>
  <c r="I993" i="11"/>
  <c r="I997" i="11"/>
  <c r="I1001" i="11"/>
  <c r="L511" i="11"/>
  <c r="L508" i="11"/>
  <c r="L510" i="11"/>
  <c r="L502" i="11"/>
  <c r="L497" i="11"/>
  <c r="L496" i="11"/>
  <c r="L516" i="11"/>
  <c r="L499" i="11"/>
  <c r="L517" i="11"/>
  <c r="I984" i="11"/>
  <c r="I996" i="11"/>
  <c r="I992" i="11"/>
  <c r="I988" i="11"/>
  <c r="I1000" i="11"/>
  <c r="L504" i="11"/>
  <c r="L509" i="11"/>
  <c r="L514" i="11"/>
  <c r="L503" i="11"/>
  <c r="L498" i="11"/>
  <c r="M506" i="11" l="1"/>
  <c r="M509" i="11"/>
  <c r="M514" i="11"/>
  <c r="M508" i="11"/>
  <c r="M497" i="11"/>
  <c r="M505" i="11"/>
  <c r="M503" i="11"/>
  <c r="M517" i="11"/>
  <c r="M496" i="11"/>
  <c r="M511" i="11"/>
  <c r="I1009" i="11"/>
  <c r="I1013" i="11"/>
  <c r="I1017" i="11"/>
  <c r="I1005" i="11"/>
  <c r="I1021" i="11"/>
  <c r="I1016" i="11"/>
  <c r="I1020" i="11"/>
  <c r="I1004" i="11"/>
  <c r="I1008" i="11"/>
  <c r="I1012" i="11"/>
  <c r="M515" i="11"/>
  <c r="M510" i="11"/>
  <c r="M498" i="11"/>
  <c r="M499" i="11"/>
  <c r="M516" i="11"/>
  <c r="M504" i="11"/>
  <c r="M502" i="11"/>
  <c r="M512" i="11"/>
  <c r="M500" i="11"/>
  <c r="D55" i="22"/>
  <c r="M55" i="22" s="1"/>
  <c r="D86" i="22"/>
  <c r="P86" i="22" s="1"/>
  <c r="D41" i="22"/>
  <c r="F41" i="22" s="1"/>
  <c r="F43" i="22" s="1"/>
  <c r="H61" i="36" l="1"/>
  <c r="H61" i="35"/>
  <c r="N86" i="22"/>
  <c r="H61" i="11"/>
  <c r="P55" i="22"/>
  <c r="K55" i="22"/>
  <c r="L55" i="22"/>
  <c r="O86" i="22"/>
  <c r="O55" i="22"/>
  <c r="L86" i="22"/>
  <c r="N55" i="22"/>
  <c r="M86" i="22"/>
  <c r="K86" i="22"/>
  <c r="K89" i="22" s="1"/>
  <c r="H62" i="35" l="1"/>
  <c r="K62" i="35" s="1"/>
  <c r="H12" i="35"/>
  <c r="K61" i="35"/>
  <c r="H62" i="36"/>
  <c r="K62" i="36" s="1"/>
  <c r="L62" i="36" s="1"/>
  <c r="M62" i="36" s="1"/>
  <c r="H12" i="36"/>
  <c r="K61" i="36"/>
  <c r="K61" i="11"/>
  <c r="H62" i="11"/>
  <c r="K62" i="11" s="1"/>
  <c r="H12" i="11"/>
  <c r="L61" i="36" l="1"/>
  <c r="L12" i="36" s="1"/>
  <c r="K12" i="36"/>
  <c r="H24" i="35"/>
  <c r="H18" i="35"/>
  <c r="H18" i="36"/>
  <c r="H24" i="36"/>
  <c r="L61" i="35"/>
  <c r="O61" i="36"/>
  <c r="K12" i="35"/>
  <c r="O62" i="36"/>
  <c r="L62" i="35"/>
  <c r="P62" i="36" s="1"/>
  <c r="L62" i="11"/>
  <c r="M62" i="11" s="1"/>
  <c r="H18" i="11"/>
  <c r="H24" i="11"/>
  <c r="K12" i="11"/>
  <c r="L61" i="11"/>
  <c r="L12" i="11" s="1"/>
  <c r="M61" i="36" l="1"/>
  <c r="M12" i="36" s="1"/>
  <c r="M24" i="36" s="1"/>
  <c r="M62" i="35"/>
  <c r="Q62" i="36" s="1"/>
  <c r="K24" i="35"/>
  <c r="O12" i="36"/>
  <c r="K18" i="35"/>
  <c r="M61" i="35"/>
  <c r="P61" i="36"/>
  <c r="L12" i="35"/>
  <c r="K24" i="36"/>
  <c r="K18" i="36"/>
  <c r="L24" i="36"/>
  <c r="L18" i="36"/>
  <c r="M61" i="11"/>
  <c r="M12" i="11" s="1"/>
  <c r="L18" i="11"/>
  <c r="L24" i="11"/>
  <c r="K24" i="11"/>
  <c r="K18" i="11"/>
  <c r="M18" i="36" l="1"/>
  <c r="Q61" i="36"/>
  <c r="M12" i="35"/>
  <c r="O18" i="36"/>
  <c r="O24" i="36"/>
  <c r="P12" i="36"/>
  <c r="L18" i="35"/>
  <c r="L24" i="35"/>
  <c r="M18" i="11"/>
  <c r="M24" i="11"/>
  <c r="E25" i="10"/>
  <c r="F25" i="10" s="1"/>
  <c r="M18" i="35" l="1"/>
  <c r="Q12" i="36"/>
  <c r="M24" i="35"/>
  <c r="P24" i="36"/>
  <c r="P18" i="36"/>
  <c r="M25" i="10"/>
  <c r="M31" i="10" s="1"/>
  <c r="L25" i="10"/>
  <c r="L31" i="10" s="1"/>
  <c r="N25" i="10"/>
  <c r="N31" i="10" s="1"/>
  <c r="K25" i="10"/>
  <c r="K31" i="10" s="1"/>
  <c r="Q24" i="36" l="1"/>
  <c r="Q18" i="36"/>
  <c r="L36" i="10"/>
  <c r="L35" i="10"/>
  <c r="L34" i="10"/>
  <c r="L32" i="10"/>
  <c r="L33" i="10"/>
  <c r="K33" i="10"/>
  <c r="K34" i="10"/>
  <c r="K32" i="10"/>
  <c r="K35" i="10"/>
  <c r="K36" i="10"/>
  <c r="N32" i="10"/>
  <c r="N33" i="10"/>
  <c r="N35" i="10"/>
  <c r="N34" i="10"/>
  <c r="N36" i="10"/>
  <c r="M34" i="10"/>
  <c r="M32" i="10"/>
  <c r="M33" i="10"/>
  <c r="M35" i="10"/>
  <c r="M36" i="10"/>
  <c r="G29" i="35" l="1"/>
  <c r="G29" i="36"/>
  <c r="G44" i="36"/>
  <c r="G44" i="35"/>
  <c r="G51" i="36"/>
  <c r="G51" i="35"/>
  <c r="G45" i="36"/>
  <c r="G45" i="35"/>
  <c r="L38" i="10"/>
  <c r="G41" i="36"/>
  <c r="G41" i="35"/>
  <c r="G38" i="36"/>
  <c r="G38" i="35"/>
  <c r="G26" i="36"/>
  <c r="G26" i="35"/>
  <c r="G28" i="36"/>
  <c r="G28" i="35"/>
  <c r="G27" i="36"/>
  <c r="G27" i="35"/>
  <c r="G37" i="36"/>
  <c r="G37" i="35"/>
  <c r="G43" i="36"/>
  <c r="G43" i="35"/>
  <c r="G55" i="36"/>
  <c r="G55" i="35"/>
  <c r="G53" i="36"/>
  <c r="G53" i="35"/>
  <c r="G39" i="36"/>
  <c r="G39" i="35"/>
  <c r="G52" i="36"/>
  <c r="G52" i="35"/>
  <c r="G30" i="36"/>
  <c r="G30" i="35"/>
  <c r="G42" i="36"/>
  <c r="G42" i="35"/>
  <c r="G36" i="36"/>
  <c r="G36" i="35"/>
  <c r="G54" i="36"/>
  <c r="G54" i="35"/>
  <c r="G40" i="36"/>
  <c r="G40" i="35"/>
  <c r="K40" i="10"/>
  <c r="G28" i="11"/>
  <c r="N39" i="10"/>
  <c r="G52" i="11"/>
  <c r="K42" i="10"/>
  <c r="G30" i="11"/>
  <c r="K38" i="10"/>
  <c r="G26" i="11"/>
  <c r="G42" i="11"/>
  <c r="M39" i="10"/>
  <c r="L39" i="10"/>
  <c r="N42" i="10"/>
  <c r="G55" i="11"/>
  <c r="G51" i="11"/>
  <c r="N38" i="10"/>
  <c r="K41" i="10"/>
  <c r="G29" i="11"/>
  <c r="G45" i="11"/>
  <c r="M42" i="10"/>
  <c r="L42" i="10"/>
  <c r="L41" i="10"/>
  <c r="G44" i="11"/>
  <c r="M41" i="10"/>
  <c r="K39" i="10"/>
  <c r="G27" i="11"/>
  <c r="G41" i="11"/>
  <c r="M38" i="10"/>
  <c r="G37" i="11"/>
  <c r="G43" i="11"/>
  <c r="L40" i="10"/>
  <c r="M40" i="10"/>
  <c r="G36" i="11"/>
  <c r="G38" i="11"/>
  <c r="N40" i="10"/>
  <c r="G53" i="11"/>
  <c r="G39" i="11"/>
  <c r="G54" i="11"/>
  <c r="N41" i="10"/>
  <c r="G40" i="11"/>
  <c r="G57" i="36" l="1"/>
  <c r="G57" i="35"/>
  <c r="G46" i="36"/>
  <c r="G46" i="35"/>
  <c r="G32" i="35"/>
  <c r="G8" i="35"/>
  <c r="G14" i="35"/>
  <c r="G49" i="36"/>
  <c r="G49" i="35"/>
  <c r="G50" i="36"/>
  <c r="G50" i="35"/>
  <c r="G35" i="35"/>
  <c r="G11" i="35"/>
  <c r="G17" i="35"/>
  <c r="G35" i="36"/>
  <c r="G11" i="36"/>
  <c r="G17" i="36"/>
  <c r="G33" i="35"/>
  <c r="G9" i="35"/>
  <c r="G15" i="35"/>
  <c r="G33" i="36"/>
  <c r="G9" i="36"/>
  <c r="G15" i="36"/>
  <c r="G56" i="35"/>
  <c r="G56" i="36"/>
  <c r="G31" i="35"/>
  <c r="G7" i="35"/>
  <c r="G13" i="35"/>
  <c r="G58" i="36"/>
  <c r="G58" i="35"/>
  <c r="G32" i="36"/>
  <c r="G8" i="36"/>
  <c r="G14" i="36"/>
  <c r="G31" i="36"/>
  <c r="G7" i="36"/>
  <c r="G13" i="36"/>
  <c r="G34" i="36"/>
  <c r="G10" i="36"/>
  <c r="G16" i="36"/>
  <c r="G60" i="36"/>
  <c r="G60" i="35"/>
  <c r="G47" i="36"/>
  <c r="G47" i="35"/>
  <c r="G59" i="36"/>
  <c r="G59" i="35"/>
  <c r="G48" i="36"/>
  <c r="G48" i="35"/>
  <c r="G34" i="35"/>
  <c r="G10" i="35"/>
  <c r="G16" i="35"/>
  <c r="G58" i="11"/>
  <c r="G59" i="11"/>
  <c r="G14" i="11"/>
  <c r="G8" i="11"/>
  <c r="G32" i="11"/>
  <c r="G57" i="11"/>
  <c r="G48" i="11"/>
  <c r="G60" i="11"/>
  <c r="G31" i="11"/>
  <c r="G13" i="11"/>
  <c r="G7" i="11"/>
  <c r="G56" i="11"/>
  <c r="G50" i="11"/>
  <c r="G15" i="11"/>
  <c r="G9" i="11"/>
  <c r="G33" i="11"/>
  <c r="G10" i="11"/>
  <c r="G16" i="11"/>
  <c r="G34" i="11"/>
  <c r="G46" i="11"/>
  <c r="G49" i="11"/>
  <c r="G47" i="11"/>
  <c r="G17" i="11"/>
  <c r="G11" i="11"/>
  <c r="G35" i="11"/>
  <c r="G20" i="35" l="1"/>
  <c r="G23" i="35"/>
  <c r="G19" i="36"/>
  <c r="G21" i="35"/>
  <c r="G19" i="35"/>
  <c r="G21" i="36"/>
  <c r="G22" i="35"/>
  <c r="G22" i="36"/>
  <c r="G20" i="36"/>
  <c r="G23" i="36"/>
  <c r="G21" i="11"/>
  <c r="G20" i="11"/>
  <c r="G22" i="11"/>
  <c r="G23" i="11"/>
  <c r="G19" i="11"/>
  <c r="F229" i="13"/>
  <c r="G229" i="13" s="1"/>
  <c r="F220" i="13"/>
  <c r="G220" i="13" s="1"/>
  <c r="F238" i="13"/>
  <c r="G238" i="13" s="1"/>
  <c r="F247" i="13"/>
  <c r="G247" i="13" s="1"/>
  <c r="P238" i="13" l="1"/>
  <c r="P236" i="13" s="1"/>
  <c r="I486" i="36" s="1"/>
  <c r="N238" i="13"/>
  <c r="N236" i="13" s="1"/>
  <c r="I484" i="36" s="1"/>
  <c r="S238" i="13"/>
  <c r="S236" i="13" s="1"/>
  <c r="R238" i="13"/>
  <c r="R236" i="13" s="1"/>
  <c r="I488" i="36" s="1"/>
  <c r="Q238" i="13"/>
  <c r="Q236" i="13" s="1"/>
  <c r="I487" i="36" s="1"/>
  <c r="O238" i="13"/>
  <c r="O236" i="13" s="1"/>
  <c r="I485" i="36" s="1"/>
  <c r="R247" i="13"/>
  <c r="R245" i="13" s="1"/>
  <c r="S247" i="13"/>
  <c r="S245" i="13" s="1"/>
  <c r="P247" i="13"/>
  <c r="P245" i="13" s="1"/>
  <c r="I492" i="36" s="1"/>
  <c r="Q247" i="13"/>
  <c r="Q245" i="13" s="1"/>
  <c r="I493" i="36" s="1"/>
  <c r="N247" i="13"/>
  <c r="N245" i="13" s="1"/>
  <c r="I490" i="36" s="1"/>
  <c r="O247" i="13"/>
  <c r="O245" i="13" s="1"/>
  <c r="I491" i="36" s="1"/>
  <c r="S229" i="13"/>
  <c r="S227" i="13" s="1"/>
  <c r="R229" i="13"/>
  <c r="R227" i="13" s="1"/>
  <c r="I482" i="36" s="1"/>
  <c r="P229" i="13"/>
  <c r="P227" i="13" s="1"/>
  <c r="I480" i="36" s="1"/>
  <c r="O229" i="13"/>
  <c r="O227" i="13" s="1"/>
  <c r="I479" i="36" s="1"/>
  <c r="N229" i="13"/>
  <c r="N227" i="13" s="1"/>
  <c r="I478" i="36" s="1"/>
  <c r="Q229" i="13"/>
  <c r="Q227" i="13" s="1"/>
  <c r="I481" i="36" s="1"/>
  <c r="Q220" i="13"/>
  <c r="Q218" i="13" s="1"/>
  <c r="I475" i="36" s="1"/>
  <c r="P220" i="13"/>
  <c r="P218" i="13" s="1"/>
  <c r="I474" i="36" s="1"/>
  <c r="R220" i="13"/>
  <c r="R218" i="13" s="1"/>
  <c r="I476" i="36" s="1"/>
  <c r="N220" i="13"/>
  <c r="N218" i="13" s="1"/>
  <c r="I472" i="36" s="1"/>
  <c r="S220" i="13"/>
  <c r="S218" i="13" s="1"/>
  <c r="O220" i="13"/>
  <c r="O218" i="13" s="1"/>
  <c r="I473" i="36" s="1"/>
  <c r="I575" i="36" l="1"/>
  <c r="I657" i="36"/>
  <c r="K472" i="36"/>
  <c r="L472" i="36" s="1"/>
  <c r="M472" i="36" s="1"/>
  <c r="I898" i="36"/>
  <c r="I968" i="36"/>
  <c r="K493" i="36"/>
  <c r="L493" i="36" s="1"/>
  <c r="M493" i="36" s="1"/>
  <c r="I661" i="36"/>
  <c r="I579" i="36"/>
  <c r="K579" i="36" s="1"/>
  <c r="L579" i="36" s="1"/>
  <c r="M579" i="36" s="1"/>
  <c r="K476" i="36"/>
  <c r="L476" i="36" s="1"/>
  <c r="M476" i="36" s="1"/>
  <c r="I826" i="36"/>
  <c r="K487" i="36"/>
  <c r="L487" i="36" s="1"/>
  <c r="M487" i="36" s="1"/>
  <c r="I967" i="36"/>
  <c r="I897" i="36"/>
  <c r="K492" i="36"/>
  <c r="L492" i="36" s="1"/>
  <c r="M492" i="36" s="1"/>
  <c r="I827" i="36"/>
  <c r="K488" i="36"/>
  <c r="L488" i="36" s="1"/>
  <c r="M488" i="36" s="1"/>
  <c r="I576" i="36"/>
  <c r="I658" i="36"/>
  <c r="K473" i="36"/>
  <c r="L473" i="36" s="1"/>
  <c r="M473" i="36" s="1"/>
  <c r="I577" i="36"/>
  <c r="I659" i="36"/>
  <c r="K474" i="36"/>
  <c r="L474" i="36" s="1"/>
  <c r="M474" i="36" s="1"/>
  <c r="I741" i="36"/>
  <c r="K479" i="36"/>
  <c r="L479" i="36" s="1"/>
  <c r="M479" i="36" s="1"/>
  <c r="I966" i="36"/>
  <c r="I896" i="36"/>
  <c r="K491" i="36"/>
  <c r="L491" i="36" s="1"/>
  <c r="M491" i="36" s="1"/>
  <c r="I578" i="36"/>
  <c r="I660" i="36"/>
  <c r="K475" i="36"/>
  <c r="L475" i="36" s="1"/>
  <c r="M475" i="36" s="1"/>
  <c r="I743" i="36"/>
  <c r="K481" i="36"/>
  <c r="L481" i="36" s="1"/>
  <c r="M481" i="36" s="1"/>
  <c r="I740" i="36"/>
  <c r="K478" i="36"/>
  <c r="L478" i="36" s="1"/>
  <c r="M478" i="36" s="1"/>
  <c r="I744" i="36"/>
  <c r="K482" i="36"/>
  <c r="L482" i="36" s="1"/>
  <c r="M482" i="36" s="1"/>
  <c r="I823" i="36"/>
  <c r="K484" i="36"/>
  <c r="L484" i="36" s="1"/>
  <c r="M484" i="36" s="1"/>
  <c r="I965" i="36"/>
  <c r="I895" i="36"/>
  <c r="K490" i="36"/>
  <c r="L490" i="36" s="1"/>
  <c r="M490" i="36" s="1"/>
  <c r="I824" i="36"/>
  <c r="K485" i="36"/>
  <c r="L485" i="36" s="1"/>
  <c r="M485" i="36" s="1"/>
  <c r="I742" i="36"/>
  <c r="K480" i="36"/>
  <c r="L480" i="36" s="1"/>
  <c r="M480" i="36" s="1"/>
  <c r="I825" i="36"/>
  <c r="K486" i="36"/>
  <c r="L486" i="36" s="1"/>
  <c r="M486" i="36" s="1"/>
  <c r="I491" i="11"/>
  <c r="I473" i="11"/>
  <c r="I472" i="11"/>
  <c r="I492" i="11"/>
  <c r="I488" i="11"/>
  <c r="I476" i="11"/>
  <c r="I474" i="11"/>
  <c r="I485" i="11"/>
  <c r="I490" i="11"/>
  <c r="I481" i="11"/>
  <c r="I487" i="11"/>
  <c r="I480" i="11"/>
  <c r="I484" i="11"/>
  <c r="I493" i="11"/>
  <c r="I475" i="11"/>
  <c r="I478" i="11"/>
  <c r="I479" i="11"/>
  <c r="I482" i="11"/>
  <c r="I486" i="11"/>
  <c r="I764" i="36" l="1"/>
  <c r="K826" i="36"/>
  <c r="L826" i="36" s="1"/>
  <c r="M826" i="36" s="1"/>
  <c r="I678" i="36"/>
  <c r="K740" i="36"/>
  <c r="L740" i="36" s="1"/>
  <c r="M740" i="36" s="1"/>
  <c r="I915" i="36"/>
  <c r="K967" i="36"/>
  <c r="L967" i="36" s="1"/>
  <c r="M967" i="36" s="1"/>
  <c r="I763" i="36"/>
  <c r="K825" i="36"/>
  <c r="L825" i="36" s="1"/>
  <c r="M825" i="36" s="1"/>
  <c r="I679" i="36"/>
  <c r="K741" i="36"/>
  <c r="L741" i="36" s="1"/>
  <c r="M741" i="36" s="1"/>
  <c r="I680" i="36"/>
  <c r="K742" i="36"/>
  <c r="L742" i="36" s="1"/>
  <c r="M742" i="36" s="1"/>
  <c r="I526" i="36"/>
  <c r="K577" i="36"/>
  <c r="L577" i="36" s="1"/>
  <c r="M577" i="36" s="1"/>
  <c r="I599" i="36"/>
  <c r="K661" i="36"/>
  <c r="L661" i="36" s="1"/>
  <c r="M661" i="36" s="1"/>
  <c r="I598" i="36"/>
  <c r="K660" i="36"/>
  <c r="L660" i="36" s="1"/>
  <c r="M660" i="36" s="1"/>
  <c r="I525" i="36"/>
  <c r="K576" i="36"/>
  <c r="L576" i="36" s="1"/>
  <c r="M576" i="36" s="1"/>
  <c r="I916" i="36"/>
  <c r="K968" i="36"/>
  <c r="L968" i="36" s="1"/>
  <c r="M968" i="36" s="1"/>
  <c r="I762" i="36"/>
  <c r="K824" i="36"/>
  <c r="L824" i="36" s="1"/>
  <c r="M824" i="36" s="1"/>
  <c r="I527" i="36"/>
  <c r="K578" i="36"/>
  <c r="L578" i="36" s="1"/>
  <c r="M578" i="36" s="1"/>
  <c r="I846" i="36"/>
  <c r="K898" i="36"/>
  <c r="L898" i="36" s="1"/>
  <c r="M898" i="36" s="1"/>
  <c r="I682" i="36"/>
  <c r="K744" i="36"/>
  <c r="L744" i="36" s="1"/>
  <c r="M744" i="36" s="1"/>
  <c r="I765" i="36"/>
  <c r="K827" i="36"/>
  <c r="L827" i="36" s="1"/>
  <c r="M827" i="36" s="1"/>
  <c r="I681" i="36"/>
  <c r="K743" i="36"/>
  <c r="L743" i="36" s="1"/>
  <c r="M743" i="36" s="1"/>
  <c r="I596" i="36"/>
  <c r="K658" i="36"/>
  <c r="L658" i="36" s="1"/>
  <c r="M658" i="36" s="1"/>
  <c r="I843" i="36"/>
  <c r="K895" i="36"/>
  <c r="L895" i="36" s="1"/>
  <c r="M895" i="36" s="1"/>
  <c r="I844" i="36"/>
  <c r="K896" i="36"/>
  <c r="L896" i="36" s="1"/>
  <c r="M896" i="36" s="1"/>
  <c r="I595" i="36"/>
  <c r="K657" i="36"/>
  <c r="L657" i="36" s="1"/>
  <c r="M657" i="36" s="1"/>
  <c r="I597" i="36"/>
  <c r="K659" i="36"/>
  <c r="L659" i="36" s="1"/>
  <c r="M659" i="36" s="1"/>
  <c r="I913" i="36"/>
  <c r="K965" i="36"/>
  <c r="L965" i="36" s="1"/>
  <c r="M965" i="36" s="1"/>
  <c r="I761" i="36"/>
  <c r="K823" i="36"/>
  <c r="L823" i="36" s="1"/>
  <c r="M823" i="36" s="1"/>
  <c r="I914" i="36"/>
  <c r="K966" i="36"/>
  <c r="L966" i="36" s="1"/>
  <c r="M966" i="36" s="1"/>
  <c r="I845" i="36"/>
  <c r="K897" i="36"/>
  <c r="L897" i="36" s="1"/>
  <c r="M897" i="36" s="1"/>
  <c r="I524" i="36"/>
  <c r="K575" i="36"/>
  <c r="L575" i="36" s="1"/>
  <c r="M575" i="36" s="1"/>
  <c r="K480" i="11"/>
  <c r="I742" i="11"/>
  <c r="K492" i="11"/>
  <c r="I897" i="11"/>
  <c r="I967" i="11"/>
  <c r="K472" i="11"/>
  <c r="I657" i="11"/>
  <c r="I575" i="11"/>
  <c r="K475" i="11"/>
  <c r="I660" i="11"/>
  <c r="I578" i="11"/>
  <c r="I825" i="11"/>
  <c r="K486" i="11"/>
  <c r="K482" i="11"/>
  <c r="I744" i="11"/>
  <c r="K481" i="11"/>
  <c r="I743" i="11"/>
  <c r="K479" i="11"/>
  <c r="I741" i="11"/>
  <c r="K491" i="11"/>
  <c r="I896" i="11"/>
  <c r="I966" i="11"/>
  <c r="K485" i="11"/>
  <c r="I824" i="11"/>
  <c r="K474" i="11"/>
  <c r="I577" i="11"/>
  <c r="I659" i="11"/>
  <c r="K493" i="11"/>
  <c r="I898" i="11"/>
  <c r="I968" i="11"/>
  <c r="K473" i="11"/>
  <c r="I576" i="11"/>
  <c r="I658" i="11"/>
  <c r="K478" i="11"/>
  <c r="I740" i="11"/>
  <c r="K487" i="11"/>
  <c r="I826" i="11"/>
  <c r="I579" i="11"/>
  <c r="K579" i="11" s="1"/>
  <c r="K476" i="11"/>
  <c r="I661" i="11"/>
  <c r="K484" i="11"/>
  <c r="I823" i="11"/>
  <c r="K490" i="11"/>
  <c r="I965" i="11"/>
  <c r="I895" i="11"/>
  <c r="K488" i="11"/>
  <c r="I827" i="11"/>
  <c r="I619" i="36" l="1"/>
  <c r="K619" i="36" s="1"/>
  <c r="L619" i="36" s="1"/>
  <c r="M619" i="36" s="1"/>
  <c r="N614" i="36" s="1"/>
  <c r="I636" i="36"/>
  <c r="K636" i="36" s="1"/>
  <c r="L636" i="36" s="1"/>
  <c r="M636" i="36" s="1"/>
  <c r="N636" i="36" s="1"/>
  <c r="I630" i="36"/>
  <c r="K630" i="36" s="1"/>
  <c r="L630" i="36" s="1"/>
  <c r="M630" i="36" s="1"/>
  <c r="N625" i="36" s="1"/>
  <c r="I608" i="36"/>
  <c r="K608" i="36" s="1"/>
  <c r="L608" i="36" s="1"/>
  <c r="M608" i="36" s="1"/>
  <c r="N603" i="36" s="1"/>
  <c r="K596" i="36"/>
  <c r="L596" i="36" s="1"/>
  <c r="M596" i="36" s="1"/>
  <c r="N591" i="36" s="1"/>
  <c r="I785" i="36"/>
  <c r="K785" i="36" s="1"/>
  <c r="L785" i="36" s="1"/>
  <c r="M785" i="36" s="1"/>
  <c r="N780" i="36" s="1"/>
  <c r="I774" i="36"/>
  <c r="K774" i="36" s="1"/>
  <c r="L774" i="36" s="1"/>
  <c r="M774" i="36" s="1"/>
  <c r="N769" i="36" s="1"/>
  <c r="I796" i="36"/>
  <c r="K796" i="36" s="1"/>
  <c r="L796" i="36" s="1"/>
  <c r="M796" i="36" s="1"/>
  <c r="N791" i="36" s="1"/>
  <c r="K762" i="36"/>
  <c r="L762" i="36" s="1"/>
  <c r="M762" i="36" s="1"/>
  <c r="N757" i="36" s="1"/>
  <c r="I703" i="36"/>
  <c r="K703" i="36" s="1"/>
  <c r="L703" i="36" s="1"/>
  <c r="M703" i="36" s="1"/>
  <c r="N698" i="36" s="1"/>
  <c r="I714" i="36"/>
  <c r="K714" i="36" s="1"/>
  <c r="L714" i="36" s="1"/>
  <c r="M714" i="36" s="1"/>
  <c r="N709" i="36" s="1"/>
  <c r="I692" i="36"/>
  <c r="K692" i="36" s="1"/>
  <c r="L692" i="36" s="1"/>
  <c r="M692" i="36" s="1"/>
  <c r="N687" i="36" s="1"/>
  <c r="K680" i="36"/>
  <c r="L680" i="36" s="1"/>
  <c r="M680" i="36" s="1"/>
  <c r="N675" i="36" s="1"/>
  <c r="I773" i="36"/>
  <c r="K773" i="36" s="1"/>
  <c r="L773" i="36" s="1"/>
  <c r="M773" i="36" s="1"/>
  <c r="N768" i="36" s="1"/>
  <c r="I795" i="36"/>
  <c r="K795" i="36" s="1"/>
  <c r="L795" i="36" s="1"/>
  <c r="M795" i="36" s="1"/>
  <c r="N790" i="36" s="1"/>
  <c r="I784" i="36"/>
  <c r="K784" i="36" s="1"/>
  <c r="L784" i="36" s="1"/>
  <c r="M784" i="36" s="1"/>
  <c r="N779" i="36" s="1"/>
  <c r="K761" i="36"/>
  <c r="L761" i="36" s="1"/>
  <c r="M761" i="36" s="1"/>
  <c r="N756" i="36" s="1"/>
  <c r="I942" i="36"/>
  <c r="K942" i="36" s="1"/>
  <c r="I933" i="36"/>
  <c r="K933" i="36" s="1"/>
  <c r="L933" i="36" s="1"/>
  <c r="M933" i="36" s="1"/>
  <c r="N929" i="36" s="1"/>
  <c r="I924" i="36"/>
  <c r="K924" i="36" s="1"/>
  <c r="L924" i="36" s="1"/>
  <c r="M924" i="36" s="1"/>
  <c r="N920" i="36" s="1"/>
  <c r="K913" i="36"/>
  <c r="L913" i="36" s="1"/>
  <c r="M913" i="36" s="1"/>
  <c r="N909" i="36" s="1"/>
  <c r="I704" i="36"/>
  <c r="K704" i="36" s="1"/>
  <c r="L704" i="36" s="1"/>
  <c r="M704" i="36" s="1"/>
  <c r="N699" i="36" s="1"/>
  <c r="I715" i="36"/>
  <c r="K715" i="36" s="1"/>
  <c r="L715" i="36" s="1"/>
  <c r="M715" i="36" s="1"/>
  <c r="N710" i="36" s="1"/>
  <c r="I693" i="36"/>
  <c r="K693" i="36" s="1"/>
  <c r="L693" i="36" s="1"/>
  <c r="M693" i="36" s="1"/>
  <c r="N688" i="36" s="1"/>
  <c r="K681" i="36"/>
  <c r="L681" i="36" s="1"/>
  <c r="M681" i="36" s="1"/>
  <c r="N676" i="36" s="1"/>
  <c r="I945" i="36"/>
  <c r="K945" i="36" s="1"/>
  <c r="L945" i="36" s="1"/>
  <c r="M945" i="36" s="1"/>
  <c r="N941" i="36" s="1"/>
  <c r="I936" i="36"/>
  <c r="K936" i="36" s="1"/>
  <c r="L936" i="36" s="1"/>
  <c r="M936" i="36" s="1"/>
  <c r="N932" i="36" s="1"/>
  <c r="I927" i="36"/>
  <c r="K927" i="36" s="1"/>
  <c r="L927" i="36" s="1"/>
  <c r="M927" i="36" s="1"/>
  <c r="N923" i="36" s="1"/>
  <c r="K916" i="36"/>
  <c r="L916" i="36" s="1"/>
  <c r="M916" i="36" s="1"/>
  <c r="N912" i="36" s="1"/>
  <c r="I691" i="36"/>
  <c r="K691" i="36" s="1"/>
  <c r="L691" i="36" s="1"/>
  <c r="M691" i="36" s="1"/>
  <c r="N686" i="36" s="1"/>
  <c r="I713" i="36"/>
  <c r="K713" i="36" s="1"/>
  <c r="L713" i="36" s="1"/>
  <c r="M713" i="36" s="1"/>
  <c r="N708" i="36" s="1"/>
  <c r="I702" i="36"/>
  <c r="K702" i="36" s="1"/>
  <c r="L702" i="36" s="1"/>
  <c r="M702" i="36" s="1"/>
  <c r="N697" i="36" s="1"/>
  <c r="K679" i="36"/>
  <c r="L679" i="36" s="1"/>
  <c r="M679" i="36" s="1"/>
  <c r="N674" i="36" s="1"/>
  <c r="I637" i="36"/>
  <c r="K637" i="36" s="1"/>
  <c r="L637" i="36" s="1"/>
  <c r="M637" i="36" s="1"/>
  <c r="N637" i="36" s="1"/>
  <c r="I609" i="36"/>
  <c r="K609" i="36" s="1"/>
  <c r="L609" i="36" s="1"/>
  <c r="M609" i="36" s="1"/>
  <c r="N604" i="36" s="1"/>
  <c r="I620" i="36"/>
  <c r="K620" i="36" s="1"/>
  <c r="L620" i="36" s="1"/>
  <c r="M620" i="36" s="1"/>
  <c r="N615" i="36" s="1"/>
  <c r="I631" i="36"/>
  <c r="K631" i="36" s="1"/>
  <c r="L631" i="36" s="1"/>
  <c r="M631" i="36" s="1"/>
  <c r="N626" i="36" s="1"/>
  <c r="K597" i="36"/>
  <c r="L597" i="36" s="1"/>
  <c r="M597" i="36" s="1"/>
  <c r="N592" i="36" s="1"/>
  <c r="I799" i="36"/>
  <c r="K799" i="36" s="1"/>
  <c r="L799" i="36" s="1"/>
  <c r="M799" i="36" s="1"/>
  <c r="N794" i="36" s="1"/>
  <c r="I777" i="36"/>
  <c r="K777" i="36" s="1"/>
  <c r="L777" i="36" s="1"/>
  <c r="M777" i="36" s="1"/>
  <c r="N772" i="36" s="1"/>
  <c r="I788" i="36"/>
  <c r="K788" i="36" s="1"/>
  <c r="L788" i="36" s="1"/>
  <c r="M788" i="36" s="1"/>
  <c r="N783" i="36" s="1"/>
  <c r="K765" i="36"/>
  <c r="L765" i="36" s="1"/>
  <c r="M765" i="36" s="1"/>
  <c r="N760" i="36" s="1"/>
  <c r="I544" i="36"/>
  <c r="K544" i="36" s="1"/>
  <c r="L544" i="36" s="1"/>
  <c r="M544" i="36" s="1"/>
  <c r="N540" i="36" s="1"/>
  <c r="I535" i="36"/>
  <c r="K535" i="36" s="1"/>
  <c r="L535" i="36" s="1"/>
  <c r="M535" i="36" s="1"/>
  <c r="N531" i="36" s="1"/>
  <c r="I553" i="36"/>
  <c r="K553" i="36" s="1"/>
  <c r="L553" i="36" s="1"/>
  <c r="M553" i="36" s="1"/>
  <c r="N549" i="36" s="1"/>
  <c r="K525" i="36"/>
  <c r="L525" i="36" s="1"/>
  <c r="M525" i="36" s="1"/>
  <c r="N521" i="36" s="1"/>
  <c r="I775" i="36"/>
  <c r="K775" i="36" s="1"/>
  <c r="L775" i="36" s="1"/>
  <c r="M775" i="36" s="1"/>
  <c r="N770" i="36" s="1"/>
  <c r="I786" i="36"/>
  <c r="K786" i="36" s="1"/>
  <c r="L786" i="36" s="1"/>
  <c r="M786" i="36" s="1"/>
  <c r="N781" i="36" s="1"/>
  <c r="I797" i="36"/>
  <c r="K797" i="36" s="1"/>
  <c r="L797" i="36" s="1"/>
  <c r="M797" i="36" s="1"/>
  <c r="N792" i="36" s="1"/>
  <c r="K763" i="36"/>
  <c r="L763" i="36" s="1"/>
  <c r="M763" i="36" s="1"/>
  <c r="N758" i="36" s="1"/>
  <c r="I552" i="36"/>
  <c r="K552" i="36" s="1"/>
  <c r="L552" i="36" s="1"/>
  <c r="M552" i="36" s="1"/>
  <c r="N548" i="36" s="1"/>
  <c r="I543" i="36"/>
  <c r="K543" i="36" s="1"/>
  <c r="L543" i="36" s="1"/>
  <c r="M543" i="36" s="1"/>
  <c r="N539" i="36" s="1"/>
  <c r="I534" i="36"/>
  <c r="K534" i="36" s="1"/>
  <c r="L534" i="36" s="1"/>
  <c r="M534" i="36" s="1"/>
  <c r="N530" i="36" s="1"/>
  <c r="K524" i="36"/>
  <c r="L524" i="36" s="1"/>
  <c r="M524" i="36" s="1"/>
  <c r="N520" i="36" s="1"/>
  <c r="I607" i="36"/>
  <c r="K607" i="36" s="1"/>
  <c r="L607" i="36" s="1"/>
  <c r="M607" i="36" s="1"/>
  <c r="N602" i="36" s="1"/>
  <c r="I635" i="36"/>
  <c r="K635" i="36" s="1"/>
  <c r="L635" i="36" s="1"/>
  <c r="M635" i="36" s="1"/>
  <c r="N635" i="36" s="1"/>
  <c r="I618" i="36"/>
  <c r="K618" i="36" s="1"/>
  <c r="L618" i="36" s="1"/>
  <c r="M618" i="36" s="1"/>
  <c r="N613" i="36" s="1"/>
  <c r="I629" i="36"/>
  <c r="K629" i="36" s="1"/>
  <c r="L629" i="36" s="1"/>
  <c r="M629" i="36" s="1"/>
  <c r="N624" i="36" s="1"/>
  <c r="K595" i="36"/>
  <c r="L595" i="36" s="1"/>
  <c r="M595" i="36" s="1"/>
  <c r="N590" i="36" s="1"/>
  <c r="I705" i="36"/>
  <c r="K705" i="36" s="1"/>
  <c r="L705" i="36" s="1"/>
  <c r="M705" i="36" s="1"/>
  <c r="N700" i="36" s="1"/>
  <c r="I694" i="36"/>
  <c r="K694" i="36" s="1"/>
  <c r="L694" i="36" s="1"/>
  <c r="M694" i="36" s="1"/>
  <c r="N689" i="36" s="1"/>
  <c r="I716" i="36"/>
  <c r="K716" i="36" s="1"/>
  <c r="K682" i="36"/>
  <c r="L682" i="36" s="1"/>
  <c r="M682" i="36" s="1"/>
  <c r="N677" i="36" s="1"/>
  <c r="I638" i="36"/>
  <c r="K638" i="36" s="1"/>
  <c r="L638" i="36" s="1"/>
  <c r="M638" i="36" s="1"/>
  <c r="N638" i="36" s="1"/>
  <c r="I632" i="36"/>
  <c r="K632" i="36" s="1"/>
  <c r="L632" i="36" s="1"/>
  <c r="M632" i="36" s="1"/>
  <c r="N627" i="36" s="1"/>
  <c r="I610" i="36"/>
  <c r="K610" i="36" s="1"/>
  <c r="L610" i="36" s="1"/>
  <c r="M610" i="36" s="1"/>
  <c r="N605" i="36" s="1"/>
  <c r="I621" i="36"/>
  <c r="K621" i="36" s="1"/>
  <c r="L621" i="36" s="1"/>
  <c r="M621" i="36" s="1"/>
  <c r="N616" i="36" s="1"/>
  <c r="K598" i="36"/>
  <c r="L598" i="36" s="1"/>
  <c r="M598" i="36" s="1"/>
  <c r="N593" i="36" s="1"/>
  <c r="I926" i="36"/>
  <c r="K926" i="36" s="1"/>
  <c r="L926" i="36" s="1"/>
  <c r="M926" i="36" s="1"/>
  <c r="N922" i="36" s="1"/>
  <c r="I944" i="36"/>
  <c r="K944" i="36" s="1"/>
  <c r="L944" i="36" s="1"/>
  <c r="M944" i="36" s="1"/>
  <c r="N940" i="36" s="1"/>
  <c r="I935" i="36"/>
  <c r="K935" i="36" s="1"/>
  <c r="L935" i="36" s="1"/>
  <c r="M935" i="36" s="1"/>
  <c r="N931" i="36" s="1"/>
  <c r="K915" i="36"/>
  <c r="L915" i="36" s="1"/>
  <c r="M915" i="36" s="1"/>
  <c r="N911" i="36" s="1"/>
  <c r="I855" i="36"/>
  <c r="K855" i="36" s="1"/>
  <c r="L855" i="36" s="1"/>
  <c r="M855" i="36" s="1"/>
  <c r="N851" i="36" s="1"/>
  <c r="I873" i="36"/>
  <c r="K873" i="36" s="1"/>
  <c r="L873" i="36" s="1"/>
  <c r="M873" i="36" s="1"/>
  <c r="N869" i="36" s="1"/>
  <c r="I864" i="36"/>
  <c r="K864" i="36" s="1"/>
  <c r="L864" i="36" s="1"/>
  <c r="M864" i="36" s="1"/>
  <c r="N860" i="36" s="1"/>
  <c r="K845" i="36"/>
  <c r="L845" i="36" s="1"/>
  <c r="M845" i="36" s="1"/>
  <c r="N841" i="36" s="1"/>
  <c r="I863" i="36"/>
  <c r="K863" i="36" s="1"/>
  <c r="L863" i="36" s="1"/>
  <c r="M863" i="36" s="1"/>
  <c r="N859" i="36" s="1"/>
  <c r="I872" i="36"/>
  <c r="K872" i="36" s="1"/>
  <c r="L872" i="36" s="1"/>
  <c r="M872" i="36" s="1"/>
  <c r="N868" i="36" s="1"/>
  <c r="I854" i="36"/>
  <c r="K854" i="36" s="1"/>
  <c r="L854" i="36" s="1"/>
  <c r="M854" i="36" s="1"/>
  <c r="N850" i="36" s="1"/>
  <c r="K844" i="36"/>
  <c r="L844" i="36" s="1"/>
  <c r="M844" i="36" s="1"/>
  <c r="N840" i="36" s="1"/>
  <c r="I856" i="36"/>
  <c r="K856" i="36" s="1"/>
  <c r="L856" i="36" s="1"/>
  <c r="M856" i="36" s="1"/>
  <c r="N852" i="36" s="1"/>
  <c r="I874" i="36"/>
  <c r="K874" i="36" s="1"/>
  <c r="L874" i="36" s="1"/>
  <c r="M874" i="36" s="1"/>
  <c r="N870" i="36" s="1"/>
  <c r="I865" i="36"/>
  <c r="K865" i="36" s="1"/>
  <c r="L865" i="36" s="1"/>
  <c r="M865" i="36" s="1"/>
  <c r="N861" i="36" s="1"/>
  <c r="K846" i="36"/>
  <c r="L846" i="36" s="1"/>
  <c r="M846" i="36" s="1"/>
  <c r="N842" i="36" s="1"/>
  <c r="I622" i="36"/>
  <c r="K622" i="36" s="1"/>
  <c r="L622" i="36" s="1"/>
  <c r="M622" i="36" s="1"/>
  <c r="N617" i="36" s="1"/>
  <c r="I611" i="36"/>
  <c r="K611" i="36" s="1"/>
  <c r="L611" i="36" s="1"/>
  <c r="M611" i="36" s="1"/>
  <c r="N606" i="36" s="1"/>
  <c r="I639" i="36"/>
  <c r="K639" i="36" s="1"/>
  <c r="L639" i="36" s="1"/>
  <c r="M639" i="36" s="1"/>
  <c r="N639" i="36" s="1"/>
  <c r="I633" i="36"/>
  <c r="K633" i="36" s="1"/>
  <c r="L633" i="36" s="1"/>
  <c r="M633" i="36" s="1"/>
  <c r="N628" i="36" s="1"/>
  <c r="K599" i="36"/>
  <c r="L599" i="36" s="1"/>
  <c r="M599" i="36" s="1"/>
  <c r="N594" i="36" s="1"/>
  <c r="I690" i="36"/>
  <c r="K690" i="36" s="1"/>
  <c r="L690" i="36" s="1"/>
  <c r="M690" i="36" s="1"/>
  <c r="N685" i="36" s="1"/>
  <c r="I701" i="36"/>
  <c r="K701" i="36" s="1"/>
  <c r="L701" i="36" s="1"/>
  <c r="M701" i="36" s="1"/>
  <c r="N696" i="36" s="1"/>
  <c r="I712" i="36"/>
  <c r="K712" i="36" s="1"/>
  <c r="L712" i="36" s="1"/>
  <c r="M712" i="36" s="1"/>
  <c r="N707" i="36" s="1"/>
  <c r="K678" i="36"/>
  <c r="L678" i="36" s="1"/>
  <c r="M678" i="36" s="1"/>
  <c r="N673" i="36" s="1"/>
  <c r="I925" i="36"/>
  <c r="K925" i="36" s="1"/>
  <c r="L925" i="36" s="1"/>
  <c r="M925" i="36" s="1"/>
  <c r="N921" i="36" s="1"/>
  <c r="I934" i="36"/>
  <c r="K934" i="36" s="1"/>
  <c r="L934" i="36" s="1"/>
  <c r="M934" i="36" s="1"/>
  <c r="N930" i="36" s="1"/>
  <c r="I943" i="36"/>
  <c r="K943" i="36" s="1"/>
  <c r="L943" i="36" s="1"/>
  <c r="M943" i="36" s="1"/>
  <c r="N939" i="36" s="1"/>
  <c r="K914" i="36"/>
  <c r="L914" i="36" s="1"/>
  <c r="M914" i="36" s="1"/>
  <c r="N910" i="36" s="1"/>
  <c r="I862" i="36"/>
  <c r="K862" i="36" s="1"/>
  <c r="L862" i="36" s="1"/>
  <c r="M862" i="36" s="1"/>
  <c r="N858" i="36" s="1"/>
  <c r="I853" i="36"/>
  <c r="K853" i="36" s="1"/>
  <c r="L853" i="36" s="1"/>
  <c r="M853" i="36" s="1"/>
  <c r="N849" i="36" s="1"/>
  <c r="I871" i="36"/>
  <c r="K871" i="36" s="1"/>
  <c r="L871" i="36" s="1"/>
  <c r="M871" i="36" s="1"/>
  <c r="N867" i="36" s="1"/>
  <c r="K843" i="36"/>
  <c r="L843" i="36" s="1"/>
  <c r="M843" i="36" s="1"/>
  <c r="N839" i="36" s="1"/>
  <c r="I546" i="36"/>
  <c r="K546" i="36" s="1"/>
  <c r="L546" i="36" s="1"/>
  <c r="M546" i="36" s="1"/>
  <c r="N542" i="36" s="1"/>
  <c r="I537" i="36"/>
  <c r="K537" i="36" s="1"/>
  <c r="L537" i="36" s="1"/>
  <c r="M537" i="36" s="1"/>
  <c r="N533" i="36" s="1"/>
  <c r="I555" i="36"/>
  <c r="K555" i="36" s="1"/>
  <c r="L555" i="36" s="1"/>
  <c r="M555" i="36" s="1"/>
  <c r="N551" i="36" s="1"/>
  <c r="K527" i="36"/>
  <c r="L527" i="36" s="1"/>
  <c r="M527" i="36" s="1"/>
  <c r="N523" i="36" s="1"/>
  <c r="I536" i="36"/>
  <c r="K536" i="36" s="1"/>
  <c r="L536" i="36" s="1"/>
  <c r="M536" i="36" s="1"/>
  <c r="N532" i="36" s="1"/>
  <c r="I545" i="36"/>
  <c r="K545" i="36" s="1"/>
  <c r="L545" i="36" s="1"/>
  <c r="M545" i="36" s="1"/>
  <c r="N541" i="36" s="1"/>
  <c r="I554" i="36"/>
  <c r="K554" i="36" s="1"/>
  <c r="L554" i="36" s="1"/>
  <c r="M554" i="36" s="1"/>
  <c r="N550" i="36" s="1"/>
  <c r="K526" i="36"/>
  <c r="L526" i="36" s="1"/>
  <c r="M526" i="36" s="1"/>
  <c r="N522" i="36" s="1"/>
  <c r="I798" i="36"/>
  <c r="K798" i="36" s="1"/>
  <c r="L798" i="36" s="1"/>
  <c r="M798" i="36" s="1"/>
  <c r="N793" i="36" s="1"/>
  <c r="I787" i="36"/>
  <c r="K787" i="36" s="1"/>
  <c r="L787" i="36" s="1"/>
  <c r="M787" i="36" s="1"/>
  <c r="N782" i="36" s="1"/>
  <c r="I776" i="36"/>
  <c r="K776" i="36" s="1"/>
  <c r="L776" i="36" s="1"/>
  <c r="M776" i="36" s="1"/>
  <c r="N771" i="36" s="1"/>
  <c r="K764" i="36"/>
  <c r="L764" i="36" s="1"/>
  <c r="M764" i="36" s="1"/>
  <c r="N759" i="36" s="1"/>
  <c r="K657" i="11"/>
  <c r="I595" i="11"/>
  <c r="L472" i="11"/>
  <c r="K968" i="11"/>
  <c r="I916" i="11"/>
  <c r="I525" i="11"/>
  <c r="K576" i="11"/>
  <c r="L487" i="11"/>
  <c r="L486" i="11"/>
  <c r="K967" i="11"/>
  <c r="I915" i="11"/>
  <c r="K741" i="11"/>
  <c r="I679" i="11"/>
  <c r="K895" i="11"/>
  <c r="I843" i="11"/>
  <c r="I681" i="11"/>
  <c r="K743" i="11"/>
  <c r="K897" i="11"/>
  <c r="I845" i="11"/>
  <c r="L488" i="11"/>
  <c r="K965" i="11"/>
  <c r="I913" i="11"/>
  <c r="I846" i="11"/>
  <c r="K898" i="11"/>
  <c r="L481" i="11"/>
  <c r="K825" i="11"/>
  <c r="I763" i="11"/>
  <c r="K578" i="11"/>
  <c r="I527" i="11"/>
  <c r="L492" i="11"/>
  <c r="L493" i="11"/>
  <c r="L478" i="11"/>
  <c r="K966" i="11"/>
  <c r="I914" i="11"/>
  <c r="K744" i="11"/>
  <c r="I682" i="11"/>
  <c r="K660" i="11"/>
  <c r="I598" i="11"/>
  <c r="K742" i="11"/>
  <c r="I680" i="11"/>
  <c r="L490" i="11"/>
  <c r="K659" i="11"/>
  <c r="I597" i="11"/>
  <c r="L475" i="11"/>
  <c r="L480" i="11"/>
  <c r="K824" i="11"/>
  <c r="I762" i="11"/>
  <c r="L479" i="11"/>
  <c r="K740" i="11"/>
  <c r="I678" i="11"/>
  <c r="K823" i="11"/>
  <c r="I761" i="11"/>
  <c r="L484" i="11"/>
  <c r="K577" i="11"/>
  <c r="I526" i="11"/>
  <c r="K896" i="11"/>
  <c r="I844" i="11"/>
  <c r="L482" i="11"/>
  <c r="K826" i="11"/>
  <c r="I764" i="11"/>
  <c r="L485" i="11"/>
  <c r="K658" i="11"/>
  <c r="I596" i="11"/>
  <c r="L491" i="11"/>
  <c r="L473" i="11"/>
  <c r="K661" i="11"/>
  <c r="I599" i="11"/>
  <c r="L476" i="11"/>
  <c r="L579" i="11"/>
  <c r="M579" i="11" s="1"/>
  <c r="K827" i="11"/>
  <c r="I765" i="11"/>
  <c r="L474" i="11"/>
  <c r="K575" i="11"/>
  <c r="I524" i="11"/>
  <c r="L942" i="36" l="1"/>
  <c r="M942" i="36" s="1"/>
  <c r="N938" i="36" s="1"/>
  <c r="L716" i="36"/>
  <c r="M716" i="36" s="1"/>
  <c r="N711" i="36" s="1"/>
  <c r="M485" i="11"/>
  <c r="M486" i="11"/>
  <c r="M475" i="11"/>
  <c r="M481" i="11"/>
  <c r="M474" i="11"/>
  <c r="M491" i="11"/>
  <c r="M479" i="11"/>
  <c r="M492" i="11"/>
  <c r="M480" i="11"/>
  <c r="M484" i="11"/>
  <c r="M493" i="11"/>
  <c r="L658" i="11"/>
  <c r="M658" i="11" s="1"/>
  <c r="I703" i="11"/>
  <c r="I692" i="11"/>
  <c r="I714" i="11"/>
  <c r="I943" i="11"/>
  <c r="I925" i="11"/>
  <c r="I934" i="11"/>
  <c r="L895" i="11"/>
  <c r="M895" i="11" s="1"/>
  <c r="L742" i="11"/>
  <c r="M742" i="11" s="1"/>
  <c r="L966" i="11"/>
  <c r="M966" i="11" s="1"/>
  <c r="I702" i="11"/>
  <c r="I691" i="11"/>
  <c r="I713" i="11"/>
  <c r="L661" i="11"/>
  <c r="M661" i="11" s="1"/>
  <c r="I534" i="11"/>
  <c r="I552" i="11"/>
  <c r="I543" i="11"/>
  <c r="L741" i="11"/>
  <c r="M741" i="11" s="1"/>
  <c r="M487" i="11"/>
  <c r="L575" i="11"/>
  <c r="M575" i="11" s="1"/>
  <c r="I796" i="11"/>
  <c r="I774" i="11"/>
  <c r="I785" i="11"/>
  <c r="L743" i="11"/>
  <c r="M743" i="11" s="1"/>
  <c r="L824" i="11"/>
  <c r="M824" i="11" s="1"/>
  <c r="I610" i="11"/>
  <c r="I638" i="11"/>
  <c r="I632" i="11"/>
  <c r="I621" i="11"/>
  <c r="I693" i="11"/>
  <c r="I715" i="11"/>
  <c r="I704" i="11"/>
  <c r="M490" i="11"/>
  <c r="L660" i="11"/>
  <c r="M660" i="11" s="1"/>
  <c r="I555" i="11"/>
  <c r="I537" i="11"/>
  <c r="I546" i="11"/>
  <c r="I797" i="11"/>
  <c r="I775" i="11"/>
  <c r="I786" i="11"/>
  <c r="M488" i="11"/>
  <c r="I944" i="11"/>
  <c r="I926" i="11"/>
  <c r="I935" i="11"/>
  <c r="L576" i="11"/>
  <c r="M576" i="11" s="1"/>
  <c r="M472" i="11"/>
  <c r="I784" i="11"/>
  <c r="I795" i="11"/>
  <c r="I773" i="11"/>
  <c r="L578" i="11"/>
  <c r="M578" i="11" s="1"/>
  <c r="L825" i="11"/>
  <c r="M825" i="11" s="1"/>
  <c r="L967" i="11"/>
  <c r="M967" i="11" s="1"/>
  <c r="I535" i="11"/>
  <c r="I544" i="11"/>
  <c r="I553" i="11"/>
  <c r="I629" i="11"/>
  <c r="I607" i="11"/>
  <c r="I635" i="11"/>
  <c r="I618" i="11"/>
  <c r="I799" i="11"/>
  <c r="I777" i="11"/>
  <c r="I788" i="11"/>
  <c r="L823" i="11"/>
  <c r="M823" i="11" s="1"/>
  <c r="I855" i="11"/>
  <c r="I873" i="11"/>
  <c r="I864" i="11"/>
  <c r="L657" i="11"/>
  <c r="M657" i="11" s="1"/>
  <c r="M482" i="11"/>
  <c r="I712" i="11"/>
  <c r="I690" i="11"/>
  <c r="I701" i="11"/>
  <c r="L898" i="11"/>
  <c r="M898" i="11" s="1"/>
  <c r="L897" i="11"/>
  <c r="M897" i="11" s="1"/>
  <c r="L577" i="11"/>
  <c r="M577" i="11" s="1"/>
  <c r="I863" i="11"/>
  <c r="I854" i="11"/>
  <c r="I872" i="11"/>
  <c r="L740" i="11"/>
  <c r="M740" i="11" s="1"/>
  <c r="I637" i="11"/>
  <c r="I631" i="11"/>
  <c r="I609" i="11"/>
  <c r="I620" i="11"/>
  <c r="I856" i="11"/>
  <c r="I874" i="11"/>
  <c r="I865" i="11"/>
  <c r="I936" i="11"/>
  <c r="I945" i="11"/>
  <c r="I927" i="11"/>
  <c r="L827" i="11"/>
  <c r="M827" i="11" s="1"/>
  <c r="M473" i="11"/>
  <c r="M476" i="11"/>
  <c r="I798" i="11"/>
  <c r="I776" i="11"/>
  <c r="I787" i="11"/>
  <c r="L896" i="11"/>
  <c r="M896" i="11" s="1"/>
  <c r="L659" i="11"/>
  <c r="M659" i="11" s="1"/>
  <c r="I716" i="11"/>
  <c r="I705" i="11"/>
  <c r="I694" i="11"/>
  <c r="M478" i="11"/>
  <c r="I942" i="11"/>
  <c r="I924" i="11"/>
  <c r="I933" i="11"/>
  <c r="L968" i="11"/>
  <c r="M968" i="11" s="1"/>
  <c r="I639" i="11"/>
  <c r="I622" i="11"/>
  <c r="I633" i="11"/>
  <c r="I611" i="11"/>
  <c r="I630" i="11"/>
  <c r="I636" i="11"/>
  <c r="I619" i="11"/>
  <c r="I608" i="11"/>
  <c r="L826" i="11"/>
  <c r="M826" i="11" s="1"/>
  <c r="I545" i="11"/>
  <c r="I536" i="11"/>
  <c r="I554" i="11"/>
  <c r="L744" i="11"/>
  <c r="M744" i="11" s="1"/>
  <c r="L965" i="11"/>
  <c r="M965" i="11" s="1"/>
  <c r="I853" i="11"/>
  <c r="I871" i="11"/>
  <c r="I862" i="11"/>
  <c r="D52" i="22"/>
  <c r="M52" i="22" s="1"/>
  <c r="K52" i="22" l="1"/>
  <c r="P52" i="22"/>
  <c r="O52" i="22"/>
  <c r="L52" i="22"/>
  <c r="N52" i="22"/>
  <c r="D56" i="22"/>
  <c r="O56" i="22" s="1"/>
  <c r="M56" i="22" l="1"/>
  <c r="K56" i="22"/>
  <c r="K65" i="22" s="1"/>
  <c r="P56" i="22"/>
  <c r="N56" i="22"/>
  <c r="L56" i="22"/>
  <c r="O102" i="22"/>
  <c r="O89" i="22"/>
  <c r="D6" i="22"/>
  <c r="K6" i="22" s="1"/>
  <c r="K28" i="22" s="1"/>
  <c r="H47" i="36" l="1"/>
  <c r="K47" i="36" s="1"/>
  <c r="L47" i="36" s="1"/>
  <c r="M47" i="36" s="1"/>
  <c r="H44" i="36"/>
  <c r="K44" i="36" s="1"/>
  <c r="L44" i="36" s="1"/>
  <c r="M44" i="36" s="1"/>
  <c r="H42" i="36"/>
  <c r="K42" i="36" s="1"/>
  <c r="L42" i="36" s="1"/>
  <c r="M42" i="36" s="1"/>
  <c r="H46" i="36"/>
  <c r="K46" i="36" s="1"/>
  <c r="L46" i="36" s="1"/>
  <c r="M46" i="36" s="1"/>
  <c r="H41" i="36"/>
  <c r="K41" i="36" s="1"/>
  <c r="L41" i="36" s="1"/>
  <c r="M41" i="36" s="1"/>
  <c r="H50" i="36"/>
  <c r="K50" i="36" s="1"/>
  <c r="L50" i="36" s="1"/>
  <c r="M50" i="36" s="1"/>
  <c r="H49" i="36"/>
  <c r="K49" i="36" s="1"/>
  <c r="L49" i="36" s="1"/>
  <c r="M49" i="36" s="1"/>
  <c r="H43" i="36"/>
  <c r="K43" i="36" s="1"/>
  <c r="L43" i="36" s="1"/>
  <c r="M43" i="36" s="1"/>
  <c r="H48" i="36"/>
  <c r="K48" i="36" s="1"/>
  <c r="L48" i="36" s="1"/>
  <c r="M48" i="36" s="1"/>
  <c r="H45" i="36"/>
  <c r="K45" i="36" s="1"/>
  <c r="L45" i="36" s="1"/>
  <c r="M45" i="36" s="1"/>
  <c r="H47" i="35"/>
  <c r="K47" i="35" s="1"/>
  <c r="H44" i="35"/>
  <c r="K44" i="35" s="1"/>
  <c r="H41" i="35"/>
  <c r="K41" i="35" s="1"/>
  <c r="H46" i="35"/>
  <c r="K46" i="35" s="1"/>
  <c r="H50" i="35"/>
  <c r="K50" i="35" s="1"/>
  <c r="H43" i="35"/>
  <c r="K43" i="35" s="1"/>
  <c r="H45" i="35"/>
  <c r="K45" i="35" s="1"/>
  <c r="H49" i="35"/>
  <c r="K49" i="35" s="1"/>
  <c r="H48" i="35"/>
  <c r="K48" i="35" s="1"/>
  <c r="H42" i="35"/>
  <c r="K42" i="35" s="1"/>
  <c r="H405" i="36"/>
  <c r="K405" i="36" s="1"/>
  <c r="L405" i="36" s="1"/>
  <c r="M405" i="36" s="1"/>
  <c r="H405" i="35"/>
  <c r="K405" i="35" s="1"/>
  <c r="H750" i="11"/>
  <c r="K750" i="11" s="1"/>
  <c r="H747" i="11"/>
  <c r="H745" i="11"/>
  <c r="H749" i="11"/>
  <c r="H748" i="11"/>
  <c r="H746" i="11"/>
  <c r="O91" i="22"/>
  <c r="O90" i="22"/>
  <c r="O94" i="22"/>
  <c r="H45" i="11"/>
  <c r="K45" i="11" s="1"/>
  <c r="H41" i="11"/>
  <c r="K41" i="11" s="1"/>
  <c r="H42" i="11"/>
  <c r="K42" i="11" s="1"/>
  <c r="H46" i="11"/>
  <c r="K46" i="11" s="1"/>
  <c r="H47" i="11"/>
  <c r="K47" i="11" s="1"/>
  <c r="H44" i="11"/>
  <c r="K44" i="11" s="1"/>
  <c r="H48" i="11"/>
  <c r="K48" i="11" s="1"/>
  <c r="H50" i="11"/>
  <c r="K50" i="11" s="1"/>
  <c r="H43" i="11"/>
  <c r="K43" i="11" s="1"/>
  <c r="H49" i="11"/>
  <c r="K49" i="11" s="1"/>
  <c r="H405" i="11"/>
  <c r="K405" i="11" s="1"/>
  <c r="P65" i="22"/>
  <c r="L65" i="22"/>
  <c r="M102" i="22"/>
  <c r="L102" i="22"/>
  <c r="N102" i="22"/>
  <c r="P102" i="22"/>
  <c r="N89" i="22"/>
  <c r="N65" i="22"/>
  <c r="O65" i="22"/>
  <c r="J6" i="22"/>
  <c r="J28" i="22" s="1"/>
  <c r="L6" i="22"/>
  <c r="L28" i="22" s="1"/>
  <c r="I6" i="22"/>
  <c r="I28" i="22" s="1"/>
  <c r="P89" i="22"/>
  <c r="M89" i="22"/>
  <c r="M65" i="22"/>
  <c r="L89" i="22"/>
  <c r="O47" i="36" l="1"/>
  <c r="L47" i="35"/>
  <c r="P47" i="36" s="1"/>
  <c r="O48" i="36"/>
  <c r="L48" i="35"/>
  <c r="P48" i="36" s="1"/>
  <c r="O44" i="36"/>
  <c r="L44" i="35"/>
  <c r="P44" i="36" s="1"/>
  <c r="H343" i="36"/>
  <c r="K343" i="36" s="1"/>
  <c r="H343" i="35"/>
  <c r="K343" i="35" s="1"/>
  <c r="O45" i="36"/>
  <c r="L45" i="35"/>
  <c r="P45" i="36" s="1"/>
  <c r="H402" i="36"/>
  <c r="K402" i="36" s="1"/>
  <c r="L402" i="36" s="1"/>
  <c r="M402" i="36" s="1"/>
  <c r="H402" i="35"/>
  <c r="K402" i="35" s="1"/>
  <c r="O405" i="36"/>
  <c r="L405" i="35"/>
  <c r="P405" i="36" s="1"/>
  <c r="H466" i="36"/>
  <c r="K466" i="36" s="1"/>
  <c r="L466" i="36" s="1"/>
  <c r="M466" i="36" s="1"/>
  <c r="H466" i="35"/>
  <c r="K466" i="35" s="1"/>
  <c r="O43" i="36"/>
  <c r="L43" i="35"/>
  <c r="P43" i="36" s="1"/>
  <c r="H56" i="36"/>
  <c r="K56" i="36" s="1"/>
  <c r="L56" i="36" s="1"/>
  <c r="M56" i="36" s="1"/>
  <c r="H60" i="36"/>
  <c r="K60" i="36" s="1"/>
  <c r="L60" i="36" s="1"/>
  <c r="M60" i="36" s="1"/>
  <c r="H55" i="36"/>
  <c r="K55" i="36" s="1"/>
  <c r="L55" i="36" s="1"/>
  <c r="M55" i="36" s="1"/>
  <c r="H53" i="36"/>
  <c r="K53" i="36" s="1"/>
  <c r="L53" i="36" s="1"/>
  <c r="M53" i="36" s="1"/>
  <c r="H51" i="36"/>
  <c r="K51" i="36" s="1"/>
  <c r="L51" i="36" s="1"/>
  <c r="M51" i="36" s="1"/>
  <c r="H59" i="36"/>
  <c r="K59" i="36" s="1"/>
  <c r="L59" i="36" s="1"/>
  <c r="M59" i="36" s="1"/>
  <c r="H58" i="36"/>
  <c r="K58" i="36" s="1"/>
  <c r="L58" i="36" s="1"/>
  <c r="M58" i="36" s="1"/>
  <c r="H52" i="36"/>
  <c r="K52" i="36" s="1"/>
  <c r="L52" i="36" s="1"/>
  <c r="M52" i="36" s="1"/>
  <c r="H54" i="36"/>
  <c r="K54" i="36" s="1"/>
  <c r="L54" i="36" s="1"/>
  <c r="M54" i="36" s="1"/>
  <c r="H57" i="36"/>
  <c r="K57" i="36" s="1"/>
  <c r="L57" i="36" s="1"/>
  <c r="M57" i="36" s="1"/>
  <c r="H53" i="35"/>
  <c r="K53" i="35" s="1"/>
  <c r="H60" i="35"/>
  <c r="K60" i="35" s="1"/>
  <c r="H55" i="35"/>
  <c r="K55" i="35" s="1"/>
  <c r="H59" i="35"/>
  <c r="K59" i="35" s="1"/>
  <c r="H52" i="35"/>
  <c r="K52" i="35" s="1"/>
  <c r="H58" i="35"/>
  <c r="K58" i="35" s="1"/>
  <c r="H54" i="35"/>
  <c r="K54" i="35" s="1"/>
  <c r="H57" i="35"/>
  <c r="K57" i="35" s="1"/>
  <c r="H51" i="35"/>
  <c r="K51" i="35" s="1"/>
  <c r="H56" i="35"/>
  <c r="K56" i="35" s="1"/>
  <c r="O49" i="36"/>
  <c r="L49" i="35"/>
  <c r="P49" i="36" s="1"/>
  <c r="H196" i="36"/>
  <c r="K196" i="36" s="1"/>
  <c r="H196" i="35"/>
  <c r="K196" i="35" s="1"/>
  <c r="O50" i="36"/>
  <c r="L50" i="35"/>
  <c r="P50" i="36" s="1"/>
  <c r="H39" i="36"/>
  <c r="K39" i="36" s="1"/>
  <c r="H37" i="36"/>
  <c r="K37" i="36" s="1"/>
  <c r="L37" i="36" s="1"/>
  <c r="M37" i="36" s="1"/>
  <c r="H40" i="36"/>
  <c r="K40" i="36" s="1"/>
  <c r="L40" i="36" s="1"/>
  <c r="M40" i="36" s="1"/>
  <c r="H38" i="36"/>
  <c r="K38" i="36" s="1"/>
  <c r="L38" i="36" s="1"/>
  <c r="M38" i="36" s="1"/>
  <c r="H36" i="36"/>
  <c r="K36" i="36" s="1"/>
  <c r="L36" i="36" s="1"/>
  <c r="M36" i="36" s="1"/>
  <c r="H40" i="35"/>
  <c r="K40" i="35" s="1"/>
  <c r="H37" i="35"/>
  <c r="K37" i="35" s="1"/>
  <c r="H39" i="35"/>
  <c r="K39" i="35" s="1"/>
  <c r="H36" i="35"/>
  <c r="K36" i="35" s="1"/>
  <c r="H38" i="35"/>
  <c r="K38" i="35" s="1"/>
  <c r="O42" i="36"/>
  <c r="L42" i="35"/>
  <c r="P42" i="36" s="1"/>
  <c r="H406" i="36"/>
  <c r="K406" i="36" s="1"/>
  <c r="L406" i="36" s="1"/>
  <c r="M406" i="36" s="1"/>
  <c r="H404" i="36"/>
  <c r="K404" i="36" s="1"/>
  <c r="L404" i="36" s="1"/>
  <c r="M404" i="36" s="1"/>
  <c r="H407" i="36"/>
  <c r="K407" i="36" s="1"/>
  <c r="L407" i="36" s="1"/>
  <c r="M407" i="36" s="1"/>
  <c r="H403" i="36"/>
  <c r="K403" i="36" s="1"/>
  <c r="L403" i="36" s="1"/>
  <c r="M403" i="36" s="1"/>
  <c r="H406" i="35"/>
  <c r="K406" i="35" s="1"/>
  <c r="H407" i="35"/>
  <c r="K407" i="35" s="1"/>
  <c r="H403" i="35"/>
  <c r="K403" i="35" s="1"/>
  <c r="H404" i="35"/>
  <c r="K404" i="35" s="1"/>
  <c r="O46" i="36"/>
  <c r="L46" i="35"/>
  <c r="P46" i="36" s="1"/>
  <c r="H270" i="36"/>
  <c r="K270" i="36" s="1"/>
  <c r="L270" i="36" s="1"/>
  <c r="M270" i="36" s="1"/>
  <c r="H270" i="35"/>
  <c r="K270" i="35" s="1"/>
  <c r="H122" i="36"/>
  <c r="K122" i="36" s="1"/>
  <c r="L122" i="36" s="1"/>
  <c r="M122" i="36" s="1"/>
  <c r="H122" i="35"/>
  <c r="K122" i="35" s="1"/>
  <c r="H29" i="36"/>
  <c r="H27" i="36"/>
  <c r="H30" i="36"/>
  <c r="H28" i="36"/>
  <c r="H26" i="36"/>
  <c r="H27" i="35"/>
  <c r="H29" i="35"/>
  <c r="H26" i="35"/>
  <c r="H28" i="35"/>
  <c r="H30" i="35"/>
  <c r="H400" i="36"/>
  <c r="H398" i="36"/>
  <c r="H401" i="36"/>
  <c r="H399" i="36"/>
  <c r="H400" i="35"/>
  <c r="H399" i="35"/>
  <c r="H398" i="35"/>
  <c r="H401" i="35"/>
  <c r="O41" i="36"/>
  <c r="L41" i="35"/>
  <c r="P41" i="36" s="1"/>
  <c r="K71" i="22"/>
  <c r="K66" i="22"/>
  <c r="K68" i="22"/>
  <c r="K69" i="22"/>
  <c r="K70" i="22"/>
  <c r="K67" i="22"/>
  <c r="L44" i="11"/>
  <c r="M91" i="22"/>
  <c r="M90" i="22"/>
  <c r="M94" i="22"/>
  <c r="H972" i="11"/>
  <c r="H973" i="11"/>
  <c r="K973" i="11" s="1"/>
  <c r="H971" i="11"/>
  <c r="H969" i="11"/>
  <c r="H970" i="11"/>
  <c r="L41" i="11"/>
  <c r="M41" i="11" s="1"/>
  <c r="H678" i="11"/>
  <c r="K745" i="11"/>
  <c r="H343" i="11"/>
  <c r="K343" i="11" s="1"/>
  <c r="H196" i="11"/>
  <c r="K196" i="11" s="1"/>
  <c r="P69" i="22"/>
  <c r="P66" i="22"/>
  <c r="P70" i="22"/>
  <c r="P67" i="22"/>
  <c r="P71" i="22"/>
  <c r="P68" i="22"/>
  <c r="L45" i="11"/>
  <c r="M45" i="11" s="1"/>
  <c r="L50" i="11"/>
  <c r="M50" i="11" s="1"/>
  <c r="L42" i="11"/>
  <c r="M42" i="11" s="1"/>
  <c r="L47" i="11"/>
  <c r="M47" i="11" s="1"/>
  <c r="K91" i="22"/>
  <c r="K94" i="22"/>
  <c r="K90" i="22"/>
  <c r="L405" i="11"/>
  <c r="M405" i="11" s="1"/>
  <c r="L49" i="11"/>
  <c r="M49" i="11" s="1"/>
  <c r="H680" i="11"/>
  <c r="K747" i="11"/>
  <c r="H582" i="11"/>
  <c r="H583" i="11"/>
  <c r="H580" i="11"/>
  <c r="H584" i="11"/>
  <c r="K584" i="11" s="1"/>
  <c r="H581" i="11"/>
  <c r="H663" i="11"/>
  <c r="H664" i="11"/>
  <c r="H662" i="11"/>
  <c r="H667" i="11"/>
  <c r="K667" i="11" s="1"/>
  <c r="H666" i="11"/>
  <c r="H665" i="11"/>
  <c r="H270" i="11"/>
  <c r="K270" i="11" s="1"/>
  <c r="H122" i="11"/>
  <c r="K122" i="11" s="1"/>
  <c r="I31" i="22"/>
  <c r="I29" i="22"/>
  <c r="H29" i="11"/>
  <c r="H28" i="11"/>
  <c r="H30" i="11"/>
  <c r="H27" i="11"/>
  <c r="H26" i="11"/>
  <c r="H55" i="11"/>
  <c r="K55" i="11" s="1"/>
  <c r="H59" i="11"/>
  <c r="K59" i="11" s="1"/>
  <c r="H53" i="11"/>
  <c r="K53" i="11" s="1"/>
  <c r="H60" i="11"/>
  <c r="K60" i="11" s="1"/>
  <c r="H58" i="11"/>
  <c r="K58" i="11" s="1"/>
  <c r="H52" i="11"/>
  <c r="K52" i="11" s="1"/>
  <c r="H54" i="11"/>
  <c r="K54" i="11" s="1"/>
  <c r="H51" i="11"/>
  <c r="K51" i="11" s="1"/>
  <c r="H56" i="11"/>
  <c r="K56" i="11" s="1"/>
  <c r="H57" i="11"/>
  <c r="K57" i="11" s="1"/>
  <c r="H37" i="11"/>
  <c r="K37" i="11" s="1"/>
  <c r="H36" i="11"/>
  <c r="K36" i="11" s="1"/>
  <c r="H38" i="11"/>
  <c r="K38" i="11" s="1"/>
  <c r="H39" i="11"/>
  <c r="K39" i="11" s="1"/>
  <c r="H40" i="11"/>
  <c r="K40" i="11" s="1"/>
  <c r="N67" i="22"/>
  <c r="N69" i="22"/>
  <c r="N68" i="22"/>
  <c r="N70" i="22"/>
  <c r="N71" i="22"/>
  <c r="N66" i="22"/>
  <c r="H403" i="11"/>
  <c r="K403" i="11" s="1"/>
  <c r="H404" i="11"/>
  <c r="K404" i="11" s="1"/>
  <c r="H406" i="11"/>
  <c r="K406" i="11" s="1"/>
  <c r="H407" i="11"/>
  <c r="K407" i="11" s="1"/>
  <c r="H679" i="11"/>
  <c r="K746" i="11"/>
  <c r="L46" i="11"/>
  <c r="M46" i="11" s="1"/>
  <c r="H682" i="11"/>
  <c r="K749" i="11"/>
  <c r="L48" i="11"/>
  <c r="M48" i="11" s="1"/>
  <c r="P91" i="22"/>
  <c r="P94" i="22"/>
  <c r="P90" i="22"/>
  <c r="L71" i="22"/>
  <c r="L69" i="22"/>
  <c r="L66" i="22"/>
  <c r="L67" i="22"/>
  <c r="L68" i="22"/>
  <c r="L70" i="22"/>
  <c r="O68" i="22"/>
  <c r="O71" i="22"/>
  <c r="O66" i="22"/>
  <c r="O69" i="22"/>
  <c r="O67" i="22"/>
  <c r="O70" i="22"/>
  <c r="L94" i="22"/>
  <c r="L91" i="22"/>
  <c r="L90" i="22"/>
  <c r="N91" i="22"/>
  <c r="N90" i="22"/>
  <c r="N94" i="22"/>
  <c r="H401" i="11"/>
  <c r="H398" i="11"/>
  <c r="H399" i="11"/>
  <c r="H400" i="11"/>
  <c r="K748" i="11"/>
  <c r="H681" i="11"/>
  <c r="L750" i="11"/>
  <c r="M750" i="11" s="1"/>
  <c r="H466" i="11"/>
  <c r="K466" i="11" s="1"/>
  <c r="H902" i="11"/>
  <c r="H900" i="11"/>
  <c r="H899" i="11"/>
  <c r="H903" i="11"/>
  <c r="K903" i="11" s="1"/>
  <c r="H901" i="11"/>
  <c r="M66" i="22"/>
  <c r="M71" i="22"/>
  <c r="M67" i="22"/>
  <c r="M69" i="22"/>
  <c r="M68" i="22"/>
  <c r="M70" i="22"/>
  <c r="H830" i="11"/>
  <c r="H832" i="11"/>
  <c r="H831" i="11"/>
  <c r="H829" i="11"/>
  <c r="H828" i="11"/>
  <c r="H833" i="11"/>
  <c r="K833" i="11" s="1"/>
  <c r="L43" i="11"/>
  <c r="M43" i="11" s="1"/>
  <c r="H402" i="11"/>
  <c r="K402" i="11" s="1"/>
  <c r="M48" i="35" l="1"/>
  <c r="Q48" i="36" s="1"/>
  <c r="M47" i="35"/>
  <c r="Q47" i="36" s="1"/>
  <c r="M44" i="35"/>
  <c r="Q44" i="36" s="1"/>
  <c r="M46" i="35"/>
  <c r="Q46" i="36" s="1"/>
  <c r="M50" i="35"/>
  <c r="Q50" i="36" s="1"/>
  <c r="M41" i="35"/>
  <c r="Q41" i="36" s="1"/>
  <c r="M42" i="35"/>
  <c r="Q42" i="36" s="1"/>
  <c r="M45" i="35"/>
  <c r="Q45" i="36" s="1"/>
  <c r="M49" i="35"/>
  <c r="Q49" i="36" s="1"/>
  <c r="H463" i="36"/>
  <c r="K463" i="36" s="1"/>
  <c r="L463" i="36" s="1"/>
  <c r="M463" i="36" s="1"/>
  <c r="H463" i="35"/>
  <c r="K463" i="35" s="1"/>
  <c r="H117" i="36"/>
  <c r="H115" i="36"/>
  <c r="H118" i="36"/>
  <c r="H117" i="35"/>
  <c r="H116" i="35"/>
  <c r="H118" i="35"/>
  <c r="H115" i="35"/>
  <c r="H116" i="36"/>
  <c r="H444" i="36"/>
  <c r="K444" i="36" s="1"/>
  <c r="L444" i="36" s="1"/>
  <c r="M444" i="36" s="1"/>
  <c r="H443" i="36"/>
  <c r="K443" i="36" s="1"/>
  <c r="L443" i="36" s="1"/>
  <c r="M443" i="36" s="1"/>
  <c r="H445" i="36"/>
  <c r="K445" i="36" s="1"/>
  <c r="L445" i="36" s="1"/>
  <c r="M445" i="36" s="1"/>
  <c r="H442" i="36"/>
  <c r="K442" i="36" s="1"/>
  <c r="L442" i="36" s="1"/>
  <c r="M442" i="36" s="1"/>
  <c r="H443" i="35"/>
  <c r="K443" i="35" s="1"/>
  <c r="H445" i="35"/>
  <c r="K445" i="35" s="1"/>
  <c r="H442" i="35"/>
  <c r="K442" i="35" s="1"/>
  <c r="H444" i="35"/>
  <c r="K444" i="35" s="1"/>
  <c r="H353" i="35"/>
  <c r="H363" i="35"/>
  <c r="K363" i="35" s="1"/>
  <c r="K399" i="35"/>
  <c r="H33" i="36"/>
  <c r="H9" i="36"/>
  <c r="H15" i="36"/>
  <c r="K28" i="36"/>
  <c r="O403" i="36"/>
  <c r="L403" i="35"/>
  <c r="P403" i="36" s="1"/>
  <c r="O39" i="36"/>
  <c r="L39" i="35"/>
  <c r="P39" i="36" s="1"/>
  <c r="L196" i="36"/>
  <c r="M196" i="36" s="1"/>
  <c r="O60" i="36"/>
  <c r="L60" i="35"/>
  <c r="P60" i="36" s="1"/>
  <c r="M43" i="35"/>
  <c r="Q43" i="36" s="1"/>
  <c r="H124" i="36"/>
  <c r="K124" i="36" s="1"/>
  <c r="L124" i="36" s="1"/>
  <c r="M124" i="36" s="1"/>
  <c r="H120" i="36"/>
  <c r="K120" i="36" s="1"/>
  <c r="L120" i="36" s="1"/>
  <c r="M120" i="36" s="1"/>
  <c r="H121" i="36"/>
  <c r="K121" i="36" s="1"/>
  <c r="H123" i="36"/>
  <c r="K123" i="36" s="1"/>
  <c r="L123" i="36" s="1"/>
  <c r="M123" i="36" s="1"/>
  <c r="H121" i="35"/>
  <c r="K121" i="35" s="1"/>
  <c r="H123" i="35"/>
  <c r="K123" i="35" s="1"/>
  <c r="H120" i="35"/>
  <c r="K120" i="35" s="1"/>
  <c r="H124" i="35"/>
  <c r="K124" i="35" s="1"/>
  <c r="H457" i="36"/>
  <c r="K457" i="36" s="1"/>
  <c r="L457" i="36" s="1"/>
  <c r="M457" i="36" s="1"/>
  <c r="H454" i="36"/>
  <c r="K454" i="36" s="1"/>
  <c r="L454" i="36" s="1"/>
  <c r="M454" i="36" s="1"/>
  <c r="H456" i="36"/>
  <c r="K456" i="36" s="1"/>
  <c r="L456" i="36" s="1"/>
  <c r="M456" i="36" s="1"/>
  <c r="H455" i="36"/>
  <c r="K455" i="36" s="1"/>
  <c r="L455" i="36" s="1"/>
  <c r="M455" i="36" s="1"/>
  <c r="H457" i="35"/>
  <c r="K457" i="35" s="1"/>
  <c r="H454" i="35"/>
  <c r="K454" i="35" s="1"/>
  <c r="H456" i="35"/>
  <c r="K456" i="35" s="1"/>
  <c r="H455" i="35"/>
  <c r="K455" i="35" s="1"/>
  <c r="H97" i="36"/>
  <c r="K97" i="36" s="1"/>
  <c r="L97" i="36" s="1"/>
  <c r="M97" i="36" s="1"/>
  <c r="H95" i="36"/>
  <c r="K95" i="36" s="1"/>
  <c r="L95" i="36" s="1"/>
  <c r="M95" i="36" s="1"/>
  <c r="H94" i="36"/>
  <c r="K94" i="36" s="1"/>
  <c r="L94" i="36" s="1"/>
  <c r="M94" i="36" s="1"/>
  <c r="H96" i="36"/>
  <c r="K96" i="36" s="1"/>
  <c r="L96" i="36" s="1"/>
  <c r="M96" i="36" s="1"/>
  <c r="H95" i="35"/>
  <c r="K95" i="35" s="1"/>
  <c r="H97" i="35"/>
  <c r="K97" i="35" s="1"/>
  <c r="H94" i="35"/>
  <c r="K94" i="35" s="1"/>
  <c r="H96" i="35"/>
  <c r="K96" i="35" s="1"/>
  <c r="H354" i="35"/>
  <c r="H364" i="35"/>
  <c r="K364" i="35" s="1"/>
  <c r="K400" i="35"/>
  <c r="H35" i="36"/>
  <c r="H11" i="36"/>
  <c r="H17" i="36"/>
  <c r="K30" i="36"/>
  <c r="L407" i="35"/>
  <c r="P407" i="36" s="1"/>
  <c r="O407" i="36"/>
  <c r="O37" i="36"/>
  <c r="L37" i="35"/>
  <c r="P37" i="36" s="1"/>
  <c r="O53" i="36"/>
  <c r="L53" i="35"/>
  <c r="P53" i="36" s="1"/>
  <c r="O343" i="36"/>
  <c r="L343" i="35"/>
  <c r="P343" i="36" s="1"/>
  <c r="H387" i="36"/>
  <c r="K387" i="36" s="1"/>
  <c r="L387" i="36" s="1"/>
  <c r="M387" i="36" s="1"/>
  <c r="H385" i="36"/>
  <c r="K385" i="36" s="1"/>
  <c r="L385" i="36" s="1"/>
  <c r="M385" i="36" s="1"/>
  <c r="H388" i="36"/>
  <c r="K388" i="36" s="1"/>
  <c r="L388" i="36" s="1"/>
  <c r="M388" i="36" s="1"/>
  <c r="H386" i="36"/>
  <c r="K386" i="36" s="1"/>
  <c r="L386" i="36" s="1"/>
  <c r="M386" i="36" s="1"/>
  <c r="H387" i="35"/>
  <c r="K387" i="35" s="1"/>
  <c r="H386" i="35"/>
  <c r="K386" i="35" s="1"/>
  <c r="H388" i="35"/>
  <c r="K388" i="35" s="1"/>
  <c r="H385" i="35"/>
  <c r="K385" i="35" s="1"/>
  <c r="H119" i="36"/>
  <c r="K119" i="36" s="1"/>
  <c r="L119" i="36" s="1"/>
  <c r="M119" i="36" s="1"/>
  <c r="H119" i="35"/>
  <c r="K119" i="35" s="1"/>
  <c r="H440" i="36"/>
  <c r="K440" i="36" s="1"/>
  <c r="L440" i="36" s="1"/>
  <c r="M440" i="36" s="1"/>
  <c r="H438" i="36"/>
  <c r="K438" i="36" s="1"/>
  <c r="L438" i="36" s="1"/>
  <c r="M438" i="36" s="1"/>
  <c r="H441" i="36"/>
  <c r="K441" i="36" s="1"/>
  <c r="L441" i="36" s="1"/>
  <c r="M441" i="36" s="1"/>
  <c r="H439" i="36"/>
  <c r="K439" i="36" s="1"/>
  <c r="L439" i="36" s="1"/>
  <c r="M439" i="36" s="1"/>
  <c r="H439" i="35"/>
  <c r="K439" i="35" s="1"/>
  <c r="H441" i="35"/>
  <c r="K441" i="35" s="1"/>
  <c r="H440" i="35"/>
  <c r="K440" i="35" s="1"/>
  <c r="H438" i="35"/>
  <c r="K438" i="35" s="1"/>
  <c r="H108" i="36"/>
  <c r="K108" i="36" s="1"/>
  <c r="L108" i="36" s="1"/>
  <c r="M108" i="36" s="1"/>
  <c r="H107" i="36"/>
  <c r="K107" i="36" s="1"/>
  <c r="H109" i="36"/>
  <c r="K109" i="36" s="1"/>
  <c r="L109" i="36" s="1"/>
  <c r="M109" i="36" s="1"/>
  <c r="H106" i="36"/>
  <c r="K106" i="36" s="1"/>
  <c r="L106" i="36" s="1"/>
  <c r="M106" i="36" s="1"/>
  <c r="H109" i="35"/>
  <c r="K109" i="35" s="1"/>
  <c r="H106" i="35"/>
  <c r="K106" i="35" s="1"/>
  <c r="H108" i="35"/>
  <c r="K108" i="35" s="1"/>
  <c r="H107" i="35"/>
  <c r="K107" i="35" s="1"/>
  <c r="H363" i="36"/>
  <c r="K363" i="36" s="1"/>
  <c r="L363" i="36" s="1"/>
  <c r="M363" i="36" s="1"/>
  <c r="H353" i="36"/>
  <c r="K399" i="36"/>
  <c r="L399" i="36" s="1"/>
  <c r="M399" i="36" s="1"/>
  <c r="H32" i="36"/>
  <c r="H8" i="36"/>
  <c r="H14" i="36"/>
  <c r="K27" i="36"/>
  <c r="O406" i="36"/>
  <c r="L406" i="35"/>
  <c r="P406" i="36" s="1"/>
  <c r="O40" i="36"/>
  <c r="L40" i="35"/>
  <c r="P40" i="36" s="1"/>
  <c r="L343" i="36"/>
  <c r="M343" i="36" s="1"/>
  <c r="H450" i="36"/>
  <c r="K450" i="36" s="1"/>
  <c r="L450" i="36" s="1"/>
  <c r="M450" i="36" s="1"/>
  <c r="H452" i="36"/>
  <c r="K452" i="36" s="1"/>
  <c r="L452" i="36" s="1"/>
  <c r="M452" i="36" s="1"/>
  <c r="H451" i="36"/>
  <c r="K451" i="36" s="1"/>
  <c r="L451" i="36" s="1"/>
  <c r="M451" i="36" s="1"/>
  <c r="H453" i="36"/>
  <c r="K453" i="36" s="1"/>
  <c r="L453" i="36" s="1"/>
  <c r="M453" i="36" s="1"/>
  <c r="H453" i="35"/>
  <c r="K453" i="35" s="1"/>
  <c r="H450" i="35"/>
  <c r="K450" i="35" s="1"/>
  <c r="H452" i="35"/>
  <c r="K452" i="35" s="1"/>
  <c r="H451" i="35"/>
  <c r="K451" i="35" s="1"/>
  <c r="H105" i="36"/>
  <c r="K105" i="36" s="1"/>
  <c r="L105" i="36" s="1"/>
  <c r="M105" i="36" s="1"/>
  <c r="H103" i="36"/>
  <c r="K103" i="36" s="1"/>
  <c r="H102" i="36"/>
  <c r="K102" i="36" s="1"/>
  <c r="L102" i="36" s="1"/>
  <c r="M102" i="36" s="1"/>
  <c r="H104" i="36"/>
  <c r="K104" i="36" s="1"/>
  <c r="L104" i="36" s="1"/>
  <c r="M104" i="36" s="1"/>
  <c r="H104" i="35"/>
  <c r="K104" i="35" s="1"/>
  <c r="H102" i="35"/>
  <c r="K102" i="35" s="1"/>
  <c r="H103" i="35"/>
  <c r="K103" i="35" s="1"/>
  <c r="H105" i="35"/>
  <c r="K105" i="35" s="1"/>
  <c r="H365" i="36"/>
  <c r="K365" i="36" s="1"/>
  <c r="L365" i="36" s="1"/>
  <c r="M365" i="36" s="1"/>
  <c r="H355" i="36"/>
  <c r="K401" i="36"/>
  <c r="L401" i="36" s="1"/>
  <c r="M401" i="36" s="1"/>
  <c r="H34" i="36"/>
  <c r="H10" i="36"/>
  <c r="H16" i="36"/>
  <c r="K29" i="36"/>
  <c r="O466" i="36"/>
  <c r="L466" i="35"/>
  <c r="P466" i="36" s="1"/>
  <c r="H437" i="36"/>
  <c r="H437" i="35"/>
  <c r="H272" i="36"/>
  <c r="K272" i="36" s="1"/>
  <c r="L272" i="36" s="1"/>
  <c r="M272" i="36" s="1"/>
  <c r="H268" i="36"/>
  <c r="K268" i="36" s="1"/>
  <c r="L268" i="36" s="1"/>
  <c r="M268" i="36" s="1"/>
  <c r="H271" i="36"/>
  <c r="K271" i="36" s="1"/>
  <c r="H269" i="36"/>
  <c r="K269" i="36" s="1"/>
  <c r="L269" i="36" s="1"/>
  <c r="M269" i="36" s="1"/>
  <c r="H269" i="35"/>
  <c r="K269" i="35" s="1"/>
  <c r="H268" i="35"/>
  <c r="K268" i="35" s="1"/>
  <c r="H272" i="35"/>
  <c r="K272" i="35" s="1"/>
  <c r="H271" i="35"/>
  <c r="K271" i="35" s="1"/>
  <c r="H101" i="36"/>
  <c r="K101" i="36" s="1"/>
  <c r="L101" i="36" s="1"/>
  <c r="M101" i="36" s="1"/>
  <c r="H98" i="36"/>
  <c r="K98" i="36" s="1"/>
  <c r="L98" i="36" s="1"/>
  <c r="M98" i="36" s="1"/>
  <c r="H100" i="36"/>
  <c r="K100" i="36" s="1"/>
  <c r="L100" i="36" s="1"/>
  <c r="M100" i="36" s="1"/>
  <c r="H99" i="36"/>
  <c r="K99" i="36" s="1"/>
  <c r="L99" i="36" s="1"/>
  <c r="M99" i="36" s="1"/>
  <c r="H100" i="35"/>
  <c r="K100" i="35" s="1"/>
  <c r="H99" i="35"/>
  <c r="K99" i="35" s="1"/>
  <c r="H101" i="35"/>
  <c r="K101" i="35" s="1"/>
  <c r="H98" i="35"/>
  <c r="K98" i="35" s="1"/>
  <c r="H362" i="36"/>
  <c r="K362" i="36" s="1"/>
  <c r="L362" i="36" s="1"/>
  <c r="M362" i="36" s="1"/>
  <c r="H352" i="36"/>
  <c r="K398" i="36"/>
  <c r="O122" i="36"/>
  <c r="L122" i="35"/>
  <c r="P122" i="36" s="1"/>
  <c r="O56" i="36"/>
  <c r="L56" i="35"/>
  <c r="P56" i="36" s="1"/>
  <c r="H448" i="36"/>
  <c r="K448" i="36" s="1"/>
  <c r="L448" i="36" s="1"/>
  <c r="M448" i="36" s="1"/>
  <c r="H446" i="36"/>
  <c r="K446" i="36" s="1"/>
  <c r="L446" i="36" s="1"/>
  <c r="M446" i="36" s="1"/>
  <c r="H449" i="36"/>
  <c r="K449" i="36" s="1"/>
  <c r="L449" i="36" s="1"/>
  <c r="M449" i="36" s="1"/>
  <c r="H447" i="36"/>
  <c r="K447" i="36" s="1"/>
  <c r="L447" i="36" s="1"/>
  <c r="M447" i="36" s="1"/>
  <c r="H446" i="35"/>
  <c r="K446" i="35" s="1"/>
  <c r="H448" i="35"/>
  <c r="K448" i="35" s="1"/>
  <c r="H449" i="35"/>
  <c r="K449" i="35" s="1"/>
  <c r="H447" i="35"/>
  <c r="K447" i="35" s="1"/>
  <c r="H266" i="36"/>
  <c r="H264" i="36"/>
  <c r="H262" i="36"/>
  <c r="H265" i="36"/>
  <c r="H263" i="36"/>
  <c r="H265" i="35"/>
  <c r="H262" i="35"/>
  <c r="H266" i="35"/>
  <c r="H263" i="35"/>
  <c r="H264" i="35"/>
  <c r="H93" i="36"/>
  <c r="H93" i="35"/>
  <c r="H364" i="36"/>
  <c r="K364" i="36" s="1"/>
  <c r="L364" i="36" s="1"/>
  <c r="M364" i="36" s="1"/>
  <c r="H354" i="36"/>
  <c r="K400" i="36"/>
  <c r="L400" i="36" s="1"/>
  <c r="M400" i="36" s="1"/>
  <c r="L51" i="35"/>
  <c r="P51" i="36" s="1"/>
  <c r="O51" i="36"/>
  <c r="M405" i="35"/>
  <c r="Q405" i="36" s="1"/>
  <c r="H180" i="36"/>
  <c r="K180" i="36" s="1"/>
  <c r="L180" i="36" s="1"/>
  <c r="M180" i="36" s="1"/>
  <c r="H177" i="36"/>
  <c r="K177" i="36" s="1"/>
  <c r="L177" i="36" s="1"/>
  <c r="M177" i="36" s="1"/>
  <c r="H179" i="36"/>
  <c r="K179" i="36" s="1"/>
  <c r="L179" i="36" s="1"/>
  <c r="M179" i="36" s="1"/>
  <c r="H181" i="36"/>
  <c r="K181" i="36" s="1"/>
  <c r="L181" i="36" s="1"/>
  <c r="M181" i="36" s="1"/>
  <c r="H178" i="36"/>
  <c r="K178" i="36" s="1"/>
  <c r="L178" i="36" s="1"/>
  <c r="M178" i="36" s="1"/>
  <c r="H179" i="35"/>
  <c r="K179" i="35" s="1"/>
  <c r="H181" i="35"/>
  <c r="K181" i="35" s="1"/>
  <c r="H178" i="35"/>
  <c r="K178" i="35" s="1"/>
  <c r="H180" i="35"/>
  <c r="K180" i="35" s="1"/>
  <c r="H177" i="35"/>
  <c r="K177" i="35" s="1"/>
  <c r="H165" i="36"/>
  <c r="K165" i="36" s="1"/>
  <c r="H163" i="36"/>
  <c r="K163" i="36" s="1"/>
  <c r="L163" i="36" s="1"/>
  <c r="M163" i="36" s="1"/>
  <c r="H166" i="36"/>
  <c r="K166" i="36" s="1"/>
  <c r="L166" i="36" s="1"/>
  <c r="M166" i="36" s="1"/>
  <c r="H164" i="36"/>
  <c r="K164" i="36" s="1"/>
  <c r="L164" i="36" s="1"/>
  <c r="M164" i="36" s="1"/>
  <c r="H162" i="36"/>
  <c r="K162" i="36" s="1"/>
  <c r="L162" i="36" s="1"/>
  <c r="M162" i="36" s="1"/>
  <c r="H163" i="35"/>
  <c r="K163" i="35" s="1"/>
  <c r="H165" i="35"/>
  <c r="K165" i="35" s="1"/>
  <c r="H162" i="35"/>
  <c r="K162" i="35" s="1"/>
  <c r="H164" i="35"/>
  <c r="K164" i="35" s="1"/>
  <c r="H166" i="35"/>
  <c r="K166" i="35" s="1"/>
  <c r="H267" i="36"/>
  <c r="K267" i="36" s="1"/>
  <c r="L267" i="36" s="1"/>
  <c r="M267" i="36" s="1"/>
  <c r="H267" i="35"/>
  <c r="K267" i="35" s="1"/>
  <c r="H111" i="36"/>
  <c r="K111" i="36" s="1"/>
  <c r="H112" i="36"/>
  <c r="K112" i="36" s="1"/>
  <c r="L112" i="36" s="1"/>
  <c r="M112" i="36" s="1"/>
  <c r="H113" i="36"/>
  <c r="K113" i="36" s="1"/>
  <c r="L113" i="36" s="1"/>
  <c r="M113" i="36" s="1"/>
  <c r="H110" i="36"/>
  <c r="K110" i="36" s="1"/>
  <c r="L110" i="36" s="1"/>
  <c r="M110" i="36" s="1"/>
  <c r="H113" i="35"/>
  <c r="K113" i="35" s="1"/>
  <c r="H111" i="35"/>
  <c r="K111" i="35" s="1"/>
  <c r="H110" i="35"/>
  <c r="K110" i="35" s="1"/>
  <c r="H112" i="35"/>
  <c r="K112" i="35" s="1"/>
  <c r="H35" i="35"/>
  <c r="H11" i="35"/>
  <c r="H17" i="35"/>
  <c r="K30" i="35"/>
  <c r="O270" i="36"/>
  <c r="L270" i="35"/>
  <c r="P270" i="36" s="1"/>
  <c r="O57" i="36"/>
  <c r="L57" i="35"/>
  <c r="P57" i="36" s="1"/>
  <c r="H191" i="36"/>
  <c r="H189" i="36"/>
  <c r="H192" i="36"/>
  <c r="H188" i="36"/>
  <c r="H188" i="35"/>
  <c r="H190" i="35"/>
  <c r="H190" i="36"/>
  <c r="H192" i="35"/>
  <c r="H189" i="35"/>
  <c r="H191" i="35"/>
  <c r="H161" i="36"/>
  <c r="H161" i="35"/>
  <c r="H330" i="36"/>
  <c r="K330" i="36" s="1"/>
  <c r="L330" i="36" s="1"/>
  <c r="M330" i="36" s="1"/>
  <c r="H332" i="36"/>
  <c r="K332" i="36" s="1"/>
  <c r="L332" i="36" s="1"/>
  <c r="M332" i="36" s="1"/>
  <c r="H329" i="36"/>
  <c r="K329" i="36" s="1"/>
  <c r="L329" i="36" s="1"/>
  <c r="M329" i="36" s="1"/>
  <c r="H331" i="36"/>
  <c r="K331" i="36" s="1"/>
  <c r="H333" i="36"/>
  <c r="K333" i="36" s="1"/>
  <c r="L333" i="36" s="1"/>
  <c r="M333" i="36" s="1"/>
  <c r="H329" i="35"/>
  <c r="K329" i="35" s="1"/>
  <c r="H331" i="35"/>
  <c r="K331" i="35" s="1"/>
  <c r="H333" i="35"/>
  <c r="K333" i="35" s="1"/>
  <c r="H330" i="35"/>
  <c r="K330" i="35" s="1"/>
  <c r="H332" i="35"/>
  <c r="K332" i="35" s="1"/>
  <c r="H33" i="35"/>
  <c r="H9" i="35"/>
  <c r="H15" i="35"/>
  <c r="K28" i="35"/>
  <c r="L39" i="36"/>
  <c r="M39" i="36" s="1"/>
  <c r="O54" i="36"/>
  <c r="L54" i="35"/>
  <c r="P54" i="36" s="1"/>
  <c r="H253" i="36"/>
  <c r="K253" i="36" s="1"/>
  <c r="L253" i="36" s="1"/>
  <c r="M253" i="36" s="1"/>
  <c r="H250" i="36"/>
  <c r="K250" i="36" s="1"/>
  <c r="L250" i="36" s="1"/>
  <c r="M250" i="36" s="1"/>
  <c r="H252" i="36"/>
  <c r="K252" i="36" s="1"/>
  <c r="L252" i="36" s="1"/>
  <c r="M252" i="36" s="1"/>
  <c r="H254" i="36"/>
  <c r="K254" i="36" s="1"/>
  <c r="H251" i="36"/>
  <c r="K251" i="36" s="1"/>
  <c r="L251" i="36" s="1"/>
  <c r="M251" i="36" s="1"/>
  <c r="H253" i="35"/>
  <c r="K253" i="35" s="1"/>
  <c r="H250" i="35"/>
  <c r="K250" i="35" s="1"/>
  <c r="H252" i="35"/>
  <c r="K252" i="35" s="1"/>
  <c r="H254" i="35"/>
  <c r="K254" i="35" s="1"/>
  <c r="H251" i="35"/>
  <c r="K251" i="35" s="1"/>
  <c r="H193" i="36"/>
  <c r="K193" i="36" s="1"/>
  <c r="L193" i="36" s="1"/>
  <c r="M193" i="36" s="1"/>
  <c r="H193" i="35"/>
  <c r="K193" i="35" s="1"/>
  <c r="H175" i="36"/>
  <c r="K175" i="36" s="1"/>
  <c r="L175" i="36" s="1"/>
  <c r="M175" i="36" s="1"/>
  <c r="H173" i="36"/>
  <c r="K173" i="36" s="1"/>
  <c r="L173" i="36" s="1"/>
  <c r="M173" i="36" s="1"/>
  <c r="H172" i="36"/>
  <c r="K172" i="36" s="1"/>
  <c r="H174" i="36"/>
  <c r="K174" i="36" s="1"/>
  <c r="L174" i="36" s="1"/>
  <c r="M174" i="36" s="1"/>
  <c r="H172" i="35"/>
  <c r="K172" i="35" s="1"/>
  <c r="H176" i="36"/>
  <c r="K176" i="36" s="1"/>
  <c r="H174" i="35"/>
  <c r="K174" i="35" s="1"/>
  <c r="H176" i="35"/>
  <c r="K176" i="35" s="1"/>
  <c r="H173" i="35"/>
  <c r="K173" i="35" s="1"/>
  <c r="H175" i="35"/>
  <c r="K175" i="35" s="1"/>
  <c r="H325" i="36"/>
  <c r="K325" i="36" s="1"/>
  <c r="L325" i="36" s="1"/>
  <c r="M325" i="36" s="1"/>
  <c r="H327" i="36"/>
  <c r="K327" i="36" s="1"/>
  <c r="L327" i="36" s="1"/>
  <c r="M327" i="36" s="1"/>
  <c r="H324" i="36"/>
  <c r="K324" i="36" s="1"/>
  <c r="L324" i="36" s="1"/>
  <c r="M324" i="36" s="1"/>
  <c r="H326" i="36"/>
  <c r="K326" i="36" s="1"/>
  <c r="L326" i="36" s="1"/>
  <c r="M326" i="36" s="1"/>
  <c r="H327" i="35"/>
  <c r="K327" i="35" s="1"/>
  <c r="H324" i="35"/>
  <c r="K324" i="35" s="1"/>
  <c r="H328" i="35"/>
  <c r="K328" i="35" s="1"/>
  <c r="H325" i="35"/>
  <c r="K325" i="35" s="1"/>
  <c r="H328" i="36"/>
  <c r="K328" i="36" s="1"/>
  <c r="L328" i="36" s="1"/>
  <c r="M328" i="36" s="1"/>
  <c r="H326" i="35"/>
  <c r="K326" i="35" s="1"/>
  <c r="H31" i="35"/>
  <c r="H7" i="35"/>
  <c r="H13" i="35"/>
  <c r="K26" i="35"/>
  <c r="O58" i="36"/>
  <c r="L58" i="35"/>
  <c r="P58" i="36" s="1"/>
  <c r="O402" i="36"/>
  <c r="L402" i="35"/>
  <c r="P402" i="36" s="1"/>
  <c r="H381" i="36"/>
  <c r="K381" i="36" s="1"/>
  <c r="L381" i="36" s="1"/>
  <c r="M381" i="36" s="1"/>
  <c r="H382" i="36"/>
  <c r="K382" i="36" s="1"/>
  <c r="H384" i="36"/>
  <c r="K384" i="36" s="1"/>
  <c r="L384" i="36" s="1"/>
  <c r="M384" i="36" s="1"/>
  <c r="H383" i="36"/>
  <c r="K383" i="36" s="1"/>
  <c r="L383" i="36" s="1"/>
  <c r="M383" i="36" s="1"/>
  <c r="H382" i="35"/>
  <c r="K382" i="35" s="1"/>
  <c r="H383" i="35"/>
  <c r="K383" i="35" s="1"/>
  <c r="H384" i="35"/>
  <c r="K384" i="35" s="1"/>
  <c r="H381" i="35"/>
  <c r="K381" i="35" s="1"/>
  <c r="H344" i="36"/>
  <c r="K344" i="36" s="1"/>
  <c r="L344" i="36" s="1"/>
  <c r="M344" i="36" s="1"/>
  <c r="H342" i="36"/>
  <c r="K342" i="36" s="1"/>
  <c r="L342" i="36" s="1"/>
  <c r="M342" i="36" s="1"/>
  <c r="H345" i="36"/>
  <c r="K345" i="36" s="1"/>
  <c r="L345" i="36" s="1"/>
  <c r="M345" i="36" s="1"/>
  <c r="H345" i="35"/>
  <c r="K345" i="35" s="1"/>
  <c r="H341" i="36"/>
  <c r="K341" i="36" s="1"/>
  <c r="L341" i="36" s="1"/>
  <c r="M341" i="36" s="1"/>
  <c r="H342" i="35"/>
  <c r="K342" i="35" s="1"/>
  <c r="H344" i="35"/>
  <c r="K344" i="35" s="1"/>
  <c r="H341" i="35"/>
  <c r="K341" i="35" s="1"/>
  <c r="H167" i="36"/>
  <c r="K167" i="36" s="1"/>
  <c r="L167" i="36" s="1"/>
  <c r="M167" i="36" s="1"/>
  <c r="H169" i="36"/>
  <c r="K169" i="36" s="1"/>
  <c r="L169" i="36" s="1"/>
  <c r="M169" i="36" s="1"/>
  <c r="H171" i="36"/>
  <c r="K171" i="36" s="1"/>
  <c r="L171" i="36" s="1"/>
  <c r="M171" i="36" s="1"/>
  <c r="H168" i="36"/>
  <c r="K168" i="36" s="1"/>
  <c r="L168" i="36" s="1"/>
  <c r="M168" i="36" s="1"/>
  <c r="H170" i="36"/>
  <c r="K170" i="36" s="1"/>
  <c r="L170" i="36" s="1"/>
  <c r="M170" i="36" s="1"/>
  <c r="H170" i="35"/>
  <c r="K170" i="35" s="1"/>
  <c r="H167" i="35"/>
  <c r="K167" i="35" s="1"/>
  <c r="H169" i="35"/>
  <c r="K169" i="35" s="1"/>
  <c r="H171" i="35"/>
  <c r="K171" i="35" s="1"/>
  <c r="H168" i="35"/>
  <c r="K168" i="35" s="1"/>
  <c r="H340" i="36"/>
  <c r="K340" i="36" s="1"/>
  <c r="L340" i="36" s="1"/>
  <c r="M340" i="36" s="1"/>
  <c r="H340" i="35"/>
  <c r="K340" i="35" s="1"/>
  <c r="H308" i="36"/>
  <c r="H308" i="35"/>
  <c r="H184" i="36"/>
  <c r="K184" i="36" s="1"/>
  <c r="L184" i="36" s="1"/>
  <c r="M184" i="36" s="1"/>
  <c r="H186" i="36"/>
  <c r="K186" i="36" s="1"/>
  <c r="L186" i="36" s="1"/>
  <c r="M186" i="36" s="1"/>
  <c r="H183" i="36"/>
  <c r="K183" i="36" s="1"/>
  <c r="L183" i="36" s="1"/>
  <c r="M183" i="36" s="1"/>
  <c r="H185" i="36"/>
  <c r="K185" i="36" s="1"/>
  <c r="L185" i="36" s="1"/>
  <c r="M185" i="36" s="1"/>
  <c r="H182" i="36"/>
  <c r="K182" i="36" s="1"/>
  <c r="L182" i="36" s="1"/>
  <c r="M182" i="36" s="1"/>
  <c r="H186" i="35"/>
  <c r="K186" i="35" s="1"/>
  <c r="H183" i="35"/>
  <c r="K183" i="35" s="1"/>
  <c r="H185" i="35"/>
  <c r="K185" i="35" s="1"/>
  <c r="H182" i="35"/>
  <c r="K182" i="35" s="1"/>
  <c r="H184" i="35"/>
  <c r="K184" i="35" s="1"/>
  <c r="H34" i="35"/>
  <c r="H10" i="35"/>
  <c r="H16" i="35"/>
  <c r="K29" i="35"/>
  <c r="O52" i="36"/>
  <c r="L52" i="35"/>
  <c r="P52" i="36" s="1"/>
  <c r="H255" i="36"/>
  <c r="K255" i="36" s="1"/>
  <c r="L255" i="36" s="1"/>
  <c r="M255" i="36" s="1"/>
  <c r="H257" i="36"/>
  <c r="K257" i="36" s="1"/>
  <c r="L257" i="36" s="1"/>
  <c r="M257" i="36" s="1"/>
  <c r="H259" i="36"/>
  <c r="K259" i="36" s="1"/>
  <c r="L259" i="36" s="1"/>
  <c r="M259" i="36" s="1"/>
  <c r="H256" i="35"/>
  <c r="K256" i="35" s="1"/>
  <c r="H256" i="36"/>
  <c r="K256" i="36" s="1"/>
  <c r="L256" i="36" s="1"/>
  <c r="M256" i="36" s="1"/>
  <c r="H257" i="35"/>
  <c r="K257" i="35" s="1"/>
  <c r="H258" i="36"/>
  <c r="K258" i="36" s="1"/>
  <c r="L258" i="36" s="1"/>
  <c r="M258" i="36" s="1"/>
  <c r="H259" i="35"/>
  <c r="K259" i="35" s="1"/>
  <c r="H255" i="35"/>
  <c r="K255" i="35" s="1"/>
  <c r="H258" i="35"/>
  <c r="K258" i="35" s="1"/>
  <c r="H234" i="36"/>
  <c r="H234" i="35"/>
  <c r="H197" i="36"/>
  <c r="K197" i="36" s="1"/>
  <c r="L197" i="36" s="1"/>
  <c r="M197" i="36" s="1"/>
  <c r="H195" i="36"/>
  <c r="K195" i="36" s="1"/>
  <c r="L195" i="36" s="1"/>
  <c r="M195" i="36" s="1"/>
  <c r="H194" i="36"/>
  <c r="K194" i="36" s="1"/>
  <c r="L194" i="36" s="1"/>
  <c r="M194" i="36" s="1"/>
  <c r="H197" i="35"/>
  <c r="K197" i="35" s="1"/>
  <c r="H198" i="35"/>
  <c r="K198" i="35" s="1"/>
  <c r="H198" i="36"/>
  <c r="K198" i="36" s="1"/>
  <c r="L198" i="36" s="1"/>
  <c r="M198" i="36" s="1"/>
  <c r="H195" i="35"/>
  <c r="K195" i="35" s="1"/>
  <c r="H194" i="35"/>
  <c r="K194" i="35" s="1"/>
  <c r="H314" i="36"/>
  <c r="K314" i="36" s="1"/>
  <c r="H316" i="36"/>
  <c r="K316" i="36" s="1"/>
  <c r="L316" i="36" s="1"/>
  <c r="M316" i="36" s="1"/>
  <c r="H318" i="36"/>
  <c r="K318" i="36" s="1"/>
  <c r="L318" i="36" s="1"/>
  <c r="M318" i="36" s="1"/>
  <c r="H317" i="36"/>
  <c r="K317" i="36" s="1"/>
  <c r="L317" i="36" s="1"/>
  <c r="M317" i="36" s="1"/>
  <c r="H317" i="35"/>
  <c r="K317" i="35" s="1"/>
  <c r="H315" i="36"/>
  <c r="K315" i="36" s="1"/>
  <c r="L315" i="36" s="1"/>
  <c r="M315" i="36" s="1"/>
  <c r="H314" i="35"/>
  <c r="K314" i="35" s="1"/>
  <c r="H316" i="35"/>
  <c r="K316" i="35" s="1"/>
  <c r="H318" i="35"/>
  <c r="K318" i="35" s="1"/>
  <c r="H315" i="35"/>
  <c r="K315" i="35" s="1"/>
  <c r="H248" i="36"/>
  <c r="K248" i="36" s="1"/>
  <c r="L248" i="36" s="1"/>
  <c r="M248" i="36" s="1"/>
  <c r="H246" i="36"/>
  <c r="K246" i="36" s="1"/>
  <c r="L246" i="36" s="1"/>
  <c r="M246" i="36" s="1"/>
  <c r="H249" i="35"/>
  <c r="K249" i="35" s="1"/>
  <c r="H247" i="36"/>
  <c r="K247" i="36" s="1"/>
  <c r="L247" i="36" s="1"/>
  <c r="M247" i="36" s="1"/>
  <c r="H246" i="35"/>
  <c r="K246" i="35" s="1"/>
  <c r="H248" i="35"/>
  <c r="K248" i="35" s="1"/>
  <c r="H249" i="36"/>
  <c r="K249" i="36" s="1"/>
  <c r="L249" i="36" s="1"/>
  <c r="M249" i="36" s="1"/>
  <c r="H247" i="35"/>
  <c r="K247" i="35" s="1"/>
  <c r="H245" i="35"/>
  <c r="K245" i="35" s="1"/>
  <c r="H245" i="36"/>
  <c r="K245" i="36" s="1"/>
  <c r="L245" i="36" s="1"/>
  <c r="M245" i="36" s="1"/>
  <c r="H391" i="36"/>
  <c r="K391" i="36" s="1"/>
  <c r="L391" i="36" s="1"/>
  <c r="M391" i="36" s="1"/>
  <c r="H392" i="36"/>
  <c r="K392" i="36" s="1"/>
  <c r="L392" i="36" s="1"/>
  <c r="M392" i="36" s="1"/>
  <c r="H390" i="36"/>
  <c r="K390" i="36" s="1"/>
  <c r="L390" i="36" s="1"/>
  <c r="M390" i="36" s="1"/>
  <c r="H389" i="36"/>
  <c r="K389" i="36" s="1"/>
  <c r="L389" i="36" s="1"/>
  <c r="M389" i="36" s="1"/>
  <c r="H389" i="35"/>
  <c r="K389" i="35" s="1"/>
  <c r="H391" i="35"/>
  <c r="K391" i="35" s="1"/>
  <c r="H392" i="35"/>
  <c r="K392" i="35" s="1"/>
  <c r="H390" i="35"/>
  <c r="K390" i="35" s="1"/>
  <c r="H462" i="36"/>
  <c r="H460" i="36"/>
  <c r="H461" i="36"/>
  <c r="H459" i="36"/>
  <c r="H460" i="35"/>
  <c r="H462" i="35"/>
  <c r="H459" i="35"/>
  <c r="H461" i="35"/>
  <c r="H323" i="36"/>
  <c r="K323" i="36" s="1"/>
  <c r="L323" i="36" s="1"/>
  <c r="M323" i="36" s="1"/>
  <c r="H321" i="36"/>
  <c r="K321" i="36" s="1"/>
  <c r="L321" i="36" s="1"/>
  <c r="M321" i="36" s="1"/>
  <c r="H319" i="36"/>
  <c r="K319" i="36" s="1"/>
  <c r="H322" i="36"/>
  <c r="K322" i="36" s="1"/>
  <c r="L322" i="36" s="1"/>
  <c r="M322" i="36" s="1"/>
  <c r="H320" i="36"/>
  <c r="K320" i="36" s="1"/>
  <c r="L320" i="36" s="1"/>
  <c r="M320" i="36" s="1"/>
  <c r="H320" i="35"/>
  <c r="K320" i="35" s="1"/>
  <c r="H321" i="35"/>
  <c r="K321" i="35" s="1"/>
  <c r="H323" i="35"/>
  <c r="K323" i="35" s="1"/>
  <c r="H319" i="35"/>
  <c r="K319" i="35" s="1"/>
  <c r="H322" i="35"/>
  <c r="K322" i="35" s="1"/>
  <c r="H365" i="35"/>
  <c r="K365" i="35" s="1"/>
  <c r="H355" i="35"/>
  <c r="K401" i="35"/>
  <c r="H32" i="35"/>
  <c r="H8" i="35"/>
  <c r="H14" i="35"/>
  <c r="K27" i="35"/>
  <c r="O38" i="36"/>
  <c r="L38" i="35"/>
  <c r="P38" i="36" s="1"/>
  <c r="O59" i="36"/>
  <c r="L59" i="35"/>
  <c r="P59" i="36" s="1"/>
  <c r="H376" i="36"/>
  <c r="H376" i="35"/>
  <c r="H393" i="36"/>
  <c r="K393" i="36" s="1"/>
  <c r="H394" i="36"/>
  <c r="K394" i="36" s="1"/>
  <c r="L394" i="36" s="1"/>
  <c r="M394" i="36" s="1"/>
  <c r="H396" i="36"/>
  <c r="K396" i="36" s="1"/>
  <c r="H395" i="36"/>
  <c r="K395" i="36" s="1"/>
  <c r="L395" i="36" s="1"/>
  <c r="M395" i="36" s="1"/>
  <c r="H394" i="35"/>
  <c r="K394" i="35" s="1"/>
  <c r="H396" i="35"/>
  <c r="K396" i="35" s="1"/>
  <c r="H395" i="35"/>
  <c r="K395" i="35" s="1"/>
  <c r="H393" i="35"/>
  <c r="K393" i="35" s="1"/>
  <c r="H339" i="36"/>
  <c r="H337" i="36"/>
  <c r="H335" i="36"/>
  <c r="H338" i="36"/>
  <c r="H336" i="36"/>
  <c r="H337" i="35"/>
  <c r="H338" i="35"/>
  <c r="H335" i="35"/>
  <c r="H336" i="35"/>
  <c r="H339" i="35"/>
  <c r="H243" i="36"/>
  <c r="K243" i="36" s="1"/>
  <c r="L243" i="36" s="1"/>
  <c r="M243" i="36" s="1"/>
  <c r="H240" i="36"/>
  <c r="K240" i="36" s="1"/>
  <c r="L240" i="36" s="1"/>
  <c r="M240" i="36" s="1"/>
  <c r="H242" i="36"/>
  <c r="K242" i="36" s="1"/>
  <c r="L242" i="36" s="1"/>
  <c r="M242" i="36" s="1"/>
  <c r="H244" i="36"/>
  <c r="K244" i="36" s="1"/>
  <c r="L244" i="36" s="1"/>
  <c r="M244" i="36" s="1"/>
  <c r="H241" i="36"/>
  <c r="K241" i="36" s="1"/>
  <c r="L241" i="36" s="1"/>
  <c r="M241" i="36" s="1"/>
  <c r="H242" i="35"/>
  <c r="K242" i="35" s="1"/>
  <c r="H244" i="35"/>
  <c r="K244" i="35" s="1"/>
  <c r="H241" i="35"/>
  <c r="K241" i="35" s="1"/>
  <c r="H243" i="35"/>
  <c r="K243" i="35" s="1"/>
  <c r="H240" i="35"/>
  <c r="K240" i="35" s="1"/>
  <c r="H238" i="36"/>
  <c r="K238" i="36" s="1"/>
  <c r="L238" i="36" s="1"/>
  <c r="M238" i="36" s="1"/>
  <c r="H236" i="36"/>
  <c r="K236" i="36" s="1"/>
  <c r="L236" i="36" s="1"/>
  <c r="M236" i="36" s="1"/>
  <c r="H239" i="36"/>
  <c r="K239" i="36" s="1"/>
  <c r="L239" i="36" s="1"/>
  <c r="M239" i="36" s="1"/>
  <c r="H235" i="36"/>
  <c r="K235" i="36" s="1"/>
  <c r="L235" i="36" s="1"/>
  <c r="M235" i="36" s="1"/>
  <c r="H237" i="35"/>
  <c r="K237" i="35" s="1"/>
  <c r="H237" i="36"/>
  <c r="K237" i="36" s="1"/>
  <c r="L237" i="36" s="1"/>
  <c r="M237" i="36" s="1"/>
  <c r="H239" i="35"/>
  <c r="K239" i="35" s="1"/>
  <c r="H235" i="35"/>
  <c r="K235" i="35" s="1"/>
  <c r="H238" i="35"/>
  <c r="K238" i="35" s="1"/>
  <c r="H236" i="35"/>
  <c r="K236" i="35" s="1"/>
  <c r="H378" i="36"/>
  <c r="K378" i="36" s="1"/>
  <c r="L378" i="36" s="1"/>
  <c r="M378" i="36" s="1"/>
  <c r="H380" i="36"/>
  <c r="K380" i="36" s="1"/>
  <c r="H377" i="36"/>
  <c r="K377" i="36" s="1"/>
  <c r="L377" i="36" s="1"/>
  <c r="M377" i="36" s="1"/>
  <c r="H379" i="36"/>
  <c r="K379" i="36" s="1"/>
  <c r="L379" i="36" s="1"/>
  <c r="M379" i="36" s="1"/>
  <c r="H378" i="35"/>
  <c r="K378" i="35" s="1"/>
  <c r="H380" i="35"/>
  <c r="K380" i="35" s="1"/>
  <c r="H377" i="35"/>
  <c r="K377" i="35" s="1"/>
  <c r="H379" i="35"/>
  <c r="K379" i="35" s="1"/>
  <c r="H467" i="36"/>
  <c r="K467" i="36" s="1"/>
  <c r="L467" i="36" s="1"/>
  <c r="M467" i="36" s="1"/>
  <c r="H465" i="36"/>
  <c r="K465" i="36" s="1"/>
  <c r="L465" i="36" s="1"/>
  <c r="M465" i="36" s="1"/>
  <c r="H468" i="36"/>
  <c r="K468" i="36" s="1"/>
  <c r="L468" i="36" s="1"/>
  <c r="M468" i="36" s="1"/>
  <c r="H464" i="36"/>
  <c r="K464" i="36" s="1"/>
  <c r="L464" i="36" s="1"/>
  <c r="M464" i="36" s="1"/>
  <c r="H468" i="35"/>
  <c r="K468" i="35" s="1"/>
  <c r="H464" i="35"/>
  <c r="K464" i="35" s="1"/>
  <c r="H465" i="35"/>
  <c r="K465" i="35" s="1"/>
  <c r="H467" i="35"/>
  <c r="K467" i="35" s="1"/>
  <c r="H313" i="36"/>
  <c r="K313" i="36" s="1"/>
  <c r="L313" i="36" s="1"/>
  <c r="M313" i="36" s="1"/>
  <c r="H311" i="36"/>
  <c r="K311" i="36" s="1"/>
  <c r="L311" i="36" s="1"/>
  <c r="M311" i="36" s="1"/>
  <c r="H309" i="36"/>
  <c r="K309" i="36" s="1"/>
  <c r="L309" i="36" s="1"/>
  <c r="M309" i="36" s="1"/>
  <c r="H312" i="36"/>
  <c r="K312" i="36" s="1"/>
  <c r="L312" i="36" s="1"/>
  <c r="M312" i="36" s="1"/>
  <c r="H310" i="36"/>
  <c r="K310" i="36" s="1"/>
  <c r="L310" i="36" s="1"/>
  <c r="M310" i="36" s="1"/>
  <c r="H311" i="35"/>
  <c r="K311" i="35" s="1"/>
  <c r="H312" i="35"/>
  <c r="K312" i="35" s="1"/>
  <c r="H310" i="35"/>
  <c r="K310" i="35" s="1"/>
  <c r="H313" i="35"/>
  <c r="K313" i="35" s="1"/>
  <c r="H309" i="35"/>
  <c r="K309" i="35" s="1"/>
  <c r="H362" i="35"/>
  <c r="K362" i="35" s="1"/>
  <c r="H352" i="35"/>
  <c r="K398" i="35"/>
  <c r="H31" i="36"/>
  <c r="H7" i="36"/>
  <c r="H13" i="36"/>
  <c r="K26" i="36"/>
  <c r="O404" i="36"/>
  <c r="L404" i="35"/>
  <c r="P404" i="36" s="1"/>
  <c r="O36" i="36"/>
  <c r="L36" i="35"/>
  <c r="P36" i="36" s="1"/>
  <c r="O196" i="36"/>
  <c r="L196" i="35"/>
  <c r="P196" i="36" s="1"/>
  <c r="O55" i="36"/>
  <c r="L55" i="35"/>
  <c r="P55" i="36" s="1"/>
  <c r="H102" i="11"/>
  <c r="K102" i="11" s="1"/>
  <c r="L102" i="11" s="1"/>
  <c r="M102" i="11" s="1"/>
  <c r="H105" i="11"/>
  <c r="K105" i="11" s="1"/>
  <c r="L105" i="11" s="1"/>
  <c r="M105" i="11" s="1"/>
  <c r="H103" i="11"/>
  <c r="K103" i="11" s="1"/>
  <c r="L103" i="11" s="1"/>
  <c r="M103" i="11" s="1"/>
  <c r="M44" i="11"/>
  <c r="H104" i="11"/>
  <c r="K104" i="11" s="1"/>
  <c r="L104" i="11" s="1"/>
  <c r="M104" i="11" s="1"/>
  <c r="H112" i="11"/>
  <c r="K112" i="11" s="1"/>
  <c r="L112" i="11" s="1"/>
  <c r="M112" i="11" s="1"/>
  <c r="H93" i="11"/>
  <c r="H100" i="11"/>
  <c r="K100" i="11" s="1"/>
  <c r="L100" i="11" s="1"/>
  <c r="M100" i="11" s="1"/>
  <c r="H101" i="11"/>
  <c r="K101" i="11" s="1"/>
  <c r="L101" i="11" s="1"/>
  <c r="M101" i="11" s="1"/>
  <c r="H99" i="11"/>
  <c r="K99" i="11" s="1"/>
  <c r="L99" i="11" s="1"/>
  <c r="M99" i="11" s="1"/>
  <c r="H109" i="11"/>
  <c r="K109" i="11" s="1"/>
  <c r="L109" i="11" s="1"/>
  <c r="M109" i="11" s="1"/>
  <c r="H107" i="11"/>
  <c r="K107" i="11" s="1"/>
  <c r="L107" i="11" s="1"/>
  <c r="M107" i="11" s="1"/>
  <c r="H108" i="11"/>
  <c r="K108" i="11" s="1"/>
  <c r="L108" i="11" s="1"/>
  <c r="M108" i="11" s="1"/>
  <c r="H106" i="11"/>
  <c r="K106" i="11" s="1"/>
  <c r="L106" i="11" s="1"/>
  <c r="M106" i="11" s="1"/>
  <c r="H97" i="11"/>
  <c r="H94" i="11"/>
  <c r="H95" i="11"/>
  <c r="H96" i="11"/>
  <c r="H113" i="11"/>
  <c r="K113" i="11" s="1"/>
  <c r="L113" i="11" s="1"/>
  <c r="M113" i="11" s="1"/>
  <c r="H111" i="11"/>
  <c r="K111" i="11" s="1"/>
  <c r="L111" i="11" s="1"/>
  <c r="M111" i="11" s="1"/>
  <c r="H110" i="11"/>
  <c r="K110" i="11" s="1"/>
  <c r="L110" i="11" s="1"/>
  <c r="M110" i="11" s="1"/>
  <c r="H98" i="11"/>
  <c r="K98" i="11" s="1"/>
  <c r="L98" i="11" s="1"/>
  <c r="M98" i="11" s="1"/>
  <c r="L833" i="11"/>
  <c r="M833" i="11" s="1"/>
  <c r="H240" i="11"/>
  <c r="K240" i="11" s="1"/>
  <c r="H244" i="11"/>
  <c r="K244" i="11" s="1"/>
  <c r="H243" i="11"/>
  <c r="K243" i="11" s="1"/>
  <c r="H241" i="11"/>
  <c r="K241" i="11" s="1"/>
  <c r="H242" i="11"/>
  <c r="K242" i="11" s="1"/>
  <c r="L748" i="11"/>
  <c r="M748" i="11" s="1"/>
  <c r="H382" i="11"/>
  <c r="K382" i="11" s="1"/>
  <c r="H383" i="11"/>
  <c r="K383" i="11" s="1"/>
  <c r="H384" i="11"/>
  <c r="K384" i="11" s="1"/>
  <c r="H381" i="11"/>
  <c r="K381" i="11" s="1"/>
  <c r="L746" i="11"/>
  <c r="M746" i="11" s="1"/>
  <c r="L404" i="11"/>
  <c r="M404" i="11" s="1"/>
  <c r="K29" i="11"/>
  <c r="H10" i="11"/>
  <c r="H34" i="11"/>
  <c r="H16" i="11"/>
  <c r="L747" i="11"/>
  <c r="M747" i="11" s="1"/>
  <c r="H456" i="11"/>
  <c r="K456" i="11" s="1"/>
  <c r="H457" i="11"/>
  <c r="K457" i="11" s="1"/>
  <c r="H455" i="11"/>
  <c r="K455" i="11" s="1"/>
  <c r="H454" i="11"/>
  <c r="K454" i="11" s="1"/>
  <c r="H262" i="11"/>
  <c r="H265" i="11"/>
  <c r="H266" i="11"/>
  <c r="H263" i="11"/>
  <c r="H264" i="11"/>
  <c r="H345" i="11"/>
  <c r="K345" i="11" s="1"/>
  <c r="H344" i="11"/>
  <c r="K344" i="11" s="1"/>
  <c r="H342" i="11"/>
  <c r="K342" i="11" s="1"/>
  <c r="H341" i="11"/>
  <c r="K341" i="11" s="1"/>
  <c r="H702" i="11"/>
  <c r="H691" i="11"/>
  <c r="H713" i="11"/>
  <c r="K679" i="11"/>
  <c r="L39" i="11"/>
  <c r="M39" i="11" s="1"/>
  <c r="L58" i="11"/>
  <c r="M58" i="11" s="1"/>
  <c r="K664" i="11"/>
  <c r="H597" i="11"/>
  <c r="K680" i="11"/>
  <c r="H703" i="11"/>
  <c r="H714" i="11"/>
  <c r="H692" i="11"/>
  <c r="H441" i="11"/>
  <c r="K441" i="11" s="1"/>
  <c r="H439" i="11"/>
  <c r="K439" i="11" s="1"/>
  <c r="H438" i="11"/>
  <c r="K438" i="11" s="1"/>
  <c r="H440" i="11"/>
  <c r="K440" i="11" s="1"/>
  <c r="H913" i="11"/>
  <c r="K969" i="11"/>
  <c r="H267" i="11"/>
  <c r="K267" i="11" s="1"/>
  <c r="L403" i="11"/>
  <c r="M403" i="11" s="1"/>
  <c r="H308" i="11"/>
  <c r="L60" i="11"/>
  <c r="M60" i="11" s="1"/>
  <c r="K663" i="11"/>
  <c r="H596" i="11"/>
  <c r="H118" i="11"/>
  <c r="H117" i="11"/>
  <c r="H116" i="11"/>
  <c r="H115" i="11"/>
  <c r="H453" i="11"/>
  <c r="K453" i="11" s="1"/>
  <c r="H452" i="11"/>
  <c r="K452" i="11" s="1"/>
  <c r="H450" i="11"/>
  <c r="K450" i="11" s="1"/>
  <c r="H451" i="11"/>
  <c r="K451" i="11" s="1"/>
  <c r="H245" i="11"/>
  <c r="K245" i="11" s="1"/>
  <c r="H247" i="11"/>
  <c r="K247" i="11" s="1"/>
  <c r="H246" i="11"/>
  <c r="K246" i="11" s="1"/>
  <c r="H249" i="11"/>
  <c r="K249" i="11" s="1"/>
  <c r="H248" i="11"/>
  <c r="K248" i="11" s="1"/>
  <c r="K901" i="11"/>
  <c r="H845" i="11"/>
  <c r="H340" i="11"/>
  <c r="K340" i="11" s="1"/>
  <c r="H179" i="11"/>
  <c r="K179" i="11" s="1"/>
  <c r="H180" i="11"/>
  <c r="K180" i="11" s="1"/>
  <c r="H181" i="11"/>
  <c r="K181" i="11" s="1"/>
  <c r="H177" i="11"/>
  <c r="K177" i="11" s="1"/>
  <c r="H178" i="11"/>
  <c r="K178" i="11" s="1"/>
  <c r="H329" i="11"/>
  <c r="K329" i="11" s="1"/>
  <c r="H332" i="11"/>
  <c r="K332" i="11" s="1"/>
  <c r="H330" i="11"/>
  <c r="K330" i="11" s="1"/>
  <c r="H331" i="11"/>
  <c r="K331" i="11" s="1"/>
  <c r="H333" i="11"/>
  <c r="K333" i="11" s="1"/>
  <c r="L51" i="11"/>
  <c r="M51" i="11" s="1"/>
  <c r="L55" i="11"/>
  <c r="M55" i="11" s="1"/>
  <c r="H525" i="11"/>
  <c r="K581" i="11"/>
  <c r="H120" i="11"/>
  <c r="K120" i="11" s="1"/>
  <c r="H124" i="11"/>
  <c r="K124" i="11" s="1"/>
  <c r="H123" i="11"/>
  <c r="K123" i="11" s="1"/>
  <c r="H121" i="11"/>
  <c r="K121" i="11" s="1"/>
  <c r="H437" i="11"/>
  <c r="L343" i="11"/>
  <c r="M343" i="11" s="1"/>
  <c r="K970" i="11"/>
  <c r="H914" i="11"/>
  <c r="H915" i="11"/>
  <c r="K971" i="11"/>
  <c r="H761" i="11"/>
  <c r="K828" i="11"/>
  <c r="H256" i="11"/>
  <c r="K256" i="11" s="1"/>
  <c r="H255" i="11"/>
  <c r="K255" i="11" s="1"/>
  <c r="H258" i="11"/>
  <c r="K258" i="11" s="1"/>
  <c r="H259" i="11"/>
  <c r="K259" i="11" s="1"/>
  <c r="H257" i="11"/>
  <c r="K257" i="11" s="1"/>
  <c r="H762" i="11"/>
  <c r="K829" i="11"/>
  <c r="H189" i="11"/>
  <c r="H188" i="11"/>
  <c r="H190" i="11"/>
  <c r="H191" i="11"/>
  <c r="H192" i="11"/>
  <c r="H167" i="11"/>
  <c r="K167" i="11" s="1"/>
  <c r="H168" i="11"/>
  <c r="K168" i="11" s="1"/>
  <c r="H171" i="11"/>
  <c r="K171" i="11" s="1"/>
  <c r="H170" i="11"/>
  <c r="K170" i="11" s="1"/>
  <c r="H169" i="11"/>
  <c r="K169" i="11" s="1"/>
  <c r="H327" i="11"/>
  <c r="K327" i="11" s="1"/>
  <c r="H325" i="11"/>
  <c r="K325" i="11" s="1"/>
  <c r="H328" i="11"/>
  <c r="K328" i="11" s="1"/>
  <c r="H326" i="11"/>
  <c r="K326" i="11" s="1"/>
  <c r="H324" i="11"/>
  <c r="K324" i="11" s="1"/>
  <c r="L38" i="11"/>
  <c r="M38" i="11" s="1"/>
  <c r="L57" i="11"/>
  <c r="M57" i="11" s="1"/>
  <c r="K666" i="11"/>
  <c r="H599" i="11"/>
  <c r="H119" i="11"/>
  <c r="K119" i="11" s="1"/>
  <c r="H447" i="11"/>
  <c r="K447" i="11" s="1"/>
  <c r="H448" i="11"/>
  <c r="K448" i="11" s="1"/>
  <c r="H446" i="11"/>
  <c r="K446" i="11" s="1"/>
  <c r="H449" i="11"/>
  <c r="K449" i="11" s="1"/>
  <c r="H236" i="11"/>
  <c r="K236" i="11" s="1"/>
  <c r="H239" i="11"/>
  <c r="K239" i="11" s="1"/>
  <c r="H235" i="11"/>
  <c r="K235" i="11" s="1"/>
  <c r="H237" i="11"/>
  <c r="K237" i="11" s="1"/>
  <c r="H238" i="11"/>
  <c r="K238" i="11" s="1"/>
  <c r="H234" i="11"/>
  <c r="H193" i="11"/>
  <c r="K193" i="11" s="1"/>
  <c r="H166" i="11"/>
  <c r="K166" i="11" s="1"/>
  <c r="H164" i="11"/>
  <c r="K164" i="11" s="1"/>
  <c r="H162" i="11"/>
  <c r="K162" i="11" s="1"/>
  <c r="H163" i="11"/>
  <c r="K163" i="11" s="1"/>
  <c r="H165" i="11"/>
  <c r="K165" i="11" s="1"/>
  <c r="L407" i="11"/>
  <c r="M407" i="11" s="1"/>
  <c r="H315" i="11"/>
  <c r="K315" i="11" s="1"/>
  <c r="H317" i="11"/>
  <c r="K317" i="11" s="1"/>
  <c r="H316" i="11"/>
  <c r="K316" i="11" s="1"/>
  <c r="H314" i="11"/>
  <c r="K314" i="11" s="1"/>
  <c r="H318" i="11"/>
  <c r="K318" i="11" s="1"/>
  <c r="L53" i="11"/>
  <c r="M53" i="11" s="1"/>
  <c r="L745" i="11"/>
  <c r="M745" i="11" s="1"/>
  <c r="H354" i="11"/>
  <c r="K400" i="11"/>
  <c r="H364" i="11"/>
  <c r="H195" i="11"/>
  <c r="K195" i="11" s="1"/>
  <c r="H198" i="11"/>
  <c r="K198" i="11" s="1"/>
  <c r="H197" i="11"/>
  <c r="K197" i="11" s="1"/>
  <c r="H194" i="11"/>
  <c r="K194" i="11" s="1"/>
  <c r="H161" i="11"/>
  <c r="L749" i="11"/>
  <c r="M749" i="11" s="1"/>
  <c r="H322" i="11"/>
  <c r="K322" i="11" s="1"/>
  <c r="H321" i="11"/>
  <c r="K321" i="11" s="1"/>
  <c r="H323" i="11"/>
  <c r="K323" i="11" s="1"/>
  <c r="H320" i="11"/>
  <c r="K320" i="11" s="1"/>
  <c r="H319" i="11"/>
  <c r="K319" i="11" s="1"/>
  <c r="L36" i="11"/>
  <c r="M36" i="11" s="1"/>
  <c r="L56" i="11"/>
  <c r="M56" i="11" s="1"/>
  <c r="L59" i="11"/>
  <c r="M59" i="11" s="1"/>
  <c r="L667" i="11"/>
  <c r="M667" i="11" s="1"/>
  <c r="L584" i="11"/>
  <c r="M584" i="11" s="1"/>
  <c r="H690" i="11"/>
  <c r="H712" i="11"/>
  <c r="K678" i="11"/>
  <c r="H701" i="11"/>
  <c r="L903" i="11"/>
  <c r="M903" i="11" s="1"/>
  <c r="K831" i="11"/>
  <c r="H764" i="11"/>
  <c r="H363" i="11"/>
  <c r="K399" i="11"/>
  <c r="H353" i="11"/>
  <c r="H389" i="11"/>
  <c r="K389" i="11" s="1"/>
  <c r="H391" i="11"/>
  <c r="K391" i="11" s="1"/>
  <c r="H390" i="11"/>
  <c r="K390" i="11" s="1"/>
  <c r="H392" i="11"/>
  <c r="K392" i="11" s="1"/>
  <c r="H176" i="11"/>
  <c r="K176" i="11" s="1"/>
  <c r="H173" i="11"/>
  <c r="K173" i="11" s="1"/>
  <c r="H174" i="11"/>
  <c r="K174" i="11" s="1"/>
  <c r="H175" i="11"/>
  <c r="K175" i="11" s="1"/>
  <c r="H172" i="11"/>
  <c r="K172" i="11" s="1"/>
  <c r="K682" i="11"/>
  <c r="H705" i="11"/>
  <c r="H716" i="11"/>
  <c r="H694" i="11"/>
  <c r="L406" i="11"/>
  <c r="M406" i="11" s="1"/>
  <c r="H311" i="11"/>
  <c r="K311" i="11" s="1"/>
  <c r="H313" i="11"/>
  <c r="K313" i="11" s="1"/>
  <c r="H309" i="11"/>
  <c r="K309" i="11" s="1"/>
  <c r="H310" i="11"/>
  <c r="K310" i="11" s="1"/>
  <c r="H312" i="11"/>
  <c r="K312" i="11" s="1"/>
  <c r="H598" i="11"/>
  <c r="K665" i="11"/>
  <c r="L973" i="11"/>
  <c r="M973" i="11" s="1"/>
  <c r="H843" i="11"/>
  <c r="K899" i="11"/>
  <c r="L466" i="11"/>
  <c r="M466" i="11" s="1"/>
  <c r="H380" i="11"/>
  <c r="K380" i="11" s="1"/>
  <c r="H379" i="11"/>
  <c r="K379" i="11" s="1"/>
  <c r="H378" i="11"/>
  <c r="K378" i="11" s="1"/>
  <c r="H377" i="11"/>
  <c r="K377" i="11" s="1"/>
  <c r="H185" i="11"/>
  <c r="K185" i="11" s="1"/>
  <c r="H184" i="11"/>
  <c r="K184" i="11" s="1"/>
  <c r="H186" i="11"/>
  <c r="K186" i="11" s="1"/>
  <c r="H182" i="11"/>
  <c r="K182" i="11" s="1"/>
  <c r="H183" i="11"/>
  <c r="K183" i="11" s="1"/>
  <c r="L37" i="11"/>
  <c r="M37" i="11" s="1"/>
  <c r="K26" i="11"/>
  <c r="H31" i="11"/>
  <c r="H7" i="11"/>
  <c r="H13" i="11"/>
  <c r="K580" i="11"/>
  <c r="H524" i="11"/>
  <c r="H355" i="11"/>
  <c r="H365" i="11"/>
  <c r="K401" i="11"/>
  <c r="L402" i="11"/>
  <c r="M402" i="11" s="1"/>
  <c r="H765" i="11"/>
  <c r="K832" i="11"/>
  <c r="H844" i="11"/>
  <c r="K900" i="11"/>
  <c r="H362" i="11"/>
  <c r="H352" i="11"/>
  <c r="K398" i="11"/>
  <c r="H385" i="11"/>
  <c r="K385" i="11" s="1"/>
  <c r="H386" i="11"/>
  <c r="K386" i="11" s="1"/>
  <c r="H388" i="11"/>
  <c r="K388" i="11" s="1"/>
  <c r="H387" i="11"/>
  <c r="K387" i="11" s="1"/>
  <c r="H461" i="11"/>
  <c r="H462" i="11"/>
  <c r="H459" i="11"/>
  <c r="H460" i="11"/>
  <c r="L54" i="11"/>
  <c r="M54" i="11" s="1"/>
  <c r="K27" i="11"/>
  <c r="H8" i="11"/>
  <c r="H14" i="11"/>
  <c r="H32" i="11"/>
  <c r="L122" i="11"/>
  <c r="M122" i="11" s="1"/>
  <c r="K972" i="11"/>
  <c r="H916" i="11"/>
  <c r="H336" i="11"/>
  <c r="H339" i="11"/>
  <c r="H337" i="11"/>
  <c r="H338" i="11"/>
  <c r="H335" i="11"/>
  <c r="H763" i="11"/>
  <c r="K830" i="11"/>
  <c r="H376" i="11"/>
  <c r="H467" i="11"/>
  <c r="K467" i="11" s="1"/>
  <c r="H468" i="11"/>
  <c r="K468" i="11" s="1"/>
  <c r="H464" i="11"/>
  <c r="K464" i="11" s="1"/>
  <c r="H465" i="11"/>
  <c r="K465" i="11" s="1"/>
  <c r="K30" i="11"/>
  <c r="H35" i="11"/>
  <c r="H11" i="11"/>
  <c r="H17" i="11"/>
  <c r="K662" i="11"/>
  <c r="H595" i="11"/>
  <c r="H527" i="11"/>
  <c r="K583" i="11"/>
  <c r="L196" i="11"/>
  <c r="M196" i="11" s="1"/>
  <c r="H253" i="11"/>
  <c r="K253" i="11" s="1"/>
  <c r="H250" i="11"/>
  <c r="K250" i="11" s="1"/>
  <c r="H254" i="11"/>
  <c r="K254" i="11" s="1"/>
  <c r="H251" i="11"/>
  <c r="K251" i="11" s="1"/>
  <c r="H252" i="11"/>
  <c r="K252" i="11" s="1"/>
  <c r="H846" i="11"/>
  <c r="K902" i="11"/>
  <c r="H693" i="11"/>
  <c r="H704" i="11"/>
  <c r="H715" i="11"/>
  <c r="K681" i="11"/>
  <c r="H395" i="11"/>
  <c r="K395" i="11" s="1"/>
  <c r="H396" i="11"/>
  <c r="K396" i="11" s="1"/>
  <c r="H394" i="11"/>
  <c r="K394" i="11" s="1"/>
  <c r="H393" i="11"/>
  <c r="K393" i="11" s="1"/>
  <c r="H463" i="11"/>
  <c r="K463" i="11" s="1"/>
  <c r="L40" i="11"/>
  <c r="M40" i="11" s="1"/>
  <c r="L52" i="11"/>
  <c r="M52" i="11" s="1"/>
  <c r="K28" i="11"/>
  <c r="H9" i="11"/>
  <c r="H15" i="11"/>
  <c r="H33" i="11"/>
  <c r="L270" i="11"/>
  <c r="M270" i="11" s="1"/>
  <c r="K582" i="11"/>
  <c r="H526" i="11"/>
  <c r="H443" i="11"/>
  <c r="K443" i="11" s="1"/>
  <c r="H445" i="11"/>
  <c r="K445" i="11" s="1"/>
  <c r="H442" i="11"/>
  <c r="K442" i="11" s="1"/>
  <c r="H444" i="11"/>
  <c r="K444" i="11" s="1"/>
  <c r="H268" i="11"/>
  <c r="K268" i="11" s="1"/>
  <c r="H269" i="11"/>
  <c r="K269" i="11" s="1"/>
  <c r="H271" i="11"/>
  <c r="K271" i="11" s="1"/>
  <c r="H272" i="11"/>
  <c r="K272" i="11" s="1"/>
  <c r="M40" i="35" l="1"/>
  <c r="Q40" i="36" s="1"/>
  <c r="M270" i="35"/>
  <c r="Q270" i="36" s="1"/>
  <c r="M53" i="35"/>
  <c r="Q53" i="36" s="1"/>
  <c r="M60" i="35"/>
  <c r="Q60" i="36" s="1"/>
  <c r="M59" i="35"/>
  <c r="Q59" i="36" s="1"/>
  <c r="M56" i="35"/>
  <c r="Q56" i="36" s="1"/>
  <c r="M55" i="35"/>
  <c r="Q55" i="36" s="1"/>
  <c r="M343" i="35"/>
  <c r="Q343" i="36" s="1"/>
  <c r="M403" i="35"/>
  <c r="Q403" i="36" s="1"/>
  <c r="M36" i="35"/>
  <c r="Q36" i="36" s="1"/>
  <c r="M54" i="35"/>
  <c r="Q54" i="36" s="1"/>
  <c r="M407" i="35"/>
  <c r="Q407" i="36" s="1"/>
  <c r="M196" i="35"/>
  <c r="Q196" i="36" s="1"/>
  <c r="M38" i="35"/>
  <c r="Q38" i="36" s="1"/>
  <c r="M406" i="35"/>
  <c r="M58" i="35"/>
  <c r="Q58" i="36" s="1"/>
  <c r="M466" i="35"/>
  <c r="Q466" i="36" s="1"/>
  <c r="M122" i="35"/>
  <c r="Q122" i="36" s="1"/>
  <c r="M37" i="35"/>
  <c r="Q37" i="36" s="1"/>
  <c r="M404" i="35"/>
  <c r="Q404" i="36" s="1"/>
  <c r="L310" i="35"/>
  <c r="P310" i="36" s="1"/>
  <c r="O310" i="36"/>
  <c r="O236" i="36"/>
  <c r="L236" i="35"/>
  <c r="P236" i="36" s="1"/>
  <c r="O241" i="36"/>
  <c r="L241" i="35"/>
  <c r="P241" i="36" s="1"/>
  <c r="H293" i="35"/>
  <c r="K293" i="35" s="1"/>
  <c r="H281" i="35"/>
  <c r="K337" i="35"/>
  <c r="L319" i="36"/>
  <c r="M319" i="36" s="1"/>
  <c r="O392" i="36"/>
  <c r="L392" i="35"/>
  <c r="P392" i="36" s="1"/>
  <c r="O246" i="36"/>
  <c r="L246" i="35"/>
  <c r="P246" i="36" s="1"/>
  <c r="H200" i="36"/>
  <c r="H203" i="36"/>
  <c r="H201" i="36"/>
  <c r="H202" i="36"/>
  <c r="H204" i="36"/>
  <c r="K234" i="36"/>
  <c r="L234" i="36" s="1"/>
  <c r="M234" i="36" s="1"/>
  <c r="O170" i="36"/>
  <c r="L170" i="35"/>
  <c r="P170" i="36" s="1"/>
  <c r="O324" i="36"/>
  <c r="L324" i="35"/>
  <c r="P324" i="36" s="1"/>
  <c r="L254" i="36"/>
  <c r="M254" i="36" s="1"/>
  <c r="H21" i="35"/>
  <c r="K33" i="35"/>
  <c r="H131" i="36"/>
  <c r="H130" i="36"/>
  <c r="H127" i="36"/>
  <c r="H128" i="36"/>
  <c r="H129" i="36"/>
  <c r="K161" i="36"/>
  <c r="O113" i="36"/>
  <c r="L113" i="35"/>
  <c r="P113" i="36" s="1"/>
  <c r="H219" i="35"/>
  <c r="K219" i="35" s="1"/>
  <c r="H207" i="35"/>
  <c r="K264" i="35"/>
  <c r="O448" i="36"/>
  <c r="L448" i="35"/>
  <c r="P448" i="36" s="1"/>
  <c r="L398" i="36"/>
  <c r="M398" i="36" s="1"/>
  <c r="O272" i="36"/>
  <c r="L272" i="35"/>
  <c r="P272" i="36" s="1"/>
  <c r="L29" i="36"/>
  <c r="K10" i="36"/>
  <c r="K16" i="36"/>
  <c r="H372" i="36"/>
  <c r="K372" i="36" s="1"/>
  <c r="L372" i="36" s="1"/>
  <c r="M372" i="36" s="1"/>
  <c r="K353" i="36"/>
  <c r="L353" i="36" s="1"/>
  <c r="M353" i="36" s="1"/>
  <c r="O441" i="36"/>
  <c r="L441" i="35"/>
  <c r="P441" i="36" s="1"/>
  <c r="O94" i="36"/>
  <c r="L94" i="35"/>
  <c r="P94" i="36" s="1"/>
  <c r="O312" i="36"/>
  <c r="L312" i="35"/>
  <c r="P312" i="36" s="1"/>
  <c r="O238" i="36"/>
  <c r="L238" i="35"/>
  <c r="P238" i="36" s="1"/>
  <c r="O244" i="36"/>
  <c r="L244" i="35"/>
  <c r="P244" i="36" s="1"/>
  <c r="H292" i="36"/>
  <c r="K292" i="36" s="1"/>
  <c r="L292" i="36" s="1"/>
  <c r="M292" i="36" s="1"/>
  <c r="H280" i="36"/>
  <c r="K336" i="36"/>
  <c r="L336" i="36" s="1"/>
  <c r="M336" i="36" s="1"/>
  <c r="L393" i="36"/>
  <c r="M393" i="36" s="1"/>
  <c r="H20" i="35"/>
  <c r="K32" i="35"/>
  <c r="O391" i="36"/>
  <c r="L391" i="35"/>
  <c r="P391" i="36" s="1"/>
  <c r="O258" i="36"/>
  <c r="L258" i="35"/>
  <c r="P258" i="36" s="1"/>
  <c r="O327" i="36"/>
  <c r="L327" i="35"/>
  <c r="P327" i="36" s="1"/>
  <c r="L172" i="36"/>
  <c r="M172" i="36" s="1"/>
  <c r="O332" i="36"/>
  <c r="L332" i="35"/>
  <c r="P332" i="36" s="1"/>
  <c r="H135" i="35"/>
  <c r="H147" i="35"/>
  <c r="K147" i="35" s="1"/>
  <c r="K191" i="35"/>
  <c r="H218" i="35"/>
  <c r="K218" i="35" s="1"/>
  <c r="H206" i="35"/>
  <c r="K263" i="35"/>
  <c r="L446" i="35"/>
  <c r="P446" i="36" s="1"/>
  <c r="O446" i="36"/>
  <c r="H371" i="36"/>
  <c r="K371" i="36" s="1"/>
  <c r="L371" i="36" s="1"/>
  <c r="M371" i="36" s="1"/>
  <c r="K352" i="36"/>
  <c r="L352" i="36" s="1"/>
  <c r="M352" i="36" s="1"/>
  <c r="O268" i="36"/>
  <c r="L268" i="35"/>
  <c r="P268" i="36" s="1"/>
  <c r="L103" i="36"/>
  <c r="M103" i="36" s="1"/>
  <c r="O439" i="36"/>
  <c r="L439" i="35"/>
  <c r="P439" i="36" s="1"/>
  <c r="O97" i="36"/>
  <c r="L97" i="35"/>
  <c r="P97" i="36" s="1"/>
  <c r="O311" i="36"/>
  <c r="L311" i="35"/>
  <c r="P311" i="36" s="1"/>
  <c r="O235" i="36"/>
  <c r="L235" i="35"/>
  <c r="P235" i="36" s="1"/>
  <c r="O242" i="36"/>
  <c r="L242" i="35"/>
  <c r="P242" i="36" s="1"/>
  <c r="H294" i="36"/>
  <c r="K294" i="36" s="1"/>
  <c r="L294" i="36" s="1"/>
  <c r="M294" i="36" s="1"/>
  <c r="H282" i="36"/>
  <c r="K338" i="36"/>
  <c r="L338" i="36" s="1"/>
  <c r="M338" i="36" s="1"/>
  <c r="H350" i="35"/>
  <c r="H348" i="35"/>
  <c r="H351" i="35"/>
  <c r="H349" i="35"/>
  <c r="K376" i="35"/>
  <c r="O401" i="36"/>
  <c r="L401" i="35"/>
  <c r="P401" i="36" s="1"/>
  <c r="O389" i="36"/>
  <c r="L389" i="35"/>
  <c r="P389" i="36" s="1"/>
  <c r="O249" i="36"/>
  <c r="L249" i="35"/>
  <c r="P249" i="36" s="1"/>
  <c r="L314" i="36"/>
  <c r="M314" i="36" s="1"/>
  <c r="O255" i="36"/>
  <c r="L255" i="35"/>
  <c r="P255" i="36" s="1"/>
  <c r="O29" i="36"/>
  <c r="L29" i="35"/>
  <c r="M29" i="35" s="1"/>
  <c r="K10" i="35"/>
  <c r="O10" i="36" s="1"/>
  <c r="K16" i="35"/>
  <c r="O16" i="36" s="1"/>
  <c r="O381" i="36"/>
  <c r="L381" i="35"/>
  <c r="P381" i="36" s="1"/>
  <c r="O330" i="36"/>
  <c r="L330" i="35"/>
  <c r="P330" i="36" s="1"/>
  <c r="H145" i="35"/>
  <c r="K145" i="35" s="1"/>
  <c r="H133" i="35"/>
  <c r="K189" i="35"/>
  <c r="H221" i="35"/>
  <c r="K221" i="35" s="1"/>
  <c r="H209" i="35"/>
  <c r="K266" i="35"/>
  <c r="O269" i="36"/>
  <c r="L269" i="35"/>
  <c r="P269" i="36" s="1"/>
  <c r="O107" i="36"/>
  <c r="L107" i="35"/>
  <c r="P107" i="36" s="1"/>
  <c r="O95" i="36"/>
  <c r="L95" i="35"/>
  <c r="P95" i="36" s="1"/>
  <c r="H21" i="36"/>
  <c r="K33" i="36"/>
  <c r="H70" i="36"/>
  <c r="H80" i="36"/>
  <c r="K80" i="36" s="1"/>
  <c r="L80" i="36" s="1"/>
  <c r="M80" i="36" s="1"/>
  <c r="K116" i="36"/>
  <c r="L26" i="36"/>
  <c r="K7" i="36"/>
  <c r="K13" i="36"/>
  <c r="O239" i="36"/>
  <c r="L239" i="35"/>
  <c r="P239" i="36" s="1"/>
  <c r="H291" i="36"/>
  <c r="K291" i="36" s="1"/>
  <c r="L291" i="36" s="1"/>
  <c r="M291" i="36" s="1"/>
  <c r="H279" i="36"/>
  <c r="K335" i="36"/>
  <c r="H349" i="36"/>
  <c r="H350" i="36"/>
  <c r="H351" i="36"/>
  <c r="H348" i="36"/>
  <c r="K376" i="36"/>
  <c r="L376" i="36" s="1"/>
  <c r="M376" i="36" s="1"/>
  <c r="H374" i="35"/>
  <c r="K374" i="35" s="1"/>
  <c r="K355" i="35"/>
  <c r="H425" i="35"/>
  <c r="K425" i="35" s="1"/>
  <c r="H415" i="35"/>
  <c r="K461" i="35"/>
  <c r="O194" i="36"/>
  <c r="L194" i="35"/>
  <c r="P194" i="36" s="1"/>
  <c r="O259" i="36"/>
  <c r="L259" i="35"/>
  <c r="P259" i="36" s="1"/>
  <c r="O384" i="36"/>
  <c r="L384" i="35"/>
  <c r="P384" i="36" s="1"/>
  <c r="O333" i="36"/>
  <c r="L333" i="35"/>
  <c r="P333" i="36" s="1"/>
  <c r="H148" i="35"/>
  <c r="K148" i="35" s="1"/>
  <c r="H136" i="35"/>
  <c r="K192" i="35"/>
  <c r="H217" i="35"/>
  <c r="K217" i="35" s="1"/>
  <c r="H205" i="35"/>
  <c r="K262" i="35"/>
  <c r="O98" i="36"/>
  <c r="L98" i="35"/>
  <c r="P98" i="36" s="1"/>
  <c r="H22" i="36"/>
  <c r="K34" i="36"/>
  <c r="O451" i="36"/>
  <c r="L451" i="35"/>
  <c r="P451" i="36" s="1"/>
  <c r="O108" i="36"/>
  <c r="L108" i="35"/>
  <c r="P108" i="36" s="1"/>
  <c r="O124" i="36"/>
  <c r="L124" i="35"/>
  <c r="P124" i="36" s="1"/>
  <c r="L399" i="35"/>
  <c r="P399" i="36" s="1"/>
  <c r="O399" i="36"/>
  <c r="H79" i="35"/>
  <c r="K79" i="35" s="1"/>
  <c r="H69" i="35"/>
  <c r="K115" i="35"/>
  <c r="O379" i="36"/>
  <c r="L379" i="35"/>
  <c r="P379" i="36" s="1"/>
  <c r="H281" i="36"/>
  <c r="H293" i="36"/>
  <c r="K293" i="36" s="1"/>
  <c r="L293" i="36" s="1"/>
  <c r="M293" i="36" s="1"/>
  <c r="K337" i="36"/>
  <c r="L337" i="36" s="1"/>
  <c r="M337" i="36" s="1"/>
  <c r="O365" i="36"/>
  <c r="L365" i="35"/>
  <c r="P365" i="36" s="1"/>
  <c r="H423" i="35"/>
  <c r="K423" i="35" s="1"/>
  <c r="H413" i="35"/>
  <c r="K459" i="35"/>
  <c r="O195" i="36"/>
  <c r="L195" i="35"/>
  <c r="P195" i="36" s="1"/>
  <c r="H276" i="35"/>
  <c r="H278" i="35"/>
  <c r="H274" i="35"/>
  <c r="H277" i="35"/>
  <c r="H275" i="35"/>
  <c r="K308" i="35"/>
  <c r="O383" i="36"/>
  <c r="L383" i="35"/>
  <c r="P383" i="36" s="1"/>
  <c r="O26" i="36"/>
  <c r="L26" i="35"/>
  <c r="M26" i="35" s="1"/>
  <c r="K7" i="35"/>
  <c r="O7" i="36" s="1"/>
  <c r="K13" i="35"/>
  <c r="O13" i="36" s="1"/>
  <c r="O193" i="36"/>
  <c r="L193" i="35"/>
  <c r="P193" i="36" s="1"/>
  <c r="O331" i="36"/>
  <c r="L331" i="35"/>
  <c r="P331" i="36" s="1"/>
  <c r="H134" i="36"/>
  <c r="H146" i="36"/>
  <c r="K146" i="36" s="1"/>
  <c r="L146" i="36" s="1"/>
  <c r="M146" i="36" s="1"/>
  <c r="K190" i="36"/>
  <c r="L190" i="36" s="1"/>
  <c r="M190" i="36" s="1"/>
  <c r="L111" i="36"/>
  <c r="M111" i="36" s="1"/>
  <c r="L165" i="36"/>
  <c r="M165" i="36" s="1"/>
  <c r="H220" i="35"/>
  <c r="K220" i="35" s="1"/>
  <c r="H208" i="35"/>
  <c r="K265" i="35"/>
  <c r="O101" i="36"/>
  <c r="L101" i="35"/>
  <c r="P101" i="36" s="1"/>
  <c r="L271" i="36"/>
  <c r="M271" i="36" s="1"/>
  <c r="O452" i="36"/>
  <c r="L452" i="35"/>
  <c r="P452" i="36" s="1"/>
  <c r="O106" i="36"/>
  <c r="L106" i="35"/>
  <c r="P106" i="36" s="1"/>
  <c r="L30" i="36"/>
  <c r="K11" i="36"/>
  <c r="K17" i="36"/>
  <c r="O120" i="36"/>
  <c r="L120" i="35"/>
  <c r="P120" i="36" s="1"/>
  <c r="O363" i="36"/>
  <c r="L363" i="35"/>
  <c r="P363" i="36" s="1"/>
  <c r="H82" i="35"/>
  <c r="K82" i="35" s="1"/>
  <c r="H72" i="35"/>
  <c r="K118" i="35"/>
  <c r="O377" i="36"/>
  <c r="L377" i="35"/>
  <c r="P377" i="36" s="1"/>
  <c r="O237" i="36"/>
  <c r="L237" i="35"/>
  <c r="P237" i="36" s="1"/>
  <c r="H295" i="36"/>
  <c r="K295" i="36" s="1"/>
  <c r="L295" i="36" s="1"/>
  <c r="M295" i="36" s="1"/>
  <c r="H283" i="36"/>
  <c r="K339" i="36"/>
  <c r="O322" i="36"/>
  <c r="L322" i="35"/>
  <c r="P322" i="36" s="1"/>
  <c r="H426" i="35"/>
  <c r="K426" i="35" s="1"/>
  <c r="H416" i="35"/>
  <c r="K462" i="35"/>
  <c r="O315" i="36"/>
  <c r="L315" i="35"/>
  <c r="P315" i="36" s="1"/>
  <c r="O257" i="36"/>
  <c r="L257" i="35"/>
  <c r="P257" i="36" s="1"/>
  <c r="H22" i="35"/>
  <c r="K34" i="35"/>
  <c r="H275" i="36"/>
  <c r="H278" i="36"/>
  <c r="H274" i="36"/>
  <c r="H277" i="36"/>
  <c r="H276" i="36"/>
  <c r="K308" i="36"/>
  <c r="L308" i="36" s="1"/>
  <c r="M308" i="36" s="1"/>
  <c r="O382" i="36"/>
  <c r="L382" i="35"/>
  <c r="P382" i="36" s="1"/>
  <c r="O329" i="36"/>
  <c r="L329" i="35"/>
  <c r="P329" i="36" s="1"/>
  <c r="H146" i="35"/>
  <c r="K146" i="35" s="1"/>
  <c r="H134" i="35"/>
  <c r="K190" i="35"/>
  <c r="O30" i="36"/>
  <c r="L30" i="35"/>
  <c r="M30" i="35" s="1"/>
  <c r="K11" i="35"/>
  <c r="O11" i="36" s="1"/>
  <c r="K17" i="35"/>
  <c r="O17" i="36" s="1"/>
  <c r="O267" i="36"/>
  <c r="L267" i="35"/>
  <c r="P267" i="36" s="1"/>
  <c r="O177" i="36"/>
  <c r="L177" i="35"/>
  <c r="P177" i="36" s="1"/>
  <c r="M51" i="35"/>
  <c r="Q51" i="36" s="1"/>
  <c r="H218" i="36"/>
  <c r="K218" i="36" s="1"/>
  <c r="L218" i="36" s="1"/>
  <c r="M218" i="36" s="1"/>
  <c r="H206" i="36"/>
  <c r="K263" i="36"/>
  <c r="L263" i="36" s="1"/>
  <c r="M263" i="36" s="1"/>
  <c r="O99" i="36"/>
  <c r="L99" i="35"/>
  <c r="P99" i="36" s="1"/>
  <c r="H374" i="36"/>
  <c r="K374" i="36" s="1"/>
  <c r="K355" i="36"/>
  <c r="L355" i="36" s="1"/>
  <c r="M355" i="36" s="1"/>
  <c r="L450" i="35"/>
  <c r="P450" i="36" s="1"/>
  <c r="O450" i="36"/>
  <c r="O109" i="36"/>
  <c r="L109" i="35"/>
  <c r="P109" i="36" s="1"/>
  <c r="O123" i="36"/>
  <c r="L123" i="35"/>
  <c r="P123" i="36" s="1"/>
  <c r="M39" i="35"/>
  <c r="Q39" i="36" s="1"/>
  <c r="H372" i="35"/>
  <c r="K372" i="35" s="1"/>
  <c r="K353" i="35"/>
  <c r="H80" i="35"/>
  <c r="K80" i="35" s="1"/>
  <c r="H70" i="35"/>
  <c r="K116" i="35"/>
  <c r="H19" i="36"/>
  <c r="K31" i="36"/>
  <c r="O380" i="36"/>
  <c r="L380" i="35"/>
  <c r="P380" i="36" s="1"/>
  <c r="O393" i="36"/>
  <c r="L393" i="35"/>
  <c r="P393" i="36" s="1"/>
  <c r="O319" i="36"/>
  <c r="L319" i="35"/>
  <c r="P319" i="36" s="1"/>
  <c r="H424" i="35"/>
  <c r="K424" i="35" s="1"/>
  <c r="H414" i="35"/>
  <c r="K460" i="35"/>
  <c r="O318" i="36"/>
  <c r="L318" i="35"/>
  <c r="P318" i="36" s="1"/>
  <c r="O198" i="36"/>
  <c r="L198" i="35"/>
  <c r="P198" i="36" s="1"/>
  <c r="O184" i="36"/>
  <c r="L184" i="35"/>
  <c r="P184" i="36" s="1"/>
  <c r="O340" i="36"/>
  <c r="L340" i="35"/>
  <c r="P340" i="36" s="1"/>
  <c r="O341" i="36"/>
  <c r="L341" i="35"/>
  <c r="P341" i="36" s="1"/>
  <c r="L175" i="35"/>
  <c r="P175" i="36" s="1"/>
  <c r="O175" i="36"/>
  <c r="O251" i="36"/>
  <c r="L251" i="35"/>
  <c r="P251" i="36" s="1"/>
  <c r="H144" i="35"/>
  <c r="K144" i="35" s="1"/>
  <c r="H132" i="35"/>
  <c r="K188" i="35"/>
  <c r="O180" i="36"/>
  <c r="L180" i="35"/>
  <c r="P180" i="36" s="1"/>
  <c r="H220" i="36"/>
  <c r="K220" i="36" s="1"/>
  <c r="L220" i="36" s="1"/>
  <c r="M220" i="36" s="1"/>
  <c r="H208" i="36"/>
  <c r="K265" i="36"/>
  <c r="O100" i="36"/>
  <c r="L100" i="35"/>
  <c r="P100" i="36" s="1"/>
  <c r="O453" i="36"/>
  <c r="L453" i="35"/>
  <c r="P453" i="36" s="1"/>
  <c r="O119" i="36"/>
  <c r="L119" i="35"/>
  <c r="P119" i="36" s="1"/>
  <c r="O121" i="36"/>
  <c r="L121" i="35"/>
  <c r="P121" i="36" s="1"/>
  <c r="O444" i="36"/>
  <c r="L444" i="35"/>
  <c r="P444" i="36" s="1"/>
  <c r="H71" i="35"/>
  <c r="H81" i="35"/>
  <c r="K81" i="35" s="1"/>
  <c r="K117" i="35"/>
  <c r="O398" i="36"/>
  <c r="L398" i="35"/>
  <c r="P398" i="36" s="1"/>
  <c r="O378" i="36"/>
  <c r="L378" i="35"/>
  <c r="P378" i="36" s="1"/>
  <c r="O395" i="36"/>
  <c r="L395" i="35"/>
  <c r="P395" i="36" s="1"/>
  <c r="O323" i="36"/>
  <c r="L323" i="35"/>
  <c r="P323" i="36" s="1"/>
  <c r="H423" i="36"/>
  <c r="K423" i="36" s="1"/>
  <c r="L423" i="36" s="1"/>
  <c r="M423" i="36" s="1"/>
  <c r="H413" i="36"/>
  <c r="K459" i="36"/>
  <c r="L459" i="36" s="1"/>
  <c r="M459" i="36" s="1"/>
  <c r="O316" i="36"/>
  <c r="L316" i="35"/>
  <c r="P316" i="36" s="1"/>
  <c r="O197" i="36"/>
  <c r="L197" i="35"/>
  <c r="P197" i="36" s="1"/>
  <c r="O256" i="36"/>
  <c r="L256" i="35"/>
  <c r="P256" i="36" s="1"/>
  <c r="O182" i="36"/>
  <c r="L182" i="35"/>
  <c r="P182" i="36" s="1"/>
  <c r="O344" i="36"/>
  <c r="L344" i="35"/>
  <c r="P344" i="36" s="1"/>
  <c r="H19" i="35"/>
  <c r="K31" i="35"/>
  <c r="O173" i="36"/>
  <c r="L173" i="35"/>
  <c r="P173" i="36" s="1"/>
  <c r="O254" i="36"/>
  <c r="L254" i="35"/>
  <c r="P254" i="36" s="1"/>
  <c r="L331" i="36"/>
  <c r="M331" i="36" s="1"/>
  <c r="H144" i="36"/>
  <c r="K144" i="36" s="1"/>
  <c r="L144" i="36" s="1"/>
  <c r="M144" i="36" s="1"/>
  <c r="H132" i="36"/>
  <c r="K188" i="36"/>
  <c r="L188" i="36" s="1"/>
  <c r="M188" i="36" s="1"/>
  <c r="O166" i="36"/>
  <c r="L166" i="35"/>
  <c r="P166" i="36" s="1"/>
  <c r="O178" i="36"/>
  <c r="L178" i="35"/>
  <c r="P178" i="36" s="1"/>
  <c r="H217" i="36"/>
  <c r="K217" i="36" s="1"/>
  <c r="L217" i="36" s="1"/>
  <c r="M217" i="36" s="1"/>
  <c r="H205" i="36"/>
  <c r="K262" i="36"/>
  <c r="L262" i="36" s="1"/>
  <c r="M262" i="36" s="1"/>
  <c r="H412" i="35"/>
  <c r="H409" i="35"/>
  <c r="H410" i="35"/>
  <c r="H411" i="35"/>
  <c r="K437" i="35"/>
  <c r="O105" i="36"/>
  <c r="L105" i="35"/>
  <c r="P105" i="36" s="1"/>
  <c r="L27" i="36"/>
  <c r="K8" i="36"/>
  <c r="K14" i="36"/>
  <c r="H23" i="36"/>
  <c r="K35" i="36"/>
  <c r="O455" i="36"/>
  <c r="L455" i="35"/>
  <c r="P455" i="36" s="1"/>
  <c r="O442" i="36"/>
  <c r="L442" i="35"/>
  <c r="P442" i="36" s="1"/>
  <c r="H82" i="36"/>
  <c r="K82" i="36" s="1"/>
  <c r="L82" i="36" s="1"/>
  <c r="M82" i="36" s="1"/>
  <c r="H72" i="36"/>
  <c r="K118" i="36"/>
  <c r="L118" i="36" s="1"/>
  <c r="M118" i="36" s="1"/>
  <c r="H371" i="35"/>
  <c r="K371" i="35" s="1"/>
  <c r="K352" i="35"/>
  <c r="L467" i="35"/>
  <c r="P467" i="36" s="1"/>
  <c r="O467" i="36"/>
  <c r="H295" i="35"/>
  <c r="K295" i="35" s="1"/>
  <c r="H283" i="35"/>
  <c r="K339" i="35"/>
  <c r="O396" i="36"/>
  <c r="L396" i="35"/>
  <c r="P396" i="36" s="1"/>
  <c r="O321" i="36"/>
  <c r="L321" i="35"/>
  <c r="P321" i="36" s="1"/>
  <c r="H425" i="36"/>
  <c r="K425" i="36" s="1"/>
  <c r="L425" i="36" s="1"/>
  <c r="M425" i="36" s="1"/>
  <c r="H415" i="36"/>
  <c r="K461" i="36"/>
  <c r="L461" i="36" s="1"/>
  <c r="M461" i="36" s="1"/>
  <c r="O245" i="36"/>
  <c r="L245" i="35"/>
  <c r="P245" i="36" s="1"/>
  <c r="L314" i="35"/>
  <c r="P314" i="36" s="1"/>
  <c r="O314" i="36"/>
  <c r="O185" i="36"/>
  <c r="L185" i="35"/>
  <c r="P185" i="36" s="1"/>
  <c r="O168" i="36"/>
  <c r="L168" i="35"/>
  <c r="P168" i="36" s="1"/>
  <c r="L342" i="35"/>
  <c r="P342" i="36" s="1"/>
  <c r="O342" i="36"/>
  <c r="L382" i="36"/>
  <c r="M382" i="36" s="1"/>
  <c r="O326" i="36"/>
  <c r="L326" i="35"/>
  <c r="P326" i="36" s="1"/>
  <c r="O176" i="36"/>
  <c r="L176" i="35"/>
  <c r="P176" i="36" s="1"/>
  <c r="O252" i="36"/>
  <c r="L252" i="35"/>
  <c r="P252" i="36" s="1"/>
  <c r="H148" i="36"/>
  <c r="K148" i="36" s="1"/>
  <c r="L148" i="36" s="1"/>
  <c r="M148" i="36" s="1"/>
  <c r="H136" i="36"/>
  <c r="K192" i="36"/>
  <c r="L192" i="36" s="1"/>
  <c r="M192" i="36" s="1"/>
  <c r="H23" i="35"/>
  <c r="K35" i="35"/>
  <c r="O164" i="36"/>
  <c r="L164" i="35"/>
  <c r="P164" i="36" s="1"/>
  <c r="O181" i="36"/>
  <c r="L181" i="35"/>
  <c r="P181" i="36" s="1"/>
  <c r="H373" i="36"/>
  <c r="K373" i="36" s="1"/>
  <c r="L373" i="36" s="1"/>
  <c r="M373" i="36" s="1"/>
  <c r="K354" i="36"/>
  <c r="L354" i="36" s="1"/>
  <c r="M354" i="36" s="1"/>
  <c r="H219" i="36"/>
  <c r="K219" i="36" s="1"/>
  <c r="L219" i="36" s="1"/>
  <c r="M219" i="36" s="1"/>
  <c r="H207" i="36"/>
  <c r="K264" i="36"/>
  <c r="L264" i="36" s="1"/>
  <c r="M264" i="36" s="1"/>
  <c r="H410" i="36"/>
  <c r="H411" i="36"/>
  <c r="H412" i="36"/>
  <c r="H409" i="36"/>
  <c r="K437" i="36"/>
  <c r="L437" i="36" s="1"/>
  <c r="M437" i="36" s="1"/>
  <c r="O103" i="36"/>
  <c r="L103" i="35"/>
  <c r="P103" i="36" s="1"/>
  <c r="L107" i="36"/>
  <c r="M107" i="36" s="1"/>
  <c r="O385" i="36"/>
  <c r="L385" i="35"/>
  <c r="P385" i="36" s="1"/>
  <c r="O400" i="36"/>
  <c r="L400" i="35"/>
  <c r="P400" i="36" s="1"/>
  <c r="O456" i="36"/>
  <c r="L456" i="35"/>
  <c r="P456" i="36" s="1"/>
  <c r="L121" i="36"/>
  <c r="M121" i="36" s="1"/>
  <c r="O445" i="36"/>
  <c r="L445" i="35"/>
  <c r="P445" i="36" s="1"/>
  <c r="H79" i="36"/>
  <c r="K79" i="36" s="1"/>
  <c r="L79" i="36" s="1"/>
  <c r="M79" i="36" s="1"/>
  <c r="H69" i="36"/>
  <c r="K115" i="36"/>
  <c r="L115" i="36" s="1"/>
  <c r="M115" i="36" s="1"/>
  <c r="O362" i="36"/>
  <c r="L362" i="35"/>
  <c r="P362" i="36" s="1"/>
  <c r="L465" i="35"/>
  <c r="P465" i="36" s="1"/>
  <c r="O465" i="36"/>
  <c r="H292" i="35"/>
  <c r="K292" i="35" s="1"/>
  <c r="H280" i="35"/>
  <c r="K336" i="35"/>
  <c r="O394" i="36"/>
  <c r="L394" i="35"/>
  <c r="P394" i="36" s="1"/>
  <c r="O320" i="36"/>
  <c r="L320" i="35"/>
  <c r="P320" i="36" s="1"/>
  <c r="H424" i="36"/>
  <c r="K424" i="36" s="1"/>
  <c r="L424" i="36" s="1"/>
  <c r="M424" i="36" s="1"/>
  <c r="H414" i="36"/>
  <c r="K460" i="36"/>
  <c r="L460" i="36" s="1"/>
  <c r="M460" i="36" s="1"/>
  <c r="O247" i="36"/>
  <c r="L247" i="35"/>
  <c r="P247" i="36" s="1"/>
  <c r="O183" i="36"/>
  <c r="L183" i="35"/>
  <c r="P183" i="36" s="1"/>
  <c r="O171" i="36"/>
  <c r="L171" i="35"/>
  <c r="P171" i="36" s="1"/>
  <c r="O174" i="36"/>
  <c r="L174" i="35"/>
  <c r="P174" i="36" s="1"/>
  <c r="O250" i="36"/>
  <c r="L250" i="35"/>
  <c r="P250" i="36" s="1"/>
  <c r="O28" i="36"/>
  <c r="L28" i="35"/>
  <c r="M28" i="35" s="1"/>
  <c r="K9" i="35"/>
  <c r="O9" i="36" s="1"/>
  <c r="K15" i="35"/>
  <c r="O15" i="36" s="1"/>
  <c r="H145" i="36"/>
  <c r="K145" i="36" s="1"/>
  <c r="L145" i="36" s="1"/>
  <c r="M145" i="36" s="1"/>
  <c r="H133" i="36"/>
  <c r="K189" i="36"/>
  <c r="L189" i="36" s="1"/>
  <c r="M189" i="36" s="1"/>
  <c r="O112" i="36"/>
  <c r="L112" i="35"/>
  <c r="P112" i="36" s="1"/>
  <c r="O162" i="36"/>
  <c r="L162" i="35"/>
  <c r="P162" i="36" s="1"/>
  <c r="O179" i="36"/>
  <c r="L179" i="35"/>
  <c r="P179" i="36" s="1"/>
  <c r="H209" i="36"/>
  <c r="H221" i="36"/>
  <c r="K221" i="36" s="1"/>
  <c r="L221" i="36" s="1"/>
  <c r="M221" i="36" s="1"/>
  <c r="K266" i="36"/>
  <c r="L266" i="36" s="1"/>
  <c r="M266" i="36" s="1"/>
  <c r="O102" i="36"/>
  <c r="L102" i="35"/>
  <c r="P102" i="36" s="1"/>
  <c r="O388" i="36"/>
  <c r="L388" i="35"/>
  <c r="P388" i="36" s="1"/>
  <c r="O364" i="36"/>
  <c r="L364" i="35"/>
  <c r="P364" i="36" s="1"/>
  <c r="O454" i="36"/>
  <c r="L454" i="35"/>
  <c r="P454" i="36" s="1"/>
  <c r="O443" i="36"/>
  <c r="L443" i="35"/>
  <c r="P443" i="36" s="1"/>
  <c r="H81" i="36"/>
  <c r="K81" i="36" s="1"/>
  <c r="L81" i="36" s="1"/>
  <c r="M81" i="36" s="1"/>
  <c r="H71" i="36"/>
  <c r="K117" i="36"/>
  <c r="L117" i="36" s="1"/>
  <c r="M117" i="36" s="1"/>
  <c r="O309" i="36"/>
  <c r="L309" i="35"/>
  <c r="P309" i="36" s="1"/>
  <c r="O464" i="36"/>
  <c r="L464" i="35"/>
  <c r="P464" i="36" s="1"/>
  <c r="L380" i="36"/>
  <c r="M380" i="36" s="1"/>
  <c r="O240" i="36"/>
  <c r="L240" i="35"/>
  <c r="P240" i="36" s="1"/>
  <c r="H291" i="35"/>
  <c r="K291" i="35" s="1"/>
  <c r="H279" i="35"/>
  <c r="K335" i="35"/>
  <c r="O27" i="36"/>
  <c r="L27" i="35"/>
  <c r="K8" i="35"/>
  <c r="O8" i="36" s="1"/>
  <c r="K14" i="35"/>
  <c r="O14" i="36" s="1"/>
  <c r="H426" i="36"/>
  <c r="K426" i="36" s="1"/>
  <c r="L426" i="36" s="1"/>
  <c r="M426" i="36" s="1"/>
  <c r="H416" i="36"/>
  <c r="K462" i="36"/>
  <c r="L462" i="36" s="1"/>
  <c r="M462" i="36" s="1"/>
  <c r="O317" i="36"/>
  <c r="L317" i="35"/>
  <c r="P317" i="36" s="1"/>
  <c r="O186" i="36"/>
  <c r="L186" i="35"/>
  <c r="P186" i="36" s="1"/>
  <c r="O169" i="36"/>
  <c r="L169" i="35"/>
  <c r="P169" i="36" s="1"/>
  <c r="O345" i="36"/>
  <c r="L345" i="35"/>
  <c r="P345" i="36" s="1"/>
  <c r="M402" i="35"/>
  <c r="Q402" i="36" s="1"/>
  <c r="O325" i="36"/>
  <c r="L325" i="35"/>
  <c r="P325" i="36" s="1"/>
  <c r="L176" i="36"/>
  <c r="M176" i="36" s="1"/>
  <c r="O253" i="36"/>
  <c r="L253" i="35"/>
  <c r="P253" i="36" s="1"/>
  <c r="H135" i="36"/>
  <c r="H147" i="36"/>
  <c r="K147" i="36" s="1"/>
  <c r="L147" i="36" s="1"/>
  <c r="M147" i="36" s="1"/>
  <c r="K191" i="36"/>
  <c r="L191" i="36" s="1"/>
  <c r="M191" i="36" s="1"/>
  <c r="O110" i="36"/>
  <c r="L110" i="35"/>
  <c r="P110" i="36" s="1"/>
  <c r="O165" i="36"/>
  <c r="L165" i="35"/>
  <c r="P165" i="36" s="1"/>
  <c r="H65" i="35"/>
  <c r="H68" i="35"/>
  <c r="H67" i="35"/>
  <c r="H66" i="35"/>
  <c r="K93" i="35"/>
  <c r="O447" i="36"/>
  <c r="L447" i="35"/>
  <c r="P447" i="36" s="1"/>
  <c r="O104" i="36"/>
  <c r="L104" i="35"/>
  <c r="P104" i="36" s="1"/>
  <c r="H20" i="36"/>
  <c r="K32" i="36"/>
  <c r="L438" i="35"/>
  <c r="P438" i="36" s="1"/>
  <c r="O438" i="36"/>
  <c r="O386" i="36"/>
  <c r="L386" i="35"/>
  <c r="P386" i="36" s="1"/>
  <c r="H373" i="35"/>
  <c r="K373" i="35" s="1"/>
  <c r="K354" i="35"/>
  <c r="O457" i="36"/>
  <c r="L457" i="35"/>
  <c r="P457" i="36" s="1"/>
  <c r="O463" i="36"/>
  <c r="L463" i="35"/>
  <c r="P463" i="36" s="1"/>
  <c r="O313" i="36"/>
  <c r="L313" i="35"/>
  <c r="P313" i="36" s="1"/>
  <c r="O468" i="36"/>
  <c r="L468" i="35"/>
  <c r="P468" i="36" s="1"/>
  <c r="O243" i="36"/>
  <c r="L243" i="35"/>
  <c r="P243" i="36" s="1"/>
  <c r="H294" i="35"/>
  <c r="K294" i="35" s="1"/>
  <c r="H282" i="35"/>
  <c r="K338" i="35"/>
  <c r="L396" i="36"/>
  <c r="M396" i="36" s="1"/>
  <c r="O390" i="36"/>
  <c r="L390" i="35"/>
  <c r="P390" i="36" s="1"/>
  <c r="O248" i="36"/>
  <c r="L248" i="35"/>
  <c r="P248" i="36" s="1"/>
  <c r="H200" i="35"/>
  <c r="H201" i="35"/>
  <c r="H202" i="35"/>
  <c r="H203" i="35"/>
  <c r="H204" i="35"/>
  <c r="K234" i="35"/>
  <c r="M52" i="35"/>
  <c r="Q52" i="36" s="1"/>
  <c r="O167" i="36"/>
  <c r="L167" i="35"/>
  <c r="P167" i="36" s="1"/>
  <c r="O328" i="36"/>
  <c r="L328" i="35"/>
  <c r="P328" i="36" s="1"/>
  <c r="O172" i="36"/>
  <c r="L172" i="35"/>
  <c r="P172" i="36" s="1"/>
  <c r="H129" i="35"/>
  <c r="H128" i="35"/>
  <c r="H127" i="35"/>
  <c r="H130" i="35"/>
  <c r="H131" i="35"/>
  <c r="K161" i="35"/>
  <c r="M57" i="35"/>
  <c r="Q57" i="36" s="1"/>
  <c r="O111" i="36"/>
  <c r="L111" i="35"/>
  <c r="P111" i="36" s="1"/>
  <c r="O163" i="36"/>
  <c r="L163" i="35"/>
  <c r="H65" i="36"/>
  <c r="H66" i="36"/>
  <c r="H68" i="36"/>
  <c r="H67" i="36"/>
  <c r="K93" i="36"/>
  <c r="L93" i="36" s="1"/>
  <c r="M93" i="36" s="1"/>
  <c r="O449" i="36"/>
  <c r="L449" i="35"/>
  <c r="P449" i="36" s="1"/>
  <c r="O271" i="36"/>
  <c r="L271" i="35"/>
  <c r="P271" i="36" s="1"/>
  <c r="O440" i="36"/>
  <c r="L440" i="35"/>
  <c r="P440" i="36" s="1"/>
  <c r="L387" i="35"/>
  <c r="P387" i="36" s="1"/>
  <c r="O387" i="36"/>
  <c r="O96" i="36"/>
  <c r="L96" i="35"/>
  <c r="P96" i="36" s="1"/>
  <c r="L28" i="36"/>
  <c r="K9" i="36"/>
  <c r="K15" i="36"/>
  <c r="H410" i="11"/>
  <c r="H411" i="11"/>
  <c r="H412" i="11"/>
  <c r="H409" i="11"/>
  <c r="H348" i="11"/>
  <c r="H349" i="11"/>
  <c r="H350" i="11"/>
  <c r="H351" i="11"/>
  <c r="H277" i="11"/>
  <c r="H278" i="11"/>
  <c r="H274" i="11"/>
  <c r="H275" i="11"/>
  <c r="H276" i="11"/>
  <c r="H130" i="11"/>
  <c r="H131" i="11"/>
  <c r="H129" i="11"/>
  <c r="H128" i="11"/>
  <c r="H127" i="11"/>
  <c r="H201" i="11"/>
  <c r="H202" i="11"/>
  <c r="H200" i="11"/>
  <c r="H203" i="11"/>
  <c r="H204" i="11"/>
  <c r="K93" i="11"/>
  <c r="L93" i="11" s="1"/>
  <c r="M93" i="11" s="1"/>
  <c r="H65" i="11"/>
  <c r="H68" i="11"/>
  <c r="H67" i="11"/>
  <c r="H66" i="11"/>
  <c r="K97" i="11"/>
  <c r="L97" i="11" s="1"/>
  <c r="M97" i="11" s="1"/>
  <c r="K94" i="11"/>
  <c r="L94" i="11" s="1"/>
  <c r="M94" i="11" s="1"/>
  <c r="K95" i="11"/>
  <c r="L95" i="11" s="1"/>
  <c r="M95" i="11" s="1"/>
  <c r="K96" i="11"/>
  <c r="L96" i="11" s="1"/>
  <c r="M96" i="11" s="1"/>
  <c r="L268" i="11"/>
  <c r="M268" i="11" s="1"/>
  <c r="K526" i="11"/>
  <c r="H545" i="11"/>
  <c r="H554" i="11"/>
  <c r="H536" i="11"/>
  <c r="L251" i="11"/>
  <c r="M251" i="11" s="1"/>
  <c r="L26" i="11"/>
  <c r="M26" i="11" s="1"/>
  <c r="K7" i="11"/>
  <c r="K13" i="11"/>
  <c r="L899" i="11"/>
  <c r="M899" i="11" s="1"/>
  <c r="L311" i="11"/>
  <c r="M311" i="11" s="1"/>
  <c r="L172" i="11"/>
  <c r="M172" i="11" s="1"/>
  <c r="L173" i="11"/>
  <c r="M173" i="11" s="1"/>
  <c r="K353" i="11"/>
  <c r="H372" i="11"/>
  <c r="L321" i="11"/>
  <c r="M321" i="11" s="1"/>
  <c r="L236" i="11"/>
  <c r="M236" i="11" s="1"/>
  <c r="L449" i="11"/>
  <c r="M449" i="11" s="1"/>
  <c r="H136" i="11"/>
  <c r="H148" i="11"/>
  <c r="K192" i="11"/>
  <c r="L259" i="11"/>
  <c r="M259" i="11" s="1"/>
  <c r="L124" i="11"/>
  <c r="M124" i="11" s="1"/>
  <c r="K713" i="11"/>
  <c r="H218" i="11"/>
  <c r="H206" i="11"/>
  <c r="K263" i="11"/>
  <c r="L582" i="11"/>
  <c r="M582" i="11" s="1"/>
  <c r="L393" i="11"/>
  <c r="M393" i="11" s="1"/>
  <c r="L395" i="11"/>
  <c r="M395" i="11" s="1"/>
  <c r="H936" i="11"/>
  <c r="K916" i="11"/>
  <c r="H927" i="11"/>
  <c r="H945" i="11"/>
  <c r="K32" i="11"/>
  <c r="H20" i="11"/>
  <c r="H414" i="11"/>
  <c r="H424" i="11"/>
  <c r="K460" i="11"/>
  <c r="L387" i="11"/>
  <c r="M387" i="11" s="1"/>
  <c r="L377" i="11"/>
  <c r="M377" i="11" s="1"/>
  <c r="H853" i="11"/>
  <c r="H862" i="11"/>
  <c r="K843" i="11"/>
  <c r="H871" i="11"/>
  <c r="L665" i="11"/>
  <c r="M665" i="11" s="1"/>
  <c r="L399" i="11"/>
  <c r="M399" i="11" s="1"/>
  <c r="H776" i="11"/>
  <c r="H787" i="11"/>
  <c r="K764" i="11"/>
  <c r="H798" i="11"/>
  <c r="L320" i="11"/>
  <c r="M320" i="11" s="1"/>
  <c r="L322" i="11"/>
  <c r="M322" i="11" s="1"/>
  <c r="L197" i="11"/>
  <c r="M197" i="11" s="1"/>
  <c r="L166" i="11"/>
  <c r="M166" i="11" s="1"/>
  <c r="L235" i="11"/>
  <c r="M235" i="11" s="1"/>
  <c r="H147" i="11"/>
  <c r="H135" i="11"/>
  <c r="K191" i="11"/>
  <c r="L258" i="11"/>
  <c r="M258" i="11" s="1"/>
  <c r="H637" i="11"/>
  <c r="H609" i="11"/>
  <c r="K597" i="11"/>
  <c r="K691" i="11"/>
  <c r="H21" i="11"/>
  <c r="K33" i="11"/>
  <c r="L902" i="11"/>
  <c r="M902" i="11" s="1"/>
  <c r="L467" i="11"/>
  <c r="M467" i="11" s="1"/>
  <c r="L972" i="11"/>
  <c r="M972" i="11" s="1"/>
  <c r="L832" i="11"/>
  <c r="M832" i="11" s="1"/>
  <c r="L378" i="11"/>
  <c r="M378" i="11" s="1"/>
  <c r="K598" i="11"/>
  <c r="H610" i="11"/>
  <c r="H638" i="11"/>
  <c r="L175" i="11"/>
  <c r="M175" i="11" s="1"/>
  <c r="L390" i="11"/>
  <c r="M390" i="11" s="1"/>
  <c r="K363" i="11"/>
  <c r="L831" i="11"/>
  <c r="M831" i="11" s="1"/>
  <c r="L162" i="11"/>
  <c r="M162" i="11" s="1"/>
  <c r="K234" i="11"/>
  <c r="L327" i="11"/>
  <c r="M327" i="11" s="1"/>
  <c r="L829" i="11"/>
  <c r="M829" i="11" s="1"/>
  <c r="L255" i="11"/>
  <c r="M255" i="11" s="1"/>
  <c r="L828" i="11"/>
  <c r="M828" i="11" s="1"/>
  <c r="L971" i="11"/>
  <c r="M971" i="11" s="1"/>
  <c r="L178" i="11"/>
  <c r="M178" i="11" s="1"/>
  <c r="L179" i="11"/>
  <c r="M179" i="11" s="1"/>
  <c r="L246" i="11"/>
  <c r="M246" i="11" s="1"/>
  <c r="L267" i="11"/>
  <c r="M267" i="11" s="1"/>
  <c r="L664" i="11"/>
  <c r="M664" i="11" s="1"/>
  <c r="K702" i="11"/>
  <c r="H221" i="11"/>
  <c r="K266" i="11"/>
  <c r="H209" i="11"/>
  <c r="K34" i="11"/>
  <c r="H22" i="11"/>
  <c r="L384" i="11"/>
  <c r="M384" i="11" s="1"/>
  <c r="H874" i="11"/>
  <c r="H865" i="11"/>
  <c r="H856" i="11"/>
  <c r="K846" i="11"/>
  <c r="L398" i="11"/>
  <c r="M398" i="11" s="1"/>
  <c r="K765" i="11"/>
  <c r="H788" i="11"/>
  <c r="H799" i="11"/>
  <c r="H777" i="11"/>
  <c r="L186" i="11"/>
  <c r="M186" i="11" s="1"/>
  <c r="L176" i="11"/>
  <c r="M176" i="11" s="1"/>
  <c r="L198" i="11"/>
  <c r="M198" i="11" s="1"/>
  <c r="L317" i="11"/>
  <c r="M317" i="11" s="1"/>
  <c r="L193" i="11"/>
  <c r="M193" i="11" s="1"/>
  <c r="L119" i="11"/>
  <c r="M119" i="11" s="1"/>
  <c r="K190" i="11"/>
  <c r="H134" i="11"/>
  <c r="H146" i="11"/>
  <c r="H774" i="11"/>
  <c r="H796" i="11"/>
  <c r="H785" i="11"/>
  <c r="K762" i="11"/>
  <c r="H795" i="11"/>
  <c r="H773" i="11"/>
  <c r="H784" i="11"/>
  <c r="K761" i="11"/>
  <c r="K915" i="11"/>
  <c r="H926" i="11"/>
  <c r="H944" i="11"/>
  <c r="H935" i="11"/>
  <c r="L120" i="11"/>
  <c r="M120" i="11" s="1"/>
  <c r="L247" i="11"/>
  <c r="M247" i="11" s="1"/>
  <c r="H79" i="11"/>
  <c r="K115" i="11"/>
  <c r="H69" i="11"/>
  <c r="H608" i="11"/>
  <c r="H636" i="11"/>
  <c r="K596" i="11"/>
  <c r="L440" i="11"/>
  <c r="M440" i="11" s="1"/>
  <c r="L242" i="11"/>
  <c r="M242" i="11" s="1"/>
  <c r="L272" i="11"/>
  <c r="M272" i="11" s="1"/>
  <c r="K8" i="11"/>
  <c r="L27" i="11"/>
  <c r="L8" i="11" s="1"/>
  <c r="K14" i="11"/>
  <c r="H371" i="11"/>
  <c r="K352" i="11"/>
  <c r="L401" i="11"/>
  <c r="M401" i="11" s="1"/>
  <c r="L391" i="11"/>
  <c r="M391" i="11" s="1"/>
  <c r="L318" i="11"/>
  <c r="M318" i="11" s="1"/>
  <c r="L164" i="11"/>
  <c r="M164" i="11" s="1"/>
  <c r="L169" i="11"/>
  <c r="M169" i="11" s="1"/>
  <c r="H925" i="11"/>
  <c r="H934" i="11"/>
  <c r="H943" i="11"/>
  <c r="K914" i="11"/>
  <c r="L121" i="11"/>
  <c r="M121" i="11" s="1"/>
  <c r="L330" i="11"/>
  <c r="M330" i="11" s="1"/>
  <c r="L248" i="11"/>
  <c r="M248" i="11" s="1"/>
  <c r="L663" i="11"/>
  <c r="M663" i="11" s="1"/>
  <c r="L29" i="11"/>
  <c r="M29" i="11" s="1"/>
  <c r="K10" i="11"/>
  <c r="K16" i="11"/>
  <c r="L383" i="11"/>
  <c r="M383" i="11" s="1"/>
  <c r="L444" i="11"/>
  <c r="M444" i="11" s="1"/>
  <c r="K9" i="11"/>
  <c r="L28" i="11"/>
  <c r="M28" i="11" s="1"/>
  <c r="K15" i="11"/>
  <c r="L394" i="11"/>
  <c r="M394" i="11" s="1"/>
  <c r="H282" i="11"/>
  <c r="K338" i="11"/>
  <c r="H294" i="11"/>
  <c r="H413" i="11"/>
  <c r="H423" i="11"/>
  <c r="K459" i="11"/>
  <c r="L388" i="11"/>
  <c r="M388" i="11" s="1"/>
  <c r="K362" i="11"/>
  <c r="K365" i="11"/>
  <c r="L309" i="11"/>
  <c r="M309" i="11" s="1"/>
  <c r="K694" i="11"/>
  <c r="L446" i="11"/>
  <c r="M446" i="11" s="1"/>
  <c r="L970" i="11"/>
  <c r="M970" i="11" s="1"/>
  <c r="L245" i="11"/>
  <c r="M245" i="11" s="1"/>
  <c r="L451" i="11"/>
  <c r="M451" i="11" s="1"/>
  <c r="L438" i="11"/>
  <c r="M438" i="11" s="1"/>
  <c r="L442" i="11"/>
  <c r="M442" i="11" s="1"/>
  <c r="L254" i="11"/>
  <c r="M254" i="11" s="1"/>
  <c r="L583" i="11"/>
  <c r="M583" i="11" s="1"/>
  <c r="L465" i="11"/>
  <c r="M465" i="11" s="1"/>
  <c r="K337" i="11"/>
  <c r="H293" i="11"/>
  <c r="H281" i="11"/>
  <c r="H374" i="11"/>
  <c r="K355" i="11"/>
  <c r="L184" i="11"/>
  <c r="M184" i="11" s="1"/>
  <c r="L174" i="11"/>
  <c r="M174" i="11" s="1"/>
  <c r="L319" i="11"/>
  <c r="M319" i="11" s="1"/>
  <c r="L194" i="11"/>
  <c r="M194" i="11" s="1"/>
  <c r="L165" i="11"/>
  <c r="M165" i="11" s="1"/>
  <c r="L239" i="11"/>
  <c r="M239" i="11" s="1"/>
  <c r="L448" i="11"/>
  <c r="M448" i="11" s="1"/>
  <c r="L167" i="11"/>
  <c r="M167" i="11" s="1"/>
  <c r="L177" i="11"/>
  <c r="M177" i="11" s="1"/>
  <c r="H70" i="11"/>
  <c r="K116" i="11"/>
  <c r="H80" i="11"/>
  <c r="L439" i="11"/>
  <c r="M439" i="11" s="1"/>
  <c r="K692" i="11"/>
  <c r="L341" i="11"/>
  <c r="M341" i="11" s="1"/>
  <c r="L455" i="11"/>
  <c r="M455" i="11" s="1"/>
  <c r="L241" i="11"/>
  <c r="M241" i="11" s="1"/>
  <c r="L681" i="11"/>
  <c r="H546" i="11"/>
  <c r="H555" i="11"/>
  <c r="H537" i="11"/>
  <c r="K527" i="11"/>
  <c r="L464" i="11"/>
  <c r="M464" i="11" s="1"/>
  <c r="H426" i="11"/>
  <c r="H416" i="11"/>
  <c r="K462" i="11"/>
  <c r="L386" i="11"/>
  <c r="M386" i="11" s="1"/>
  <c r="H543" i="11"/>
  <c r="H552" i="11"/>
  <c r="K524" i="11"/>
  <c r="H534" i="11"/>
  <c r="L185" i="11"/>
  <c r="M185" i="11" s="1"/>
  <c r="L312" i="11"/>
  <c r="M312" i="11" s="1"/>
  <c r="K716" i="11"/>
  <c r="K701" i="11"/>
  <c r="L195" i="11"/>
  <c r="M195" i="11" s="1"/>
  <c r="L314" i="11"/>
  <c r="M314" i="11" s="1"/>
  <c r="L163" i="11"/>
  <c r="M163" i="11" s="1"/>
  <c r="L447" i="11"/>
  <c r="M447" i="11" s="1"/>
  <c r="L170" i="11"/>
  <c r="M170" i="11" s="1"/>
  <c r="L123" i="11"/>
  <c r="M123" i="11" s="1"/>
  <c r="L332" i="11"/>
  <c r="M332" i="11" s="1"/>
  <c r="H71" i="11"/>
  <c r="H81" i="11"/>
  <c r="K117" i="11"/>
  <c r="L969" i="11"/>
  <c r="M969" i="11" s="1"/>
  <c r="K714" i="11"/>
  <c r="L382" i="11"/>
  <c r="M382" i="11" s="1"/>
  <c r="L271" i="11"/>
  <c r="M271" i="11" s="1"/>
  <c r="L396" i="11"/>
  <c r="M396" i="11" s="1"/>
  <c r="K715" i="11"/>
  <c r="L468" i="11"/>
  <c r="M468" i="11" s="1"/>
  <c r="H295" i="11"/>
  <c r="K339" i="11"/>
  <c r="H283" i="11"/>
  <c r="L580" i="11"/>
  <c r="M580" i="11" s="1"/>
  <c r="L183" i="11"/>
  <c r="M183" i="11" s="1"/>
  <c r="L379" i="11"/>
  <c r="M379" i="11" s="1"/>
  <c r="K705" i="11"/>
  <c r="L392" i="11"/>
  <c r="M392" i="11" s="1"/>
  <c r="L678" i="11"/>
  <c r="K364" i="11"/>
  <c r="L315" i="11"/>
  <c r="M315" i="11" s="1"/>
  <c r="L324" i="11"/>
  <c r="M324" i="11" s="1"/>
  <c r="L256" i="11"/>
  <c r="M256" i="11" s="1"/>
  <c r="K437" i="11"/>
  <c r="L581" i="11"/>
  <c r="M581" i="11" s="1"/>
  <c r="L333" i="11"/>
  <c r="M333" i="11" s="1"/>
  <c r="L181" i="11"/>
  <c r="M181" i="11" s="1"/>
  <c r="H855" i="11"/>
  <c r="H873" i="11"/>
  <c r="K845" i="11"/>
  <c r="H864" i="11"/>
  <c r="H82" i="11"/>
  <c r="K118" i="11"/>
  <c r="H72" i="11"/>
  <c r="H933" i="11"/>
  <c r="H942" i="11"/>
  <c r="H924" i="11"/>
  <c r="K913" i="11"/>
  <c r="K703" i="11"/>
  <c r="L342" i="11"/>
  <c r="M342" i="11" s="1"/>
  <c r="K265" i="11"/>
  <c r="H220" i="11"/>
  <c r="H208" i="11"/>
  <c r="L457" i="11"/>
  <c r="M457" i="11" s="1"/>
  <c r="L243" i="11"/>
  <c r="M243" i="11" s="1"/>
  <c r="K704" i="11"/>
  <c r="L250" i="11"/>
  <c r="M250" i="11" s="1"/>
  <c r="K376" i="11"/>
  <c r="L830" i="11"/>
  <c r="M830" i="11" s="1"/>
  <c r="H279" i="11"/>
  <c r="K335" i="11"/>
  <c r="H291" i="11"/>
  <c r="L385" i="11"/>
  <c r="M385" i="11" s="1"/>
  <c r="L182" i="11"/>
  <c r="M182" i="11" s="1"/>
  <c r="L310" i="11"/>
  <c r="M310" i="11" s="1"/>
  <c r="L682" i="11"/>
  <c r="L400" i="11"/>
  <c r="M400" i="11" s="1"/>
  <c r="L316" i="11"/>
  <c r="M316" i="11" s="1"/>
  <c r="L171" i="11"/>
  <c r="M171" i="11" s="1"/>
  <c r="H535" i="11"/>
  <c r="K525" i="11"/>
  <c r="H544" i="11"/>
  <c r="H553" i="11"/>
  <c r="L180" i="11"/>
  <c r="M180" i="11" s="1"/>
  <c r="L901" i="11"/>
  <c r="M901" i="11" s="1"/>
  <c r="L249" i="11"/>
  <c r="M249" i="11" s="1"/>
  <c r="L450" i="11"/>
  <c r="M450" i="11" s="1"/>
  <c r="L441" i="11"/>
  <c r="M441" i="11" s="1"/>
  <c r="L344" i="11"/>
  <c r="M344" i="11" s="1"/>
  <c r="H207" i="11"/>
  <c r="H219" i="11"/>
  <c r="K264" i="11"/>
  <c r="H217" i="11"/>
  <c r="K262" i="11"/>
  <c r="H205" i="11"/>
  <c r="L381" i="11"/>
  <c r="M381" i="11" s="1"/>
  <c r="L244" i="11"/>
  <c r="M244" i="11" s="1"/>
  <c r="L445" i="11"/>
  <c r="M445" i="11" s="1"/>
  <c r="L253" i="11"/>
  <c r="M253" i="11" s="1"/>
  <c r="K595" i="11"/>
  <c r="H607" i="11"/>
  <c r="H635" i="11"/>
  <c r="K35" i="11"/>
  <c r="H23" i="11"/>
  <c r="H797" i="11"/>
  <c r="K763" i="11"/>
  <c r="H786" i="11"/>
  <c r="H775" i="11"/>
  <c r="H425" i="11"/>
  <c r="H415" i="11"/>
  <c r="K461" i="11"/>
  <c r="L900" i="11"/>
  <c r="M900" i="11" s="1"/>
  <c r="L380" i="11"/>
  <c r="M380" i="11" s="1"/>
  <c r="K712" i="11"/>
  <c r="L323" i="11"/>
  <c r="M323" i="11" s="1"/>
  <c r="K161" i="11"/>
  <c r="K354" i="11"/>
  <c r="H373" i="11"/>
  <c r="L238" i="11"/>
  <c r="M238" i="11" s="1"/>
  <c r="K599" i="11"/>
  <c r="H611" i="11"/>
  <c r="H639" i="11"/>
  <c r="L326" i="11"/>
  <c r="M326" i="11" s="1"/>
  <c r="H132" i="11"/>
  <c r="K188" i="11"/>
  <c r="H144" i="11"/>
  <c r="L257" i="11"/>
  <c r="M257" i="11" s="1"/>
  <c r="L452" i="11"/>
  <c r="M452" i="11" s="1"/>
  <c r="L680" i="11"/>
  <c r="L345" i="11"/>
  <c r="M345" i="11" s="1"/>
  <c r="L454" i="11"/>
  <c r="M454" i="11" s="1"/>
  <c r="L269" i="11"/>
  <c r="M269" i="11" s="1"/>
  <c r="L443" i="11"/>
  <c r="M443" i="11" s="1"/>
  <c r="L463" i="11"/>
  <c r="M463" i="11" s="1"/>
  <c r="K693" i="11"/>
  <c r="L252" i="11"/>
  <c r="M252" i="11" s="1"/>
  <c r="L662" i="11"/>
  <c r="M662" i="11" s="1"/>
  <c r="K17" i="11"/>
  <c r="K11" i="11"/>
  <c r="L30" i="11"/>
  <c r="M30" i="11" s="1"/>
  <c r="H280" i="11"/>
  <c r="K336" i="11"/>
  <c r="H292" i="11"/>
  <c r="H854" i="11"/>
  <c r="K844" i="11"/>
  <c r="H863" i="11"/>
  <c r="H872" i="11"/>
  <c r="K31" i="11"/>
  <c r="H19" i="11"/>
  <c r="L313" i="11"/>
  <c r="M313" i="11" s="1"/>
  <c r="L389" i="11"/>
  <c r="M389" i="11" s="1"/>
  <c r="K690" i="11"/>
  <c r="L237" i="11"/>
  <c r="M237" i="11" s="1"/>
  <c r="L666" i="11"/>
  <c r="M666" i="11" s="1"/>
  <c r="L328" i="11"/>
  <c r="M328" i="11" s="1"/>
  <c r="L325" i="11"/>
  <c r="M325" i="11" s="1"/>
  <c r="L168" i="11"/>
  <c r="M168" i="11" s="1"/>
  <c r="H133" i="11"/>
  <c r="H145" i="11"/>
  <c r="K189" i="11"/>
  <c r="L331" i="11"/>
  <c r="M331" i="11" s="1"/>
  <c r="L329" i="11"/>
  <c r="M329" i="11" s="1"/>
  <c r="L340" i="11"/>
  <c r="M340" i="11" s="1"/>
  <c r="L453" i="11"/>
  <c r="M453" i="11" s="1"/>
  <c r="K308" i="11"/>
  <c r="L679" i="11"/>
  <c r="L456" i="11"/>
  <c r="M456" i="11" s="1"/>
  <c r="L240" i="11"/>
  <c r="M240" i="11" s="1"/>
  <c r="M332" i="35" l="1"/>
  <c r="Q332" i="36" s="1"/>
  <c r="M310" i="35"/>
  <c r="Q310" i="36" s="1"/>
  <c r="M364" i="35"/>
  <c r="Q364" i="36" s="1"/>
  <c r="M94" i="35"/>
  <c r="Q94" i="36" s="1"/>
  <c r="M258" i="35"/>
  <c r="Q258" i="36" s="1"/>
  <c r="M455" i="35"/>
  <c r="Q455" i="36" s="1"/>
  <c r="M315" i="35"/>
  <c r="Q315" i="36" s="1"/>
  <c r="Q406" i="36"/>
  <c r="M384" i="35"/>
  <c r="Q384" i="36" s="1"/>
  <c r="M98" i="35"/>
  <c r="Q98" i="36" s="1"/>
  <c r="M173" i="35"/>
  <c r="Q173" i="36" s="1"/>
  <c r="M95" i="35"/>
  <c r="Q95" i="36" s="1"/>
  <c r="M465" i="35"/>
  <c r="Q465" i="36" s="1"/>
  <c r="M329" i="35"/>
  <c r="Q329" i="36" s="1"/>
  <c r="M467" i="35"/>
  <c r="Q467" i="36" s="1"/>
  <c r="M383" i="35"/>
  <c r="Q383" i="36" s="1"/>
  <c r="M451" i="35"/>
  <c r="Q451" i="36" s="1"/>
  <c r="M182" i="35"/>
  <c r="Q182" i="36" s="1"/>
  <c r="M243" i="35"/>
  <c r="Q243" i="36" s="1"/>
  <c r="M167" i="35"/>
  <c r="Q167" i="36" s="1"/>
  <c r="M390" i="35"/>
  <c r="Q390" i="36" s="1"/>
  <c r="M181" i="35"/>
  <c r="Q181" i="36" s="1"/>
  <c r="M176" i="35"/>
  <c r="Q176" i="36" s="1"/>
  <c r="M104" i="35"/>
  <c r="Q104" i="36" s="1"/>
  <c r="M257" i="35"/>
  <c r="Q257" i="36" s="1"/>
  <c r="M401" i="35"/>
  <c r="Q401" i="36" s="1"/>
  <c r="M447" i="35"/>
  <c r="Q447" i="36" s="1"/>
  <c r="M186" i="35"/>
  <c r="Q186" i="36" s="1"/>
  <c r="M440" i="35"/>
  <c r="Q440" i="36" s="1"/>
  <c r="M317" i="35"/>
  <c r="Q317" i="36" s="1"/>
  <c r="M166" i="35"/>
  <c r="Q166" i="36" s="1"/>
  <c r="M399" i="35"/>
  <c r="Q399" i="36" s="1"/>
  <c r="M245" i="35"/>
  <c r="Q245" i="36" s="1"/>
  <c r="M184" i="35"/>
  <c r="Q184" i="36" s="1"/>
  <c r="M393" i="35"/>
  <c r="Q393" i="36" s="1"/>
  <c r="M235" i="35"/>
  <c r="Q235" i="36" s="1"/>
  <c r="M468" i="35"/>
  <c r="Q468" i="36" s="1"/>
  <c r="M363" i="35"/>
  <c r="Q363" i="36" s="1"/>
  <c r="M327" i="35"/>
  <c r="Q327" i="36" s="1"/>
  <c r="M179" i="35"/>
  <c r="Q179" i="36" s="1"/>
  <c r="M450" i="35"/>
  <c r="Q450" i="36" s="1"/>
  <c r="M237" i="35"/>
  <c r="Q237" i="36" s="1"/>
  <c r="M238" i="35"/>
  <c r="Q238" i="36" s="1"/>
  <c r="M392" i="35"/>
  <c r="Q392" i="36" s="1"/>
  <c r="M381" i="35"/>
  <c r="Q381" i="36" s="1"/>
  <c r="M389" i="35"/>
  <c r="Q389" i="36" s="1"/>
  <c r="M457" i="35"/>
  <c r="Q457" i="36" s="1"/>
  <c r="M110" i="35"/>
  <c r="Q110" i="36" s="1"/>
  <c r="M174" i="35"/>
  <c r="Q174" i="36" s="1"/>
  <c r="M269" i="35"/>
  <c r="Q269" i="36" s="1"/>
  <c r="M272" i="35"/>
  <c r="Q272" i="36" s="1"/>
  <c r="M271" i="35"/>
  <c r="Q271" i="36" s="1"/>
  <c r="M388" i="35"/>
  <c r="Q388" i="36" s="1"/>
  <c r="M318" i="35"/>
  <c r="Q318" i="36" s="1"/>
  <c r="M322" i="35"/>
  <c r="Q322" i="36" s="1"/>
  <c r="M333" i="35"/>
  <c r="Q333" i="36" s="1"/>
  <c r="M249" i="35"/>
  <c r="Q249" i="36" s="1"/>
  <c r="M324" i="35"/>
  <c r="Q324" i="36" s="1"/>
  <c r="M121" i="35"/>
  <c r="Q121" i="36" s="1"/>
  <c r="M180" i="35"/>
  <c r="Q180" i="36" s="1"/>
  <c r="M341" i="35"/>
  <c r="Q341" i="36" s="1"/>
  <c r="M177" i="35"/>
  <c r="Q177" i="36" s="1"/>
  <c r="M240" i="35"/>
  <c r="Q240" i="36" s="1"/>
  <c r="M442" i="35"/>
  <c r="Q442" i="36" s="1"/>
  <c r="M316" i="35"/>
  <c r="Q316" i="36" s="1"/>
  <c r="M398" i="35"/>
  <c r="Q398" i="36" s="1"/>
  <c r="M267" i="35"/>
  <c r="Q267" i="36" s="1"/>
  <c r="M101" i="35"/>
  <c r="Q101" i="36" s="1"/>
  <c r="M331" i="35"/>
  <c r="Q331" i="36" s="1"/>
  <c r="M242" i="35"/>
  <c r="Q242" i="36" s="1"/>
  <c r="M244" i="35"/>
  <c r="Q244" i="36" s="1"/>
  <c r="M441" i="35"/>
  <c r="Q441" i="36" s="1"/>
  <c r="M326" i="35"/>
  <c r="Q326" i="36" s="1"/>
  <c r="M344" i="35"/>
  <c r="Q344" i="36" s="1"/>
  <c r="M251" i="35"/>
  <c r="Q251" i="36" s="1"/>
  <c r="M391" i="35"/>
  <c r="Q391" i="36" s="1"/>
  <c r="M198" i="35"/>
  <c r="Q198" i="36" s="1"/>
  <c r="M175" i="35"/>
  <c r="Q175" i="36" s="1"/>
  <c r="M328" i="35"/>
  <c r="Q328" i="36" s="1"/>
  <c r="M309" i="35"/>
  <c r="Q309" i="36" s="1"/>
  <c r="M162" i="35"/>
  <c r="Q162" i="36" s="1"/>
  <c r="M385" i="35"/>
  <c r="Q385" i="36" s="1"/>
  <c r="M342" i="35"/>
  <c r="Q342" i="36" s="1"/>
  <c r="M254" i="35"/>
  <c r="Q254" i="36" s="1"/>
  <c r="M380" i="35"/>
  <c r="Q380" i="36" s="1"/>
  <c r="M195" i="35"/>
  <c r="Q195" i="36" s="1"/>
  <c r="M330" i="35"/>
  <c r="Q330" i="36" s="1"/>
  <c r="M311" i="35"/>
  <c r="Q311" i="36" s="1"/>
  <c r="M446" i="35"/>
  <c r="Q446" i="36" s="1"/>
  <c r="M312" i="35"/>
  <c r="Q312" i="36" s="1"/>
  <c r="M113" i="35"/>
  <c r="Q113" i="36" s="1"/>
  <c r="M246" i="35"/>
  <c r="Q246" i="36" s="1"/>
  <c r="M379" i="35"/>
  <c r="Q379" i="36" s="1"/>
  <c r="M239" i="35"/>
  <c r="Q239" i="36" s="1"/>
  <c r="M165" i="35"/>
  <c r="Q165" i="36" s="1"/>
  <c r="M378" i="35"/>
  <c r="Q378" i="36" s="1"/>
  <c r="M119" i="35"/>
  <c r="Q119" i="36" s="1"/>
  <c r="M120" i="35"/>
  <c r="Q120" i="36" s="1"/>
  <c r="M124" i="35"/>
  <c r="Q124" i="36" s="1"/>
  <c r="M100" i="35"/>
  <c r="Q100" i="36" s="1"/>
  <c r="M107" i="35"/>
  <c r="Q107" i="36" s="1"/>
  <c r="M106" i="35"/>
  <c r="Q106" i="36" s="1"/>
  <c r="M108" i="35"/>
  <c r="Q108" i="36" s="1"/>
  <c r="Q28" i="36"/>
  <c r="M9" i="35"/>
  <c r="Q9" i="36" s="1"/>
  <c r="M15" i="35"/>
  <c r="Q15" i="36" s="1"/>
  <c r="H140" i="35"/>
  <c r="K140" i="35" s="1"/>
  <c r="H151" i="35"/>
  <c r="K151" i="35" s="1"/>
  <c r="K128" i="35"/>
  <c r="O144" i="36"/>
  <c r="L144" i="35"/>
  <c r="P144" i="36" s="1"/>
  <c r="O426" i="36"/>
  <c r="L426" i="35"/>
  <c r="P426" i="36" s="1"/>
  <c r="H88" i="35"/>
  <c r="K88" i="35" s="1"/>
  <c r="K69" i="35"/>
  <c r="H87" i="36"/>
  <c r="K87" i="36" s="1"/>
  <c r="L87" i="36" s="1"/>
  <c r="M87" i="36" s="1"/>
  <c r="H78" i="36"/>
  <c r="K78" i="36" s="1"/>
  <c r="L78" i="36" s="1"/>
  <c r="M78" i="36" s="1"/>
  <c r="N78" i="36" s="1"/>
  <c r="K68" i="36"/>
  <c r="L68" i="36" s="1"/>
  <c r="M68" i="36" s="1"/>
  <c r="H139" i="35"/>
  <c r="K139" i="35" s="1"/>
  <c r="H150" i="35"/>
  <c r="K150" i="35" s="1"/>
  <c r="K127" i="35"/>
  <c r="M313" i="35"/>
  <c r="Q313" i="36" s="1"/>
  <c r="M345" i="35"/>
  <c r="Q345" i="36" s="1"/>
  <c r="M443" i="35"/>
  <c r="Q443" i="36" s="1"/>
  <c r="M102" i="35"/>
  <c r="Q102" i="36" s="1"/>
  <c r="M112" i="35"/>
  <c r="Q112" i="36" s="1"/>
  <c r="H303" i="35"/>
  <c r="K303" i="35" s="1"/>
  <c r="K280" i="35"/>
  <c r="H230" i="36"/>
  <c r="K230" i="36" s="1"/>
  <c r="L230" i="36" s="1"/>
  <c r="M230" i="36" s="1"/>
  <c r="K207" i="36"/>
  <c r="L207" i="36" s="1"/>
  <c r="M207" i="36" s="1"/>
  <c r="M105" i="35"/>
  <c r="Q105" i="36" s="1"/>
  <c r="M256" i="35"/>
  <c r="Q256" i="36" s="1"/>
  <c r="M323" i="35"/>
  <c r="O117" i="36"/>
  <c r="L117" i="35"/>
  <c r="M453" i="35"/>
  <c r="Q453" i="36" s="1"/>
  <c r="O188" i="36"/>
  <c r="L188" i="35"/>
  <c r="P188" i="36" s="1"/>
  <c r="M340" i="35"/>
  <c r="O460" i="36"/>
  <c r="L460" i="35"/>
  <c r="P460" i="36" s="1"/>
  <c r="L31" i="36"/>
  <c r="L19" i="36" s="1"/>
  <c r="K19" i="36"/>
  <c r="H300" i="36"/>
  <c r="K300" i="36" s="1"/>
  <c r="L300" i="36" s="1"/>
  <c r="M300" i="36" s="1"/>
  <c r="H289" i="36"/>
  <c r="K289" i="36" s="1"/>
  <c r="L289" i="36" s="1"/>
  <c r="M289" i="36" s="1"/>
  <c r="N289" i="36" s="1"/>
  <c r="K277" i="36"/>
  <c r="L277" i="36" s="1"/>
  <c r="M277" i="36" s="1"/>
  <c r="O462" i="36"/>
  <c r="L462" i="35"/>
  <c r="P462" i="36" s="1"/>
  <c r="M377" i="35"/>
  <c r="Q377" i="36" s="1"/>
  <c r="O192" i="36"/>
  <c r="L192" i="35"/>
  <c r="P192" i="36" s="1"/>
  <c r="M194" i="35"/>
  <c r="Q194" i="36" s="1"/>
  <c r="H359" i="36"/>
  <c r="K359" i="36" s="1"/>
  <c r="L359" i="36" s="1"/>
  <c r="M359" i="36" s="1"/>
  <c r="N359" i="36" s="1"/>
  <c r="H368" i="36"/>
  <c r="K368" i="36" s="1"/>
  <c r="L368" i="36" s="1"/>
  <c r="M368" i="36" s="1"/>
  <c r="N368" i="36" s="1"/>
  <c r="K349" i="36"/>
  <c r="L349" i="36" s="1"/>
  <c r="M349" i="36" s="1"/>
  <c r="N349" i="36" s="1"/>
  <c r="H89" i="36"/>
  <c r="K89" i="36" s="1"/>
  <c r="L89" i="36" s="1"/>
  <c r="M89" i="36" s="1"/>
  <c r="K70" i="36"/>
  <c r="L70" i="36" s="1"/>
  <c r="M70" i="36" s="1"/>
  <c r="O266" i="36"/>
  <c r="L266" i="35"/>
  <c r="P266" i="36" s="1"/>
  <c r="M97" i="35"/>
  <c r="Q97" i="36" s="1"/>
  <c r="O32" i="36"/>
  <c r="L32" i="35"/>
  <c r="M32" i="35" s="1"/>
  <c r="K20" i="35"/>
  <c r="O20" i="36" s="1"/>
  <c r="H230" i="35"/>
  <c r="K230" i="35" s="1"/>
  <c r="K207" i="35"/>
  <c r="H213" i="36"/>
  <c r="K213" i="36" s="1"/>
  <c r="L213" i="36" s="1"/>
  <c r="M213" i="36" s="1"/>
  <c r="N213" i="36" s="1"/>
  <c r="H224" i="36"/>
  <c r="K224" i="36" s="1"/>
  <c r="L224" i="36" s="1"/>
  <c r="M224" i="36" s="1"/>
  <c r="K201" i="36"/>
  <c r="L201" i="36" s="1"/>
  <c r="M201" i="36" s="1"/>
  <c r="H304" i="35"/>
  <c r="K304" i="35" s="1"/>
  <c r="K281" i="35"/>
  <c r="H159" i="36"/>
  <c r="K159" i="36" s="1"/>
  <c r="L159" i="36" s="1"/>
  <c r="M159" i="36" s="1"/>
  <c r="K136" i="36"/>
  <c r="L136" i="36" s="1"/>
  <c r="M136" i="36" s="1"/>
  <c r="H433" i="35"/>
  <c r="K433" i="35" s="1"/>
  <c r="K414" i="35"/>
  <c r="L33" i="36"/>
  <c r="K21" i="36"/>
  <c r="O293" i="36"/>
  <c r="L293" i="35"/>
  <c r="P293" i="36" s="1"/>
  <c r="M163" i="35"/>
  <c r="Q163" i="36" s="1"/>
  <c r="P163" i="36"/>
  <c r="M172" i="35"/>
  <c r="Q172" i="36" s="1"/>
  <c r="H215" i="35"/>
  <c r="K215" i="35" s="1"/>
  <c r="H226" i="35"/>
  <c r="K226" i="35" s="1"/>
  <c r="K203" i="35"/>
  <c r="L338" i="35"/>
  <c r="P338" i="36" s="1"/>
  <c r="O338" i="36"/>
  <c r="M463" i="35"/>
  <c r="Q463" i="36" s="1"/>
  <c r="M438" i="35"/>
  <c r="Q438" i="36" s="1"/>
  <c r="H77" i="35"/>
  <c r="K77" i="35" s="1"/>
  <c r="H86" i="35"/>
  <c r="K86" i="35" s="1"/>
  <c r="K67" i="35"/>
  <c r="M253" i="35"/>
  <c r="Q253" i="36" s="1"/>
  <c r="M169" i="35"/>
  <c r="Q169" i="36" s="1"/>
  <c r="M464" i="35"/>
  <c r="Q464" i="36" s="1"/>
  <c r="M454" i="35"/>
  <c r="Q454" i="36" s="1"/>
  <c r="H433" i="36"/>
  <c r="K433" i="36" s="1"/>
  <c r="L433" i="36" s="1"/>
  <c r="M433" i="36" s="1"/>
  <c r="K414" i="36"/>
  <c r="L414" i="36" s="1"/>
  <c r="M414" i="36" s="1"/>
  <c r="M103" i="35"/>
  <c r="Q103" i="36" s="1"/>
  <c r="M252" i="35"/>
  <c r="Q252" i="36" s="1"/>
  <c r="H306" i="35"/>
  <c r="K306" i="35" s="1"/>
  <c r="K283" i="35"/>
  <c r="O437" i="36"/>
  <c r="L437" i="35"/>
  <c r="P437" i="36" s="1"/>
  <c r="M197" i="35"/>
  <c r="Q197" i="36" s="1"/>
  <c r="M395" i="35"/>
  <c r="Q395" i="36" s="1"/>
  <c r="M444" i="35"/>
  <c r="Q444" i="36" s="1"/>
  <c r="H89" i="35"/>
  <c r="K89" i="35" s="1"/>
  <c r="K70" i="35"/>
  <c r="O146" i="36"/>
  <c r="L146" i="35"/>
  <c r="P146" i="36" s="1"/>
  <c r="H287" i="36"/>
  <c r="K287" i="36" s="1"/>
  <c r="L287" i="36" s="1"/>
  <c r="M287" i="36" s="1"/>
  <c r="N287" i="36" s="1"/>
  <c r="H298" i="36"/>
  <c r="K298" i="36" s="1"/>
  <c r="L298" i="36" s="1"/>
  <c r="M298" i="36" s="1"/>
  <c r="K275" i="36"/>
  <c r="L275" i="36" s="1"/>
  <c r="M275" i="36" s="1"/>
  <c r="O118" i="36"/>
  <c r="L118" i="35"/>
  <c r="P118" i="36" s="1"/>
  <c r="O423" i="36"/>
  <c r="L423" i="35"/>
  <c r="P423" i="36" s="1"/>
  <c r="O79" i="36"/>
  <c r="L79" i="35"/>
  <c r="P79" i="36" s="1"/>
  <c r="O461" i="36"/>
  <c r="L461" i="35"/>
  <c r="P461" i="36" s="1"/>
  <c r="O189" i="36"/>
  <c r="L189" i="35"/>
  <c r="P189" i="36" s="1"/>
  <c r="P29" i="36"/>
  <c r="L10" i="35"/>
  <c r="P10" i="36" s="1"/>
  <c r="L16" i="35"/>
  <c r="P16" i="36" s="1"/>
  <c r="M241" i="35"/>
  <c r="Q241" i="36" s="1"/>
  <c r="O292" i="36"/>
  <c r="L292" i="35"/>
  <c r="P292" i="36" s="1"/>
  <c r="H215" i="36"/>
  <c r="K215" i="36" s="1"/>
  <c r="L215" i="36" s="1"/>
  <c r="M215" i="36" s="1"/>
  <c r="N215" i="36" s="1"/>
  <c r="H226" i="36"/>
  <c r="K226" i="36" s="1"/>
  <c r="L226" i="36" s="1"/>
  <c r="M226" i="36" s="1"/>
  <c r="K203" i="36"/>
  <c r="L203" i="36" s="1"/>
  <c r="M203" i="36" s="1"/>
  <c r="H158" i="36"/>
  <c r="K158" i="36" s="1"/>
  <c r="L158" i="36" s="1"/>
  <c r="M158" i="36" s="1"/>
  <c r="K135" i="36"/>
  <c r="L135" i="36" s="1"/>
  <c r="M135" i="36" s="1"/>
  <c r="H301" i="36"/>
  <c r="K301" i="36" s="1"/>
  <c r="L301" i="36" s="1"/>
  <c r="M301" i="36" s="1"/>
  <c r="H290" i="36"/>
  <c r="K290" i="36" s="1"/>
  <c r="L290" i="36" s="1"/>
  <c r="M290" i="36" s="1"/>
  <c r="N290" i="36" s="1"/>
  <c r="K278" i="36"/>
  <c r="L278" i="36" s="1"/>
  <c r="M278" i="36" s="1"/>
  <c r="H432" i="35"/>
  <c r="K432" i="35" s="1"/>
  <c r="K413" i="35"/>
  <c r="O221" i="36"/>
  <c r="L221" i="35"/>
  <c r="P221" i="36" s="1"/>
  <c r="Q29" i="36"/>
  <c r="M10" i="35"/>
  <c r="Q10" i="36" s="1"/>
  <c r="M16" i="35"/>
  <c r="Q16" i="36" s="1"/>
  <c r="H225" i="35"/>
  <c r="K225" i="35" s="1"/>
  <c r="H214" i="35"/>
  <c r="K214" i="35" s="1"/>
  <c r="K202" i="35"/>
  <c r="H305" i="35"/>
  <c r="K305" i="35" s="1"/>
  <c r="K282" i="35"/>
  <c r="H87" i="35"/>
  <c r="K87" i="35" s="1"/>
  <c r="H78" i="35"/>
  <c r="K78" i="35" s="1"/>
  <c r="K68" i="35"/>
  <c r="H156" i="36"/>
  <c r="K156" i="36" s="1"/>
  <c r="L156" i="36" s="1"/>
  <c r="M156" i="36" s="1"/>
  <c r="K133" i="36"/>
  <c r="L133" i="36" s="1"/>
  <c r="M133" i="36" s="1"/>
  <c r="O295" i="36"/>
  <c r="L295" i="35"/>
  <c r="P295" i="36" s="1"/>
  <c r="H430" i="35"/>
  <c r="K430" i="35" s="1"/>
  <c r="H421" i="35"/>
  <c r="K421" i="35" s="1"/>
  <c r="K411" i="35"/>
  <c r="O31" i="36"/>
  <c r="L31" i="35"/>
  <c r="M31" i="35" s="1"/>
  <c r="K19" i="35"/>
  <c r="O19" i="36" s="1"/>
  <c r="M319" i="35"/>
  <c r="Q319" i="36" s="1"/>
  <c r="O80" i="36"/>
  <c r="L80" i="35"/>
  <c r="P80" i="36" s="1"/>
  <c r="O34" i="36"/>
  <c r="L34" i="35"/>
  <c r="K22" i="35"/>
  <c r="O22" i="36" s="1"/>
  <c r="H91" i="35"/>
  <c r="K91" i="35" s="1"/>
  <c r="K72" i="35"/>
  <c r="O265" i="36"/>
  <c r="L265" i="35"/>
  <c r="P265" i="36" s="1"/>
  <c r="O308" i="36"/>
  <c r="L308" i="35"/>
  <c r="P308" i="36" s="1"/>
  <c r="L34" i="36"/>
  <c r="K22" i="36"/>
  <c r="H434" i="35"/>
  <c r="K434" i="35" s="1"/>
  <c r="K415" i="35"/>
  <c r="H156" i="35"/>
  <c r="K156" i="35" s="1"/>
  <c r="K133" i="35"/>
  <c r="M439" i="35"/>
  <c r="Q439" i="36" s="1"/>
  <c r="O263" i="36"/>
  <c r="L263" i="35"/>
  <c r="P263" i="36" s="1"/>
  <c r="H76" i="36"/>
  <c r="K76" i="36" s="1"/>
  <c r="L76" i="36" s="1"/>
  <c r="M76" i="36" s="1"/>
  <c r="N76" i="36" s="1"/>
  <c r="H85" i="36"/>
  <c r="K85" i="36" s="1"/>
  <c r="L85" i="36" s="1"/>
  <c r="M85" i="36" s="1"/>
  <c r="K66" i="36"/>
  <c r="L66" i="36" s="1"/>
  <c r="M66" i="36" s="1"/>
  <c r="O339" i="36"/>
  <c r="L339" i="35"/>
  <c r="P339" i="36" s="1"/>
  <c r="M111" i="35"/>
  <c r="Q111" i="36" s="1"/>
  <c r="H224" i="35"/>
  <c r="K224" i="35" s="1"/>
  <c r="H213" i="35"/>
  <c r="K213" i="35" s="1"/>
  <c r="K201" i="35"/>
  <c r="O294" i="36"/>
  <c r="L294" i="35"/>
  <c r="P294" i="36" s="1"/>
  <c r="L32" i="36"/>
  <c r="K20" i="36"/>
  <c r="H75" i="35"/>
  <c r="K75" i="35" s="1"/>
  <c r="H84" i="35"/>
  <c r="K84" i="35" s="1"/>
  <c r="K65" i="35"/>
  <c r="M27" i="35"/>
  <c r="P27" i="36"/>
  <c r="L8" i="35"/>
  <c r="P8" i="36" s="1"/>
  <c r="L14" i="35"/>
  <c r="P14" i="36" s="1"/>
  <c r="H232" i="36"/>
  <c r="K232" i="36" s="1"/>
  <c r="L232" i="36" s="1"/>
  <c r="M232" i="36" s="1"/>
  <c r="K209" i="36"/>
  <c r="L209" i="36" s="1"/>
  <c r="M209" i="36" s="1"/>
  <c r="M171" i="35"/>
  <c r="Q171" i="36" s="1"/>
  <c r="M320" i="35"/>
  <c r="Q320" i="36" s="1"/>
  <c r="M362" i="35"/>
  <c r="Q362" i="36" s="1"/>
  <c r="M456" i="35"/>
  <c r="Q456" i="36" s="1"/>
  <c r="M168" i="35"/>
  <c r="Q168" i="36" s="1"/>
  <c r="H429" i="35"/>
  <c r="K429" i="35" s="1"/>
  <c r="H420" i="35"/>
  <c r="K420" i="35" s="1"/>
  <c r="K410" i="35"/>
  <c r="O353" i="36"/>
  <c r="L353" i="35"/>
  <c r="P353" i="36" s="1"/>
  <c r="O82" i="36"/>
  <c r="L82" i="35"/>
  <c r="P82" i="36" s="1"/>
  <c r="H231" i="35"/>
  <c r="K231" i="35" s="1"/>
  <c r="K208" i="35"/>
  <c r="M193" i="35"/>
  <c r="Q193" i="36" s="1"/>
  <c r="H298" i="35"/>
  <c r="K298" i="35" s="1"/>
  <c r="H287" i="35"/>
  <c r="K287" i="35" s="1"/>
  <c r="K275" i="35"/>
  <c r="O425" i="36"/>
  <c r="L425" i="35"/>
  <c r="P425" i="36" s="1"/>
  <c r="O145" i="36"/>
  <c r="L145" i="35"/>
  <c r="P145" i="36" s="1"/>
  <c r="M255" i="35"/>
  <c r="Q255" i="36" s="1"/>
  <c r="H229" i="35"/>
  <c r="K229" i="35" s="1"/>
  <c r="K206" i="35"/>
  <c r="H303" i="36"/>
  <c r="K303" i="36" s="1"/>
  <c r="L303" i="36" s="1"/>
  <c r="M303" i="36" s="1"/>
  <c r="K280" i="36"/>
  <c r="L280" i="36" s="1"/>
  <c r="M280" i="36" s="1"/>
  <c r="L161" i="36"/>
  <c r="M161" i="36" s="1"/>
  <c r="M236" i="35"/>
  <c r="Q236" i="36" s="1"/>
  <c r="H435" i="36"/>
  <c r="K435" i="36" s="1"/>
  <c r="L435" i="36" s="1"/>
  <c r="M435" i="36" s="1"/>
  <c r="K416" i="36"/>
  <c r="L416" i="36" s="1"/>
  <c r="M416" i="36" s="1"/>
  <c r="H141" i="35"/>
  <c r="K141" i="35" s="1"/>
  <c r="H152" i="35"/>
  <c r="K152" i="35" s="1"/>
  <c r="H980" i="35"/>
  <c r="K129" i="35"/>
  <c r="O148" i="36"/>
  <c r="L148" i="35"/>
  <c r="P148" i="36" s="1"/>
  <c r="M29" i="36"/>
  <c r="L10" i="36"/>
  <c r="L16" i="36"/>
  <c r="M28" i="36"/>
  <c r="L9" i="36"/>
  <c r="L15" i="36"/>
  <c r="H212" i="35"/>
  <c r="K212" i="35" s="1"/>
  <c r="H223" i="35"/>
  <c r="K223" i="35" s="1"/>
  <c r="K200" i="35"/>
  <c r="H434" i="36"/>
  <c r="K434" i="36" s="1"/>
  <c r="L434" i="36" s="1"/>
  <c r="M434" i="36" s="1"/>
  <c r="K415" i="36"/>
  <c r="L415" i="36" s="1"/>
  <c r="M415" i="36" s="1"/>
  <c r="H419" i="35"/>
  <c r="K419" i="35" s="1"/>
  <c r="H428" i="35"/>
  <c r="K428" i="35" s="1"/>
  <c r="K409" i="35"/>
  <c r="H155" i="36"/>
  <c r="K155" i="36" s="1"/>
  <c r="L155" i="36" s="1"/>
  <c r="M155" i="36" s="1"/>
  <c r="K132" i="36"/>
  <c r="L132" i="36" s="1"/>
  <c r="M132" i="36" s="1"/>
  <c r="L265" i="36"/>
  <c r="M265" i="36" s="1"/>
  <c r="O372" i="36"/>
  <c r="L372" i="35"/>
  <c r="P372" i="36" s="1"/>
  <c r="L374" i="36"/>
  <c r="M374" i="36" s="1"/>
  <c r="L339" i="36"/>
  <c r="M339" i="36" s="1"/>
  <c r="O220" i="36"/>
  <c r="L220" i="35"/>
  <c r="P220" i="36" s="1"/>
  <c r="H300" i="35"/>
  <c r="K300" i="35" s="1"/>
  <c r="H289" i="35"/>
  <c r="K289" i="35" s="1"/>
  <c r="K277" i="35"/>
  <c r="M365" i="35"/>
  <c r="Q365" i="36" s="1"/>
  <c r="O355" i="36"/>
  <c r="L355" i="35"/>
  <c r="P355" i="36" s="1"/>
  <c r="O218" i="36"/>
  <c r="L218" i="35"/>
  <c r="P218" i="36" s="1"/>
  <c r="H980" i="36"/>
  <c r="H141" i="36"/>
  <c r="K141" i="36" s="1"/>
  <c r="L141" i="36" s="1"/>
  <c r="M141" i="36" s="1"/>
  <c r="N141" i="36" s="1"/>
  <c r="H152" i="36"/>
  <c r="K152" i="36" s="1"/>
  <c r="L152" i="36" s="1"/>
  <c r="M152" i="36" s="1"/>
  <c r="K129" i="36"/>
  <c r="L129" i="36" s="1"/>
  <c r="M129" i="36" s="1"/>
  <c r="O234" i="36"/>
  <c r="L234" i="35"/>
  <c r="P234" i="36" s="1"/>
  <c r="O115" i="36"/>
  <c r="L115" i="35"/>
  <c r="P115" i="36" s="1"/>
  <c r="H232" i="35"/>
  <c r="K232" i="35" s="1"/>
  <c r="K209" i="35"/>
  <c r="H76" i="35"/>
  <c r="K76" i="35" s="1"/>
  <c r="H85" i="35"/>
  <c r="K85" i="35" s="1"/>
  <c r="K66" i="35"/>
  <c r="H90" i="35"/>
  <c r="K90" i="35" s="1"/>
  <c r="K71" i="35"/>
  <c r="M96" i="35"/>
  <c r="Q96" i="36" s="1"/>
  <c r="M449" i="35"/>
  <c r="Q449" i="36" s="1"/>
  <c r="M248" i="35"/>
  <c r="Q248" i="36" s="1"/>
  <c r="O335" i="36"/>
  <c r="L335" i="35"/>
  <c r="P335" i="36" s="1"/>
  <c r="M400" i="35"/>
  <c r="H428" i="36"/>
  <c r="K428" i="36" s="1"/>
  <c r="L428" i="36" s="1"/>
  <c r="M428" i="36" s="1"/>
  <c r="H419" i="36"/>
  <c r="K419" i="36" s="1"/>
  <c r="L419" i="36" s="1"/>
  <c r="M419" i="36" s="1"/>
  <c r="N419" i="36" s="1"/>
  <c r="K409" i="36"/>
  <c r="L409" i="36" s="1"/>
  <c r="M409" i="36" s="1"/>
  <c r="M164" i="35"/>
  <c r="Q164" i="36" s="1"/>
  <c r="L35" i="36"/>
  <c r="K23" i="36"/>
  <c r="H431" i="35"/>
  <c r="K431" i="35" s="1"/>
  <c r="H422" i="35"/>
  <c r="K422" i="35" s="1"/>
  <c r="K412" i="35"/>
  <c r="H231" i="36"/>
  <c r="K231" i="36" s="1"/>
  <c r="L231" i="36" s="1"/>
  <c r="M231" i="36" s="1"/>
  <c r="K208" i="36"/>
  <c r="L208" i="36" s="1"/>
  <c r="M208" i="36" s="1"/>
  <c r="M99" i="35"/>
  <c r="Q99" i="36" s="1"/>
  <c r="M382" i="35"/>
  <c r="Q382" i="36" s="1"/>
  <c r="H306" i="36"/>
  <c r="K306" i="36" s="1"/>
  <c r="L306" i="36" s="1"/>
  <c r="M306" i="36" s="1"/>
  <c r="K283" i="36"/>
  <c r="L283" i="36" s="1"/>
  <c r="M283" i="36" s="1"/>
  <c r="H286" i="35"/>
  <c r="K286" i="35" s="1"/>
  <c r="H297" i="35"/>
  <c r="K297" i="35" s="1"/>
  <c r="K274" i="35"/>
  <c r="O374" i="36"/>
  <c r="L374" i="35"/>
  <c r="P374" i="36" s="1"/>
  <c r="O376" i="36"/>
  <c r="L376" i="35"/>
  <c r="P376" i="36" s="1"/>
  <c r="O191" i="36"/>
  <c r="L191" i="35"/>
  <c r="P191" i="36" s="1"/>
  <c r="H140" i="36"/>
  <c r="K140" i="36" s="1"/>
  <c r="L140" i="36" s="1"/>
  <c r="M140" i="36" s="1"/>
  <c r="N140" i="36" s="1"/>
  <c r="H151" i="36"/>
  <c r="K151" i="36" s="1"/>
  <c r="L151" i="36" s="1"/>
  <c r="M151" i="36" s="1"/>
  <c r="K128" i="36"/>
  <c r="L128" i="36" s="1"/>
  <c r="M128" i="36" s="1"/>
  <c r="M170" i="35"/>
  <c r="Q170" i="36" s="1"/>
  <c r="H157" i="36"/>
  <c r="K157" i="36" s="1"/>
  <c r="L157" i="36" s="1"/>
  <c r="M157" i="36" s="1"/>
  <c r="K134" i="36"/>
  <c r="L134" i="36" s="1"/>
  <c r="M134" i="36" s="1"/>
  <c r="O424" i="36"/>
  <c r="L424" i="35"/>
  <c r="P424" i="36" s="1"/>
  <c r="H212" i="36"/>
  <c r="K212" i="36" s="1"/>
  <c r="L212" i="36" s="1"/>
  <c r="M212" i="36" s="1"/>
  <c r="N212" i="36" s="1"/>
  <c r="H223" i="36"/>
  <c r="K223" i="36" s="1"/>
  <c r="L223" i="36" s="1"/>
  <c r="M223" i="36" s="1"/>
  <c r="K200" i="36"/>
  <c r="L200" i="36" s="1"/>
  <c r="M200" i="36" s="1"/>
  <c r="M325" i="35"/>
  <c r="Q325" i="36" s="1"/>
  <c r="H302" i="35"/>
  <c r="K302" i="35" s="1"/>
  <c r="K279" i="35"/>
  <c r="M183" i="35"/>
  <c r="Q183" i="36" s="1"/>
  <c r="M394" i="35"/>
  <c r="H422" i="36"/>
  <c r="K422" i="36" s="1"/>
  <c r="L422" i="36" s="1"/>
  <c r="M422" i="36" s="1"/>
  <c r="N422" i="36" s="1"/>
  <c r="H431" i="36"/>
  <c r="K431" i="36" s="1"/>
  <c r="L431" i="36" s="1"/>
  <c r="M431" i="36" s="1"/>
  <c r="K412" i="36"/>
  <c r="L412" i="36" s="1"/>
  <c r="M412" i="36" s="1"/>
  <c r="M185" i="35"/>
  <c r="Q185" i="36" s="1"/>
  <c r="M321" i="35"/>
  <c r="O352" i="36"/>
  <c r="L352" i="35"/>
  <c r="P352" i="36" s="1"/>
  <c r="M123" i="35"/>
  <c r="Q123" i="36" s="1"/>
  <c r="M452" i="35"/>
  <c r="Q452" i="36" s="1"/>
  <c r="H290" i="35"/>
  <c r="K290" i="35" s="1"/>
  <c r="H301" i="35"/>
  <c r="K301" i="35" s="1"/>
  <c r="K278" i="35"/>
  <c r="K349" i="35"/>
  <c r="H368" i="35"/>
  <c r="K368" i="35" s="1"/>
  <c r="H359" i="35"/>
  <c r="K359" i="35" s="1"/>
  <c r="M268" i="35"/>
  <c r="Q268" i="36" s="1"/>
  <c r="O147" i="36"/>
  <c r="L147" i="35"/>
  <c r="P147" i="36" s="1"/>
  <c r="M448" i="35"/>
  <c r="Q448" i="36" s="1"/>
  <c r="H150" i="36"/>
  <c r="K150" i="36" s="1"/>
  <c r="L150" i="36" s="1"/>
  <c r="M150" i="36" s="1"/>
  <c r="H139" i="36"/>
  <c r="K139" i="36" s="1"/>
  <c r="L139" i="36" s="1"/>
  <c r="M139" i="36" s="1"/>
  <c r="N139" i="36" s="1"/>
  <c r="K127" i="36"/>
  <c r="L127" i="36" s="1"/>
  <c r="M127" i="36" s="1"/>
  <c r="H155" i="35"/>
  <c r="K155" i="35" s="1"/>
  <c r="K132" i="35"/>
  <c r="O190" i="36"/>
  <c r="L190" i="35"/>
  <c r="P190" i="36" s="1"/>
  <c r="H159" i="35"/>
  <c r="K159" i="35" s="1"/>
  <c r="K136" i="35"/>
  <c r="H305" i="36"/>
  <c r="K305" i="36" s="1"/>
  <c r="L305" i="36" s="1"/>
  <c r="M305" i="36" s="1"/>
  <c r="K282" i="36"/>
  <c r="L282" i="36" s="1"/>
  <c r="M282" i="36" s="1"/>
  <c r="H84" i="36"/>
  <c r="K84" i="36" s="1"/>
  <c r="L84" i="36" s="1"/>
  <c r="M84" i="36" s="1"/>
  <c r="H75" i="36"/>
  <c r="K75" i="36" s="1"/>
  <c r="L75" i="36" s="1"/>
  <c r="M75" i="36" s="1"/>
  <c r="N75" i="36" s="1"/>
  <c r="K65" i="36"/>
  <c r="L65" i="36" s="1"/>
  <c r="M65" i="36" s="1"/>
  <c r="M30" i="36"/>
  <c r="L11" i="36"/>
  <c r="L17" i="36"/>
  <c r="H302" i="36"/>
  <c r="K302" i="36" s="1"/>
  <c r="L302" i="36" s="1"/>
  <c r="M302" i="36" s="1"/>
  <c r="K279" i="36"/>
  <c r="L279" i="36" s="1"/>
  <c r="M279" i="36" s="1"/>
  <c r="O161" i="36"/>
  <c r="L161" i="35"/>
  <c r="P161" i="36" s="1"/>
  <c r="O354" i="36"/>
  <c r="L354" i="35"/>
  <c r="P354" i="36" s="1"/>
  <c r="O291" i="36"/>
  <c r="L291" i="35"/>
  <c r="P291" i="36" s="1"/>
  <c r="P28" i="36"/>
  <c r="L9" i="35"/>
  <c r="P9" i="36" s="1"/>
  <c r="L15" i="35"/>
  <c r="P15" i="36" s="1"/>
  <c r="H88" i="36"/>
  <c r="K88" i="36" s="1"/>
  <c r="L88" i="36" s="1"/>
  <c r="M88" i="36" s="1"/>
  <c r="K69" i="36"/>
  <c r="L69" i="36" s="1"/>
  <c r="M69" i="36" s="1"/>
  <c r="H430" i="36"/>
  <c r="K430" i="36" s="1"/>
  <c r="L430" i="36" s="1"/>
  <c r="M430" i="36" s="1"/>
  <c r="H421" i="36"/>
  <c r="K421" i="36" s="1"/>
  <c r="L421" i="36" s="1"/>
  <c r="M421" i="36" s="1"/>
  <c r="N421" i="36" s="1"/>
  <c r="K411" i="36"/>
  <c r="L411" i="36" s="1"/>
  <c r="M411" i="36" s="1"/>
  <c r="O371" i="36"/>
  <c r="L371" i="35"/>
  <c r="P371" i="36" s="1"/>
  <c r="H228" i="36"/>
  <c r="K228" i="36" s="1"/>
  <c r="L228" i="36" s="1"/>
  <c r="M228" i="36" s="1"/>
  <c r="K205" i="36"/>
  <c r="L205" i="36" s="1"/>
  <c r="M205" i="36" s="1"/>
  <c r="H299" i="35"/>
  <c r="K299" i="35" s="1"/>
  <c r="H288" i="35"/>
  <c r="K288" i="35" s="1"/>
  <c r="K276" i="35"/>
  <c r="H304" i="36"/>
  <c r="K304" i="36" s="1"/>
  <c r="L304" i="36" s="1"/>
  <c r="M304" i="36" s="1"/>
  <c r="K281" i="36"/>
  <c r="L281" i="36" s="1"/>
  <c r="M281" i="36" s="1"/>
  <c r="O262" i="36"/>
  <c r="L262" i="35"/>
  <c r="P262" i="36" s="1"/>
  <c r="H367" i="36"/>
  <c r="K367" i="36" s="1"/>
  <c r="L367" i="36" s="1"/>
  <c r="M367" i="36" s="1"/>
  <c r="N367" i="36" s="1"/>
  <c r="H358" i="36"/>
  <c r="K358" i="36" s="1"/>
  <c r="L358" i="36" s="1"/>
  <c r="M358" i="36" s="1"/>
  <c r="N358" i="36" s="1"/>
  <c r="K348" i="36"/>
  <c r="L348" i="36" s="1"/>
  <c r="M348" i="36" s="1"/>
  <c r="N348" i="36" s="1"/>
  <c r="M26" i="36"/>
  <c r="L7" i="36"/>
  <c r="L13" i="36"/>
  <c r="H370" i="35"/>
  <c r="K370" i="35" s="1"/>
  <c r="H361" i="35"/>
  <c r="K361" i="35" s="1"/>
  <c r="K351" i="35"/>
  <c r="H158" i="35"/>
  <c r="K158" i="35" s="1"/>
  <c r="K135" i="35"/>
  <c r="H153" i="36"/>
  <c r="K153" i="36" s="1"/>
  <c r="L153" i="36" s="1"/>
  <c r="M153" i="36" s="1"/>
  <c r="H142" i="36"/>
  <c r="K142" i="36" s="1"/>
  <c r="L142" i="36" s="1"/>
  <c r="M142" i="36" s="1"/>
  <c r="N142" i="36" s="1"/>
  <c r="H981" i="36"/>
  <c r="K130" i="36"/>
  <c r="L130" i="36" s="1"/>
  <c r="M130" i="36" s="1"/>
  <c r="O93" i="36"/>
  <c r="L93" i="35"/>
  <c r="P93" i="36" s="1"/>
  <c r="H435" i="35"/>
  <c r="K435" i="35" s="1"/>
  <c r="K416" i="35"/>
  <c r="O219" i="36"/>
  <c r="L219" i="35"/>
  <c r="P219" i="36" s="1"/>
  <c r="H216" i="35"/>
  <c r="K216" i="35" s="1"/>
  <c r="H227" i="35"/>
  <c r="K227" i="35" s="1"/>
  <c r="K204" i="35"/>
  <c r="O116" i="36"/>
  <c r="L116" i="35"/>
  <c r="P116" i="36" s="1"/>
  <c r="M387" i="35"/>
  <c r="H143" i="35"/>
  <c r="K143" i="35" s="1"/>
  <c r="H154" i="35"/>
  <c r="K154" i="35" s="1"/>
  <c r="K131" i="35"/>
  <c r="O373" i="36"/>
  <c r="L373" i="35"/>
  <c r="P373" i="36" s="1"/>
  <c r="H90" i="36"/>
  <c r="K90" i="36" s="1"/>
  <c r="L90" i="36" s="1"/>
  <c r="M90" i="36" s="1"/>
  <c r="K71" i="36"/>
  <c r="L71" i="36" s="1"/>
  <c r="M71" i="36" s="1"/>
  <c r="H429" i="36"/>
  <c r="K429" i="36" s="1"/>
  <c r="L429" i="36" s="1"/>
  <c r="M429" i="36" s="1"/>
  <c r="H420" i="36"/>
  <c r="K420" i="36" s="1"/>
  <c r="L420" i="36" s="1"/>
  <c r="M420" i="36" s="1"/>
  <c r="N420" i="36" s="1"/>
  <c r="K410" i="36"/>
  <c r="L410" i="36" s="1"/>
  <c r="M410" i="36" s="1"/>
  <c r="O35" i="36"/>
  <c r="L35" i="35"/>
  <c r="K23" i="35"/>
  <c r="O23" i="36" s="1"/>
  <c r="H432" i="36"/>
  <c r="K432" i="36" s="1"/>
  <c r="L432" i="36" s="1"/>
  <c r="M432" i="36" s="1"/>
  <c r="K413" i="36"/>
  <c r="L413" i="36" s="1"/>
  <c r="M413" i="36" s="1"/>
  <c r="Q30" i="36"/>
  <c r="M11" i="35"/>
  <c r="Q11" i="36" s="1"/>
  <c r="M17" i="35"/>
  <c r="Q17" i="36" s="1"/>
  <c r="Q26" i="36"/>
  <c r="M7" i="35"/>
  <c r="Q7" i="36" s="1"/>
  <c r="M13" i="35"/>
  <c r="Q13" i="36" s="1"/>
  <c r="H228" i="35"/>
  <c r="K228" i="35" s="1"/>
  <c r="K205" i="35"/>
  <c r="M259" i="35"/>
  <c r="Q259" i="36" s="1"/>
  <c r="H370" i="36"/>
  <c r="K370" i="36" s="1"/>
  <c r="L370" i="36" s="1"/>
  <c r="M370" i="36" s="1"/>
  <c r="H361" i="36"/>
  <c r="K361" i="36" s="1"/>
  <c r="L361" i="36" s="1"/>
  <c r="M361" i="36" s="1"/>
  <c r="N361" i="36" s="1"/>
  <c r="K351" i="36"/>
  <c r="L351" i="36" s="1"/>
  <c r="M351" i="36" s="1"/>
  <c r="N351" i="36" s="1"/>
  <c r="L116" i="36"/>
  <c r="M116" i="36" s="1"/>
  <c r="H358" i="35"/>
  <c r="K358" i="35" s="1"/>
  <c r="H367" i="35"/>
  <c r="K367" i="35" s="1"/>
  <c r="K348" i="35"/>
  <c r="H143" i="36"/>
  <c r="K143" i="36" s="1"/>
  <c r="L143" i="36" s="1"/>
  <c r="M143" i="36" s="1"/>
  <c r="N143" i="36" s="1"/>
  <c r="H154" i="36"/>
  <c r="K154" i="36" s="1"/>
  <c r="L154" i="36" s="1"/>
  <c r="M154" i="36" s="1"/>
  <c r="K131" i="36"/>
  <c r="L131" i="36" s="1"/>
  <c r="M131" i="36" s="1"/>
  <c r="H216" i="36"/>
  <c r="K216" i="36" s="1"/>
  <c r="L216" i="36" s="1"/>
  <c r="M216" i="36" s="1"/>
  <c r="N216" i="36" s="1"/>
  <c r="H227" i="36"/>
  <c r="K227" i="36" s="1"/>
  <c r="L227" i="36" s="1"/>
  <c r="M227" i="36" s="1"/>
  <c r="K204" i="36"/>
  <c r="L204" i="36" s="1"/>
  <c r="M204" i="36" s="1"/>
  <c r="O81" i="36"/>
  <c r="L81" i="35"/>
  <c r="P81" i="36" s="1"/>
  <c r="H286" i="36"/>
  <c r="K286" i="36" s="1"/>
  <c r="L286" i="36" s="1"/>
  <c r="M286" i="36" s="1"/>
  <c r="N286" i="36" s="1"/>
  <c r="H297" i="36"/>
  <c r="K297" i="36" s="1"/>
  <c r="K274" i="36"/>
  <c r="L274" i="36" s="1"/>
  <c r="M274" i="36" s="1"/>
  <c r="O459" i="36"/>
  <c r="L459" i="35"/>
  <c r="P459" i="36" s="1"/>
  <c r="L335" i="36"/>
  <c r="M335" i="36" s="1"/>
  <c r="H157" i="35"/>
  <c r="K157" i="35" s="1"/>
  <c r="K134" i="35"/>
  <c r="H86" i="36"/>
  <c r="K86" i="36" s="1"/>
  <c r="L86" i="36" s="1"/>
  <c r="M86" i="36" s="1"/>
  <c r="H77" i="36"/>
  <c r="K77" i="36" s="1"/>
  <c r="L77" i="36" s="1"/>
  <c r="M77" i="36" s="1"/>
  <c r="N77" i="36" s="1"/>
  <c r="K67" i="36"/>
  <c r="L67" i="36" s="1"/>
  <c r="M67" i="36" s="1"/>
  <c r="H981" i="35"/>
  <c r="H142" i="35"/>
  <c r="K142" i="35" s="1"/>
  <c r="H153" i="35"/>
  <c r="K153" i="35" s="1"/>
  <c r="K130" i="35"/>
  <c r="M386" i="35"/>
  <c r="M250" i="35"/>
  <c r="Q250" i="36" s="1"/>
  <c r="M247" i="35"/>
  <c r="Q247" i="36" s="1"/>
  <c r="O336" i="36"/>
  <c r="L336" i="35"/>
  <c r="P336" i="36" s="1"/>
  <c r="M445" i="35"/>
  <c r="Q445" i="36" s="1"/>
  <c r="M314" i="35"/>
  <c r="Q314" i="36" s="1"/>
  <c r="M396" i="35"/>
  <c r="Q396" i="36" s="1"/>
  <c r="H91" i="36"/>
  <c r="K91" i="36" s="1"/>
  <c r="L91" i="36" s="1"/>
  <c r="M91" i="36" s="1"/>
  <c r="K72" i="36"/>
  <c r="L72" i="36" s="1"/>
  <c r="M72" i="36" s="1"/>
  <c r="M27" i="36"/>
  <c r="L8" i="36"/>
  <c r="L14" i="36"/>
  <c r="M178" i="35"/>
  <c r="Q178" i="36" s="1"/>
  <c r="M109" i="35"/>
  <c r="Q109" i="36" s="1"/>
  <c r="H229" i="36"/>
  <c r="K229" i="36" s="1"/>
  <c r="L229" i="36" s="1"/>
  <c r="M229" i="36" s="1"/>
  <c r="K206" i="36"/>
  <c r="L206" i="36" s="1"/>
  <c r="M206" i="36" s="1"/>
  <c r="P30" i="36"/>
  <c r="L11" i="35"/>
  <c r="P11" i="36" s="1"/>
  <c r="L17" i="35"/>
  <c r="P17" i="36" s="1"/>
  <c r="H288" i="36"/>
  <c r="K288" i="36" s="1"/>
  <c r="L288" i="36" s="1"/>
  <c r="M288" i="36" s="1"/>
  <c r="N288" i="36" s="1"/>
  <c r="H299" i="36"/>
  <c r="K299" i="36" s="1"/>
  <c r="L299" i="36" s="1"/>
  <c r="M299" i="36" s="1"/>
  <c r="K276" i="36"/>
  <c r="L276" i="36" s="1"/>
  <c r="M276" i="36" s="1"/>
  <c r="P26" i="36"/>
  <c r="L7" i="35"/>
  <c r="P7" i="36" s="1"/>
  <c r="L13" i="35"/>
  <c r="P13" i="36" s="1"/>
  <c r="O217" i="36"/>
  <c r="L217" i="35"/>
  <c r="P217" i="36" s="1"/>
  <c r="H360" i="36"/>
  <c r="K360" i="36" s="1"/>
  <c r="L360" i="36" s="1"/>
  <c r="M360" i="36" s="1"/>
  <c r="N360" i="36" s="1"/>
  <c r="H369" i="36"/>
  <c r="K369" i="36" s="1"/>
  <c r="L369" i="36" s="1"/>
  <c r="M369" i="36" s="1"/>
  <c r="N369" i="36" s="1"/>
  <c r="K350" i="36"/>
  <c r="L350" i="36" s="1"/>
  <c r="M350" i="36" s="1"/>
  <c r="N350" i="36" s="1"/>
  <c r="H369" i="35"/>
  <c r="K369" i="35" s="1"/>
  <c r="H360" i="35"/>
  <c r="K360" i="35" s="1"/>
  <c r="K350" i="35"/>
  <c r="O264" i="36"/>
  <c r="L264" i="35"/>
  <c r="P264" i="36" s="1"/>
  <c r="O33" i="36"/>
  <c r="L33" i="35"/>
  <c r="M33" i="35" s="1"/>
  <c r="K21" i="35"/>
  <c r="O21" i="36" s="1"/>
  <c r="H225" i="36"/>
  <c r="K225" i="36" s="1"/>
  <c r="L225" i="36" s="1"/>
  <c r="M225" i="36" s="1"/>
  <c r="H214" i="36"/>
  <c r="K214" i="36" s="1"/>
  <c r="L214" i="36" s="1"/>
  <c r="M214" i="36" s="1"/>
  <c r="N214" i="36" s="1"/>
  <c r="K202" i="36"/>
  <c r="L202" i="36" s="1"/>
  <c r="M202" i="36" s="1"/>
  <c r="O337" i="36"/>
  <c r="L337" i="35"/>
  <c r="P337" i="36" s="1"/>
  <c r="K292" i="11"/>
  <c r="K291" i="11"/>
  <c r="K295" i="11"/>
  <c r="K293" i="11"/>
  <c r="K294" i="11"/>
  <c r="H75" i="11"/>
  <c r="H84" i="11"/>
  <c r="K65" i="11"/>
  <c r="H76" i="11"/>
  <c r="K66" i="11"/>
  <c r="H85" i="11"/>
  <c r="H86" i="11"/>
  <c r="K67" i="11"/>
  <c r="H77" i="11"/>
  <c r="H78" i="11"/>
  <c r="K68" i="11"/>
  <c r="H87" i="11"/>
  <c r="M681" i="11"/>
  <c r="M680" i="11"/>
  <c r="M679" i="11"/>
  <c r="M16" i="11"/>
  <c r="M10" i="11"/>
  <c r="L690" i="11"/>
  <c r="K144" i="11"/>
  <c r="K639" i="11"/>
  <c r="L354" i="11"/>
  <c r="K217" i="11"/>
  <c r="H367" i="11"/>
  <c r="K348" i="11"/>
  <c r="H358" i="11"/>
  <c r="K82" i="11"/>
  <c r="K864" i="11"/>
  <c r="L692" i="11"/>
  <c r="L190" i="11"/>
  <c r="M190" i="11" s="1"/>
  <c r="H212" i="11"/>
  <c r="H223" i="11"/>
  <c r="K200" i="11"/>
  <c r="L191" i="11"/>
  <c r="M191" i="11" s="1"/>
  <c r="H433" i="11"/>
  <c r="K414" i="11"/>
  <c r="K136" i="11"/>
  <c r="H159" i="11"/>
  <c r="L353" i="11"/>
  <c r="L526" i="11"/>
  <c r="K872" i="11"/>
  <c r="L17" i="11"/>
  <c r="L11" i="11"/>
  <c r="L693" i="11"/>
  <c r="L188" i="11"/>
  <c r="M188" i="11" s="1"/>
  <c r="K611" i="11"/>
  <c r="H622" i="11"/>
  <c r="H633" i="11"/>
  <c r="L712" i="11"/>
  <c r="L264" i="11"/>
  <c r="M264" i="11" s="1"/>
  <c r="K553" i="11"/>
  <c r="L845" i="11"/>
  <c r="L701" i="11"/>
  <c r="L338" i="11"/>
  <c r="M338" i="11" s="1"/>
  <c r="K777" i="11"/>
  <c r="L702" i="11"/>
  <c r="L691" i="11"/>
  <c r="H158" i="11"/>
  <c r="K135" i="11"/>
  <c r="L189" i="11"/>
  <c r="M189" i="11" s="1"/>
  <c r="K863" i="11"/>
  <c r="H155" i="11"/>
  <c r="K132" i="11"/>
  <c r="L599" i="11"/>
  <c r="K219" i="11"/>
  <c r="K544" i="11"/>
  <c r="K873" i="11"/>
  <c r="M678" i="11"/>
  <c r="L462" i="11"/>
  <c r="M462" i="11" s="1"/>
  <c r="L362" i="11"/>
  <c r="H305" i="11"/>
  <c r="K282" i="11"/>
  <c r="L352" i="11"/>
  <c r="K935" i="11"/>
  <c r="L762" i="11"/>
  <c r="K799" i="11"/>
  <c r="K147" i="11"/>
  <c r="K871" i="11"/>
  <c r="K20" i="11"/>
  <c r="L32" i="11"/>
  <c r="L20" i="11" s="1"/>
  <c r="M13" i="11"/>
  <c r="M7" i="11"/>
  <c r="K145" i="11"/>
  <c r="M17" i="11"/>
  <c r="M11" i="11"/>
  <c r="K127" i="11"/>
  <c r="H150" i="11"/>
  <c r="H139" i="11"/>
  <c r="L461" i="11"/>
  <c r="M461" i="11" s="1"/>
  <c r="K207" i="11"/>
  <c r="H230" i="11"/>
  <c r="L525" i="11"/>
  <c r="K283" i="11"/>
  <c r="H306" i="11"/>
  <c r="K416" i="11"/>
  <c r="H435" i="11"/>
  <c r="K371" i="11"/>
  <c r="K944" i="11"/>
  <c r="K785" i="11"/>
  <c r="K788" i="11"/>
  <c r="L597" i="11"/>
  <c r="L843" i="11"/>
  <c r="L13" i="11"/>
  <c r="L7" i="11"/>
  <c r="L844" i="11"/>
  <c r="H156" i="11"/>
  <c r="K133" i="11"/>
  <c r="L336" i="11"/>
  <c r="M336" i="11" s="1"/>
  <c r="L161" i="11"/>
  <c r="M161" i="11" s="1"/>
  <c r="H434" i="11"/>
  <c r="K415" i="11"/>
  <c r="K535" i="11"/>
  <c r="L335" i="11"/>
  <c r="M335" i="11" s="1"/>
  <c r="K855" i="11"/>
  <c r="L339" i="11"/>
  <c r="M339" i="11" s="1"/>
  <c r="L117" i="11"/>
  <c r="M117" i="11" s="1"/>
  <c r="K426" i="11"/>
  <c r="L694" i="11"/>
  <c r="L596" i="11"/>
  <c r="K926" i="11"/>
  <c r="K796" i="11"/>
  <c r="L33" i="11"/>
  <c r="L21" i="11" s="1"/>
  <c r="K21" i="11"/>
  <c r="H631" i="11"/>
  <c r="H620" i="11"/>
  <c r="K609" i="11"/>
  <c r="K862" i="11"/>
  <c r="L263" i="11"/>
  <c r="M263" i="11" s="1"/>
  <c r="K19" i="11"/>
  <c r="L31" i="11"/>
  <c r="L19" i="11" s="1"/>
  <c r="K854" i="11"/>
  <c r="H303" i="11"/>
  <c r="K280" i="11"/>
  <c r="H143" i="11"/>
  <c r="K131" i="11"/>
  <c r="H154" i="11"/>
  <c r="K425" i="11"/>
  <c r="K23" i="11"/>
  <c r="L35" i="11"/>
  <c r="L23" i="11" s="1"/>
  <c r="H302" i="11"/>
  <c r="K279" i="11"/>
  <c r="L913" i="11"/>
  <c r="L437" i="11"/>
  <c r="M437" i="11" s="1"/>
  <c r="K81" i="11"/>
  <c r="K636" i="11"/>
  <c r="K774" i="11"/>
  <c r="L765" i="11"/>
  <c r="L846" i="11"/>
  <c r="K638" i="11"/>
  <c r="K637" i="11"/>
  <c r="K798" i="11"/>
  <c r="K945" i="11"/>
  <c r="H229" i="11"/>
  <c r="K206" i="11"/>
  <c r="L308" i="11"/>
  <c r="M308" i="11" s="1"/>
  <c r="H141" i="11"/>
  <c r="H152" i="11"/>
  <c r="H980" i="11"/>
  <c r="K129" i="11"/>
  <c r="K635" i="11"/>
  <c r="K924" i="11"/>
  <c r="K410" i="11"/>
  <c r="H429" i="11"/>
  <c r="H420" i="11"/>
  <c r="L364" i="11"/>
  <c r="H90" i="11"/>
  <c r="K71" i="11"/>
  <c r="L527" i="11"/>
  <c r="L459" i="11"/>
  <c r="M459" i="11" s="1"/>
  <c r="L9" i="11"/>
  <c r="L15" i="11"/>
  <c r="L16" i="11"/>
  <c r="L10" i="11"/>
  <c r="K608" i="11"/>
  <c r="H619" i="11"/>
  <c r="H630" i="11"/>
  <c r="L915" i="11"/>
  <c r="K856" i="11"/>
  <c r="L363" i="11"/>
  <c r="K610" i="11"/>
  <c r="H632" i="11"/>
  <c r="H621" i="11"/>
  <c r="L764" i="11"/>
  <c r="K853" i="11"/>
  <c r="K927" i="11"/>
  <c r="K218" i="11"/>
  <c r="H300" i="11"/>
  <c r="K277" i="11"/>
  <c r="H289" i="11"/>
  <c r="H142" i="11"/>
  <c r="H153" i="11"/>
  <c r="K130" i="11"/>
  <c r="H981" i="11"/>
  <c r="K775" i="11"/>
  <c r="K607" i="11"/>
  <c r="H618" i="11"/>
  <c r="H629" i="11"/>
  <c r="M682" i="11"/>
  <c r="H431" i="11"/>
  <c r="H422" i="11"/>
  <c r="K412" i="11"/>
  <c r="K534" i="11"/>
  <c r="K537" i="11"/>
  <c r="K423" i="11"/>
  <c r="M9" i="11"/>
  <c r="M15" i="11"/>
  <c r="L914" i="11"/>
  <c r="L761" i="11"/>
  <c r="K865" i="11"/>
  <c r="L234" i="11"/>
  <c r="M234" i="11" s="1"/>
  <c r="L598" i="11"/>
  <c r="L916" i="11"/>
  <c r="H299" i="11"/>
  <c r="K276" i="11"/>
  <c r="H288" i="11"/>
  <c r="H151" i="11"/>
  <c r="H140" i="11"/>
  <c r="K128" i="11"/>
  <c r="K786" i="11"/>
  <c r="H369" i="11"/>
  <c r="H360" i="11"/>
  <c r="K350" i="11"/>
  <c r="K942" i="11"/>
  <c r="H430" i="11"/>
  <c r="K411" i="11"/>
  <c r="H421" i="11"/>
  <c r="L714" i="11"/>
  <c r="L524" i="11"/>
  <c r="K555" i="11"/>
  <c r="K281" i="11"/>
  <c r="H304" i="11"/>
  <c r="H432" i="11"/>
  <c r="K413" i="11"/>
  <c r="K943" i="11"/>
  <c r="H88" i="11"/>
  <c r="K69" i="11"/>
  <c r="K784" i="11"/>
  <c r="H232" i="11"/>
  <c r="K209" i="11"/>
  <c r="H213" i="11"/>
  <c r="K201" i="11"/>
  <c r="H224" i="11"/>
  <c r="K787" i="11"/>
  <c r="K936" i="11"/>
  <c r="K536" i="11"/>
  <c r="H301" i="11"/>
  <c r="H290" i="11"/>
  <c r="K278" i="11"/>
  <c r="L595" i="11"/>
  <c r="L376" i="11"/>
  <c r="M376" i="11" s="1"/>
  <c r="K208" i="11"/>
  <c r="H231" i="11"/>
  <c r="K933" i="11"/>
  <c r="H419" i="11"/>
  <c r="H428" i="11"/>
  <c r="K409" i="11"/>
  <c r="L705" i="11"/>
  <c r="L715" i="11"/>
  <c r="L716" i="11"/>
  <c r="K552" i="11"/>
  <c r="K546" i="11"/>
  <c r="K80" i="11"/>
  <c r="L365" i="11"/>
  <c r="K934" i="11"/>
  <c r="L115" i="11"/>
  <c r="M115" i="11" s="1"/>
  <c r="K773" i="11"/>
  <c r="K874" i="11"/>
  <c r="L34" i="11"/>
  <c r="L22" i="11" s="1"/>
  <c r="K22" i="11"/>
  <c r="L266" i="11"/>
  <c r="M266" i="11" s="1"/>
  <c r="H214" i="11"/>
  <c r="H225" i="11"/>
  <c r="K202" i="11"/>
  <c r="K776" i="11"/>
  <c r="L713" i="11"/>
  <c r="K554" i="11"/>
  <c r="K274" i="11"/>
  <c r="H286" i="11"/>
  <c r="H297" i="11"/>
  <c r="K373" i="11"/>
  <c r="L763" i="11"/>
  <c r="K205" i="11"/>
  <c r="H228" i="11"/>
  <c r="H370" i="11"/>
  <c r="K351" i="11"/>
  <c r="H361" i="11"/>
  <c r="L704" i="11"/>
  <c r="K220" i="11"/>
  <c r="H91" i="11"/>
  <c r="K72" i="11"/>
  <c r="K543" i="11"/>
  <c r="L116" i="11"/>
  <c r="M116" i="11" s="1"/>
  <c r="L355" i="11"/>
  <c r="L337" i="11"/>
  <c r="M337" i="11" s="1"/>
  <c r="L14" i="11"/>
  <c r="K79" i="11"/>
  <c r="K795" i="11"/>
  <c r="K146" i="11"/>
  <c r="K221" i="11"/>
  <c r="H226" i="11"/>
  <c r="K203" i="11"/>
  <c r="H215" i="11"/>
  <c r="L460" i="11"/>
  <c r="M460" i="11" s="1"/>
  <c r="L192" i="11"/>
  <c r="M192" i="11" s="1"/>
  <c r="K545" i="11"/>
  <c r="H298" i="11"/>
  <c r="H287" i="11"/>
  <c r="K275" i="11"/>
  <c r="K797" i="11"/>
  <c r="L262" i="11"/>
  <c r="M262" i="11" s="1"/>
  <c r="H368" i="11"/>
  <c r="H359" i="11"/>
  <c r="K349" i="11"/>
  <c r="L265" i="11"/>
  <c r="M265" i="11" s="1"/>
  <c r="L703" i="11"/>
  <c r="L118" i="11"/>
  <c r="M118" i="11" s="1"/>
  <c r="H89" i="11"/>
  <c r="K70" i="11"/>
  <c r="K374" i="11"/>
  <c r="K925" i="11"/>
  <c r="M27" i="11"/>
  <c r="H157" i="11"/>
  <c r="K134" i="11"/>
  <c r="H216" i="11"/>
  <c r="H227" i="11"/>
  <c r="K204" i="11"/>
  <c r="K424" i="11"/>
  <c r="K148" i="11"/>
  <c r="K372" i="11"/>
  <c r="N225" i="36" l="1"/>
  <c r="N202" i="36"/>
  <c r="N151" i="36"/>
  <c r="N200" i="36"/>
  <c r="M459" i="35"/>
  <c r="Q459" i="36" s="1"/>
  <c r="M355" i="35"/>
  <c r="Q355" i="36" s="1"/>
  <c r="N153" i="36"/>
  <c r="M372" i="35"/>
  <c r="Q372" i="36" s="1"/>
  <c r="N430" i="36"/>
  <c r="M221" i="35"/>
  <c r="Q221" i="36" s="1"/>
  <c r="M462" i="35"/>
  <c r="Q462" i="36" s="1"/>
  <c r="M461" i="35"/>
  <c r="Q461" i="36" s="1"/>
  <c r="M264" i="35"/>
  <c r="Q264" i="36" s="1"/>
  <c r="M295" i="35"/>
  <c r="Q295" i="36" s="1"/>
  <c r="M337" i="35"/>
  <c r="Q337" i="36" s="1"/>
  <c r="N299" i="36"/>
  <c r="M263" i="35"/>
  <c r="Q263" i="36" s="1"/>
  <c r="M265" i="35"/>
  <c r="Q265" i="36" s="1"/>
  <c r="M188" i="35"/>
  <c r="Q188" i="36" s="1"/>
  <c r="M374" i="35"/>
  <c r="Q374" i="36" s="1"/>
  <c r="M234" i="35"/>
  <c r="Q234" i="36" s="1"/>
  <c r="N370" i="36"/>
  <c r="N227" i="36"/>
  <c r="M189" i="35"/>
  <c r="Q189" i="36" s="1"/>
  <c r="N131" i="36"/>
  <c r="N154" i="36"/>
  <c r="N276" i="36"/>
  <c r="M262" i="35"/>
  <c r="Q262" i="36" s="1"/>
  <c r="M371" i="35"/>
  <c r="Q371" i="36" s="1"/>
  <c r="N127" i="36"/>
  <c r="N277" i="36"/>
  <c r="N203" i="36"/>
  <c r="M118" i="35"/>
  <c r="Q118" i="36" s="1"/>
  <c r="M192" i="35"/>
  <c r="Q192" i="36" s="1"/>
  <c r="M423" i="35"/>
  <c r="Q423" i="36" s="1"/>
  <c r="N65" i="36"/>
  <c r="M220" i="35"/>
  <c r="Q220" i="36" s="1"/>
  <c r="M354" i="35"/>
  <c r="Q354" i="36" s="1"/>
  <c r="M373" i="35"/>
  <c r="Q373" i="36" s="1"/>
  <c r="M219" i="35"/>
  <c r="Q219" i="36" s="1"/>
  <c r="M335" i="35"/>
  <c r="Q335" i="36" s="1"/>
  <c r="N411" i="36"/>
  <c r="N226" i="36"/>
  <c r="M144" i="35"/>
  <c r="Q144" i="36" s="1"/>
  <c r="N85" i="36"/>
  <c r="M116" i="35"/>
  <c r="Q116" i="36" s="1"/>
  <c r="M79" i="35"/>
  <c r="Q79" i="36" s="1"/>
  <c r="M31" i="36"/>
  <c r="M19" i="36" s="1"/>
  <c r="Q33" i="36"/>
  <c r="M21" i="35"/>
  <c r="Q21" i="36" s="1"/>
  <c r="M217" i="35"/>
  <c r="Q217" i="36" s="1"/>
  <c r="M336" i="35"/>
  <c r="N86" i="36"/>
  <c r="N130" i="36"/>
  <c r="O359" i="36"/>
  <c r="L359" i="35"/>
  <c r="P359" i="36" s="1"/>
  <c r="M424" i="35"/>
  <c r="Q424" i="36" s="1"/>
  <c r="M376" i="35"/>
  <c r="Q376" i="36" s="1"/>
  <c r="Q400" i="36"/>
  <c r="O209" i="36"/>
  <c r="L209" i="35"/>
  <c r="P209" i="36" s="1"/>
  <c r="M218" i="35"/>
  <c r="Q218" i="36" s="1"/>
  <c r="O141" i="36"/>
  <c r="L141" i="35"/>
  <c r="P141" i="36" s="1"/>
  <c r="M294" i="35"/>
  <c r="Q294" i="36" s="1"/>
  <c r="P34" i="36"/>
  <c r="L22" i="35"/>
  <c r="P22" i="36" s="1"/>
  <c r="O430" i="36"/>
  <c r="L430" i="35"/>
  <c r="P430" i="36" s="1"/>
  <c r="O214" i="36"/>
  <c r="L214" i="35"/>
  <c r="P214" i="36" s="1"/>
  <c r="N301" i="36"/>
  <c r="M146" i="35"/>
  <c r="Q146" i="36" s="1"/>
  <c r="O306" i="36"/>
  <c r="L306" i="35"/>
  <c r="P306" i="36" s="1"/>
  <c r="M426" i="35"/>
  <c r="Q426" i="36" s="1"/>
  <c r="O204" i="36"/>
  <c r="L204" i="35"/>
  <c r="P204" i="36" s="1"/>
  <c r="H1001" i="36"/>
  <c r="H993" i="36"/>
  <c r="K993" i="36" s="1"/>
  <c r="L993" i="36" s="1"/>
  <c r="M993" i="36" s="1"/>
  <c r="H985" i="36"/>
  <c r="K985" i="36" s="1"/>
  <c r="L985" i="36" s="1"/>
  <c r="M985" i="36" s="1"/>
  <c r="H997" i="36"/>
  <c r="K997" i="36" s="1"/>
  <c r="L997" i="36" s="1"/>
  <c r="M997" i="36" s="1"/>
  <c r="H989" i="36"/>
  <c r="K989" i="36" s="1"/>
  <c r="K981" i="36"/>
  <c r="L981" i="36" s="1"/>
  <c r="M981" i="36" s="1"/>
  <c r="N412" i="36"/>
  <c r="M34" i="36"/>
  <c r="M22" i="36" s="1"/>
  <c r="L22" i="36"/>
  <c r="O225" i="36"/>
  <c r="L225" i="35"/>
  <c r="P225" i="36" s="1"/>
  <c r="O207" i="36"/>
  <c r="L207" i="35"/>
  <c r="P207" i="36" s="1"/>
  <c r="O157" i="36"/>
  <c r="L157" i="35"/>
  <c r="P157" i="36" s="1"/>
  <c r="N204" i="36"/>
  <c r="O227" i="36"/>
  <c r="L227" i="35"/>
  <c r="P227" i="36" s="1"/>
  <c r="M291" i="35"/>
  <c r="Q291" i="36" s="1"/>
  <c r="O132" i="36"/>
  <c r="L132" i="35"/>
  <c r="P132" i="36" s="1"/>
  <c r="O349" i="36"/>
  <c r="L349" i="35"/>
  <c r="P349" i="36" s="1"/>
  <c r="M115" i="35"/>
  <c r="Q115" i="36" s="1"/>
  <c r="O409" i="36"/>
  <c r="L409" i="35"/>
  <c r="P409" i="36" s="1"/>
  <c r="M9" i="36"/>
  <c r="M15" i="36"/>
  <c r="N431" i="36"/>
  <c r="M425" i="35"/>
  <c r="Q425" i="36" s="1"/>
  <c r="M353" i="35"/>
  <c r="Q353" i="36" s="1"/>
  <c r="M308" i="35"/>
  <c r="Q308" i="36" s="1"/>
  <c r="M80" i="35"/>
  <c r="Q80" i="36" s="1"/>
  <c r="M338" i="35"/>
  <c r="Q338" i="36" s="1"/>
  <c r="O230" i="36"/>
  <c r="L230" i="35"/>
  <c r="P230" i="36" s="1"/>
  <c r="N300" i="36"/>
  <c r="M117" i="35"/>
  <c r="Q117" i="36" s="1"/>
  <c r="P117" i="36"/>
  <c r="O232" i="36"/>
  <c r="L232" i="35"/>
  <c r="P232" i="36" s="1"/>
  <c r="O155" i="36"/>
  <c r="L155" i="35"/>
  <c r="P155" i="36" s="1"/>
  <c r="O70" i="36"/>
  <c r="L70" i="35"/>
  <c r="P70" i="36" s="1"/>
  <c r="O135" i="36"/>
  <c r="L135" i="35"/>
  <c r="P135" i="36" s="1"/>
  <c r="O301" i="36"/>
  <c r="L301" i="35"/>
  <c r="P301" i="36" s="1"/>
  <c r="Q394" i="36"/>
  <c r="O422" i="36"/>
  <c r="L422" i="35"/>
  <c r="P422" i="36" s="1"/>
  <c r="O419" i="36"/>
  <c r="L419" i="35"/>
  <c r="P419" i="36" s="1"/>
  <c r="O213" i="36"/>
  <c r="L213" i="35"/>
  <c r="P213" i="36" s="1"/>
  <c r="O89" i="36"/>
  <c r="L89" i="35"/>
  <c r="P89" i="36" s="1"/>
  <c r="O414" i="36"/>
  <c r="L414" i="35"/>
  <c r="P414" i="36" s="1"/>
  <c r="Q32" i="36"/>
  <c r="M20" i="35"/>
  <c r="Q20" i="36" s="1"/>
  <c r="Q323" i="36"/>
  <c r="O127" i="36"/>
  <c r="L127" i="35"/>
  <c r="P127" i="36" s="1"/>
  <c r="O278" i="36"/>
  <c r="L278" i="35"/>
  <c r="P278" i="36" s="1"/>
  <c r="Q386" i="36"/>
  <c r="O205" i="36"/>
  <c r="L205" i="35"/>
  <c r="P205" i="36" s="1"/>
  <c r="P35" i="36"/>
  <c r="L23" i="35"/>
  <c r="P23" i="36" s="1"/>
  <c r="O158" i="36"/>
  <c r="L158" i="35"/>
  <c r="P158" i="36" s="1"/>
  <c r="O290" i="36"/>
  <c r="L290" i="35"/>
  <c r="P290" i="36" s="1"/>
  <c r="O431" i="36"/>
  <c r="L431" i="35"/>
  <c r="P431" i="36" s="1"/>
  <c r="M10" i="36"/>
  <c r="M16" i="36"/>
  <c r="O275" i="36"/>
  <c r="L275" i="35"/>
  <c r="P275" i="36" s="1"/>
  <c r="O410" i="36"/>
  <c r="L410" i="35"/>
  <c r="P410" i="36" s="1"/>
  <c r="O224" i="36"/>
  <c r="L224" i="35"/>
  <c r="P224" i="36" s="1"/>
  <c r="O203" i="36"/>
  <c r="L203" i="35"/>
  <c r="P203" i="36" s="1"/>
  <c r="O433" i="36"/>
  <c r="L433" i="35"/>
  <c r="P433" i="36" s="1"/>
  <c r="P32" i="36"/>
  <c r="L20" i="35"/>
  <c r="P20" i="36" s="1"/>
  <c r="O150" i="36"/>
  <c r="L150" i="35"/>
  <c r="P150" i="36" s="1"/>
  <c r="O350" i="36"/>
  <c r="L350" i="35"/>
  <c r="P350" i="36" s="1"/>
  <c r="M8" i="36"/>
  <c r="M14" i="36"/>
  <c r="O130" i="36"/>
  <c r="L130" i="35"/>
  <c r="P130" i="36" s="1"/>
  <c r="O228" i="36"/>
  <c r="L228" i="35"/>
  <c r="P228" i="36" s="1"/>
  <c r="M35" i="35"/>
  <c r="O131" i="36"/>
  <c r="L131" i="35"/>
  <c r="P131" i="36" s="1"/>
  <c r="O351" i="36"/>
  <c r="L351" i="35"/>
  <c r="P351" i="36" s="1"/>
  <c r="N84" i="36"/>
  <c r="N150" i="36"/>
  <c r="O279" i="36"/>
  <c r="L279" i="35"/>
  <c r="P279" i="36" s="1"/>
  <c r="N128" i="36"/>
  <c r="O274" i="36"/>
  <c r="L274" i="35"/>
  <c r="P274" i="36" s="1"/>
  <c r="M148" i="35"/>
  <c r="Q148" i="36" s="1"/>
  <c r="O287" i="36"/>
  <c r="L287" i="35"/>
  <c r="P287" i="36" s="1"/>
  <c r="O420" i="36"/>
  <c r="L420" i="35"/>
  <c r="P420" i="36" s="1"/>
  <c r="Q27" i="36"/>
  <c r="M8" i="35"/>
  <c r="Q8" i="36" s="1"/>
  <c r="M14" i="35"/>
  <c r="Q14" i="36" s="1"/>
  <c r="O68" i="36"/>
  <c r="L68" i="35"/>
  <c r="P68" i="36" s="1"/>
  <c r="M292" i="35"/>
  <c r="Q292" i="36" s="1"/>
  <c r="O226" i="36"/>
  <c r="L226" i="35"/>
  <c r="P226" i="36" s="1"/>
  <c r="M460" i="35"/>
  <c r="Q460" i="36" s="1"/>
  <c r="O139" i="36"/>
  <c r="L139" i="35"/>
  <c r="P139" i="36" s="1"/>
  <c r="O128" i="36"/>
  <c r="L128" i="35"/>
  <c r="P128" i="36" s="1"/>
  <c r="O360" i="36"/>
  <c r="L360" i="35"/>
  <c r="P360" i="36" s="1"/>
  <c r="O153" i="36"/>
  <c r="L153" i="35"/>
  <c r="P153" i="36" s="1"/>
  <c r="O154" i="36"/>
  <c r="L154" i="35"/>
  <c r="P154" i="36" s="1"/>
  <c r="O416" i="36"/>
  <c r="L416" i="35"/>
  <c r="P416" i="36" s="1"/>
  <c r="O361" i="36"/>
  <c r="L361" i="35"/>
  <c r="P361" i="36" s="1"/>
  <c r="O302" i="36"/>
  <c r="L302" i="35"/>
  <c r="P302" i="36" s="1"/>
  <c r="O297" i="36"/>
  <c r="L297" i="35"/>
  <c r="P297" i="36" s="1"/>
  <c r="M35" i="36"/>
  <c r="M23" i="36" s="1"/>
  <c r="L23" i="36"/>
  <c r="O71" i="36"/>
  <c r="L71" i="35"/>
  <c r="P71" i="36" s="1"/>
  <c r="O298" i="36"/>
  <c r="L298" i="35"/>
  <c r="P298" i="36" s="1"/>
  <c r="O429" i="36"/>
  <c r="L429" i="35"/>
  <c r="O65" i="36"/>
  <c r="L65" i="35"/>
  <c r="P65" i="36" s="1"/>
  <c r="Q31" i="36"/>
  <c r="M19" i="35"/>
  <c r="Q19" i="36" s="1"/>
  <c r="O78" i="36"/>
  <c r="L78" i="35"/>
  <c r="P78" i="36" s="1"/>
  <c r="O215" i="36"/>
  <c r="L215" i="35"/>
  <c r="P215" i="36" s="1"/>
  <c r="N68" i="36"/>
  <c r="O151" i="36"/>
  <c r="L151" i="35"/>
  <c r="P151" i="36" s="1"/>
  <c r="O368" i="36"/>
  <c r="L368" i="35"/>
  <c r="P368" i="36" s="1"/>
  <c r="O412" i="36"/>
  <c r="L412" i="35"/>
  <c r="P412" i="36" s="1"/>
  <c r="O369" i="36"/>
  <c r="L369" i="35"/>
  <c r="P369" i="36" s="1"/>
  <c r="O142" i="36"/>
  <c r="L142" i="35"/>
  <c r="P142" i="36" s="1"/>
  <c r="O348" i="36"/>
  <c r="L348" i="35"/>
  <c r="P348" i="36" s="1"/>
  <c r="N410" i="36"/>
  <c r="O143" i="36"/>
  <c r="L143" i="35"/>
  <c r="P143" i="36" s="1"/>
  <c r="O435" i="36"/>
  <c r="L435" i="35"/>
  <c r="P435" i="36" s="1"/>
  <c r="O370" i="36"/>
  <c r="L370" i="35"/>
  <c r="P370" i="36" s="1"/>
  <c r="O276" i="36"/>
  <c r="L276" i="35"/>
  <c r="P276" i="36" s="1"/>
  <c r="M161" i="35"/>
  <c r="Q161" i="36" s="1"/>
  <c r="M147" i="35"/>
  <c r="Q147" i="36" s="1"/>
  <c r="M352" i="35"/>
  <c r="Q352" i="36" s="1"/>
  <c r="O286" i="36"/>
  <c r="L286" i="35"/>
  <c r="P286" i="36" s="1"/>
  <c r="O90" i="36"/>
  <c r="L90" i="35"/>
  <c r="P90" i="36" s="1"/>
  <c r="N129" i="36"/>
  <c r="O206" i="36"/>
  <c r="L206" i="35"/>
  <c r="P206" i="36" s="1"/>
  <c r="O84" i="36"/>
  <c r="L84" i="35"/>
  <c r="P84" i="36" s="1"/>
  <c r="O133" i="36"/>
  <c r="L133" i="35"/>
  <c r="P133" i="36" s="1"/>
  <c r="O72" i="36"/>
  <c r="L72" i="35"/>
  <c r="P72" i="36" s="1"/>
  <c r="P31" i="36"/>
  <c r="L19" i="35"/>
  <c r="P19" i="36" s="1"/>
  <c r="O87" i="36"/>
  <c r="L87" i="35"/>
  <c r="P87" i="36" s="1"/>
  <c r="O413" i="36"/>
  <c r="L413" i="35"/>
  <c r="P413" i="36" s="1"/>
  <c r="M437" i="35"/>
  <c r="O281" i="36"/>
  <c r="L281" i="35"/>
  <c r="P281" i="36" s="1"/>
  <c r="M266" i="35"/>
  <c r="Q266" i="36" s="1"/>
  <c r="O140" i="36"/>
  <c r="L140" i="35"/>
  <c r="P140" i="36" s="1"/>
  <c r="O134" i="36"/>
  <c r="L134" i="35"/>
  <c r="P134" i="36" s="1"/>
  <c r="O216" i="36"/>
  <c r="L216" i="35"/>
  <c r="P216" i="36" s="1"/>
  <c r="O428" i="36"/>
  <c r="L428" i="35"/>
  <c r="P428" i="36" s="1"/>
  <c r="O201" i="36"/>
  <c r="L201" i="35"/>
  <c r="P201" i="36" s="1"/>
  <c r="H997" i="35"/>
  <c r="K997" i="35" s="1"/>
  <c r="H989" i="35"/>
  <c r="K989" i="35" s="1"/>
  <c r="H1001" i="35"/>
  <c r="H993" i="35"/>
  <c r="K993" i="35" s="1"/>
  <c r="H985" i="35"/>
  <c r="K985" i="35" s="1"/>
  <c r="K981" i="35"/>
  <c r="L297" i="36"/>
  <c r="M297" i="36" s="1"/>
  <c r="N297" i="36" s="1"/>
  <c r="O367" i="36"/>
  <c r="L367" i="35"/>
  <c r="P367" i="36" s="1"/>
  <c r="Q387" i="36"/>
  <c r="M93" i="35"/>
  <c r="Q93" i="36" s="1"/>
  <c r="O288" i="36"/>
  <c r="L288" i="35"/>
  <c r="P288" i="36" s="1"/>
  <c r="O136" i="36"/>
  <c r="L136" i="35"/>
  <c r="P136" i="36" s="1"/>
  <c r="M191" i="35"/>
  <c r="Q191" i="36" s="1"/>
  <c r="N409" i="36"/>
  <c r="O66" i="36"/>
  <c r="L66" i="35"/>
  <c r="P66" i="36" s="1"/>
  <c r="N152" i="36"/>
  <c r="O277" i="36"/>
  <c r="L277" i="35"/>
  <c r="P277" i="36" s="1"/>
  <c r="O200" i="36"/>
  <c r="L200" i="35"/>
  <c r="P200" i="36" s="1"/>
  <c r="O129" i="36"/>
  <c r="L129" i="35"/>
  <c r="P129" i="36" s="1"/>
  <c r="O229" i="36"/>
  <c r="L229" i="35"/>
  <c r="P229" i="36" s="1"/>
  <c r="O208" i="36"/>
  <c r="L208" i="35"/>
  <c r="P208" i="36" s="1"/>
  <c r="O75" i="36"/>
  <c r="L75" i="35"/>
  <c r="P75" i="36" s="1"/>
  <c r="M339" i="35"/>
  <c r="Q339" i="36" s="1"/>
  <c r="O156" i="36"/>
  <c r="L156" i="35"/>
  <c r="P156" i="36" s="1"/>
  <c r="O91" i="36"/>
  <c r="L91" i="35"/>
  <c r="P91" i="36" s="1"/>
  <c r="O282" i="36"/>
  <c r="L282" i="35"/>
  <c r="P282" i="36" s="1"/>
  <c r="O432" i="36"/>
  <c r="L432" i="35"/>
  <c r="P432" i="36" s="1"/>
  <c r="N275" i="36"/>
  <c r="O67" i="36"/>
  <c r="L67" i="35"/>
  <c r="P67" i="36" s="1"/>
  <c r="O304" i="36"/>
  <c r="L304" i="35"/>
  <c r="P304" i="36" s="1"/>
  <c r="Q340" i="36"/>
  <c r="O280" i="36"/>
  <c r="L280" i="35"/>
  <c r="P280" i="36" s="1"/>
  <c r="N87" i="36"/>
  <c r="P33" i="36"/>
  <c r="L21" i="35"/>
  <c r="P21" i="36" s="1"/>
  <c r="M33" i="36"/>
  <c r="M21" i="36" s="1"/>
  <c r="L21" i="36"/>
  <c r="N67" i="36"/>
  <c r="O358" i="36"/>
  <c r="L358" i="35"/>
  <c r="P358" i="36" s="1"/>
  <c r="N429" i="36"/>
  <c r="O299" i="36"/>
  <c r="L299" i="35"/>
  <c r="P299" i="36" s="1"/>
  <c r="O159" i="36"/>
  <c r="L159" i="35"/>
  <c r="P159" i="36" s="1"/>
  <c r="N223" i="36"/>
  <c r="O85" i="36"/>
  <c r="L85" i="35"/>
  <c r="P85" i="36" s="1"/>
  <c r="O289" i="36"/>
  <c r="L289" i="35"/>
  <c r="P289" i="36" s="1"/>
  <c r="O223" i="36"/>
  <c r="L223" i="35"/>
  <c r="P223" i="36" s="1"/>
  <c r="H1000" i="35"/>
  <c r="H992" i="35"/>
  <c r="K992" i="35" s="1"/>
  <c r="H988" i="35"/>
  <c r="K988" i="35" s="1"/>
  <c r="H984" i="35"/>
  <c r="K984" i="35" s="1"/>
  <c r="H996" i="35"/>
  <c r="K996" i="35" s="1"/>
  <c r="K980" i="35"/>
  <c r="O231" i="36"/>
  <c r="L231" i="35"/>
  <c r="P231" i="36" s="1"/>
  <c r="O415" i="36"/>
  <c r="L415" i="35"/>
  <c r="P415" i="36" s="1"/>
  <c r="O411" i="36"/>
  <c r="L411" i="35"/>
  <c r="P411" i="36" s="1"/>
  <c r="O305" i="36"/>
  <c r="L305" i="35"/>
  <c r="P305" i="36" s="1"/>
  <c r="N278" i="36"/>
  <c r="N298" i="36"/>
  <c r="O86" i="36"/>
  <c r="L86" i="35"/>
  <c r="P86" i="36" s="1"/>
  <c r="N201" i="36"/>
  <c r="O303" i="36"/>
  <c r="L303" i="35"/>
  <c r="P303" i="36" s="1"/>
  <c r="O69" i="36"/>
  <c r="L69" i="35"/>
  <c r="P69" i="36" s="1"/>
  <c r="M11" i="36"/>
  <c r="M17" i="36"/>
  <c r="M81" i="35"/>
  <c r="Q81" i="36" s="1"/>
  <c r="M7" i="36"/>
  <c r="M13" i="36"/>
  <c r="N274" i="36"/>
  <c r="M190" i="35"/>
  <c r="Q190" i="36" s="1"/>
  <c r="Q321" i="36"/>
  <c r="N428" i="36"/>
  <c r="O76" i="36"/>
  <c r="L76" i="35"/>
  <c r="P76" i="36" s="1"/>
  <c r="H996" i="36"/>
  <c r="K996" i="36" s="1"/>
  <c r="L996" i="36" s="1"/>
  <c r="M996" i="36" s="1"/>
  <c r="H984" i="36"/>
  <c r="K984" i="36" s="1"/>
  <c r="L984" i="36" s="1"/>
  <c r="M984" i="36" s="1"/>
  <c r="H988" i="36"/>
  <c r="K988" i="36" s="1"/>
  <c r="L988" i="36" s="1"/>
  <c r="M988" i="36" s="1"/>
  <c r="H1000" i="36"/>
  <c r="H992" i="36"/>
  <c r="K992" i="36" s="1"/>
  <c r="L992" i="36" s="1"/>
  <c r="M992" i="36" s="1"/>
  <c r="K980" i="36"/>
  <c r="L980" i="36" s="1"/>
  <c r="M980" i="36" s="1"/>
  <c r="O300" i="36"/>
  <c r="L300" i="35"/>
  <c r="P300" i="36" s="1"/>
  <c r="O212" i="36"/>
  <c r="L212" i="35"/>
  <c r="P212" i="36" s="1"/>
  <c r="O152" i="36"/>
  <c r="L152" i="35"/>
  <c r="P152" i="36" s="1"/>
  <c r="M145" i="35"/>
  <c r="Q145" i="36" s="1"/>
  <c r="M82" i="35"/>
  <c r="Q82" i="36" s="1"/>
  <c r="M32" i="36"/>
  <c r="M20" i="36" s="1"/>
  <c r="L20" i="36"/>
  <c r="O434" i="36"/>
  <c r="L434" i="35"/>
  <c r="P434" i="36" s="1"/>
  <c r="M34" i="35"/>
  <c r="O421" i="36"/>
  <c r="L421" i="35"/>
  <c r="P421" i="36" s="1"/>
  <c r="O202" i="36"/>
  <c r="L202" i="35"/>
  <c r="P202" i="36" s="1"/>
  <c r="O283" i="36"/>
  <c r="L283" i="35"/>
  <c r="P283" i="36" s="1"/>
  <c r="O77" i="36"/>
  <c r="L77" i="35"/>
  <c r="P77" i="36" s="1"/>
  <c r="M293" i="35"/>
  <c r="Q293" i="36" s="1"/>
  <c r="N224" i="36"/>
  <c r="N66" i="36"/>
  <c r="O88" i="36"/>
  <c r="L88" i="35"/>
  <c r="P88" i="36" s="1"/>
  <c r="K286" i="11"/>
  <c r="K289" i="11"/>
  <c r="K288" i="11"/>
  <c r="K287" i="11"/>
  <c r="K290" i="11"/>
  <c r="L294" i="11"/>
  <c r="L293" i="11"/>
  <c r="L295" i="11"/>
  <c r="L291" i="11"/>
  <c r="L292" i="11"/>
  <c r="K75" i="11"/>
  <c r="K84" i="11"/>
  <c r="K76" i="11"/>
  <c r="K86" i="11"/>
  <c r="L67" i="11"/>
  <c r="K77" i="11"/>
  <c r="L65" i="11"/>
  <c r="L66" i="11"/>
  <c r="K85" i="11"/>
  <c r="K78" i="11"/>
  <c r="L68" i="11"/>
  <c r="K87" i="11"/>
  <c r="N676" i="11"/>
  <c r="N674" i="11"/>
  <c r="N675" i="11"/>
  <c r="M715" i="11"/>
  <c r="M712" i="11"/>
  <c r="M701" i="11"/>
  <c r="M843" i="11"/>
  <c r="M913" i="11"/>
  <c r="M694" i="11"/>
  <c r="M595" i="11"/>
  <c r="M597" i="11"/>
  <c r="N592" i="11" s="1"/>
  <c r="M761" i="11"/>
  <c r="M353" i="11"/>
  <c r="M596" i="11"/>
  <c r="M916" i="11"/>
  <c r="M846" i="11"/>
  <c r="M362" i="11"/>
  <c r="M763" i="11"/>
  <c r="M691" i="11"/>
  <c r="N686" i="11" s="1"/>
  <c r="M526" i="11"/>
  <c r="M527" i="11"/>
  <c r="M762" i="11"/>
  <c r="M599" i="11"/>
  <c r="M690" i="11"/>
  <c r="L70" i="11"/>
  <c r="K359" i="11"/>
  <c r="L275" i="11"/>
  <c r="K301" i="11"/>
  <c r="K422" i="11"/>
  <c r="L218" i="11"/>
  <c r="L610" i="11"/>
  <c r="K429" i="11"/>
  <c r="K152" i="11"/>
  <c r="L945" i="11"/>
  <c r="L636" i="11"/>
  <c r="L944" i="11"/>
  <c r="K139" i="11"/>
  <c r="K305" i="11"/>
  <c r="L219" i="11"/>
  <c r="K155" i="11"/>
  <c r="M845" i="11"/>
  <c r="L611" i="11"/>
  <c r="L200" i="11"/>
  <c r="L217" i="11"/>
  <c r="K298" i="11"/>
  <c r="K89" i="11"/>
  <c r="L543" i="11"/>
  <c r="L373" i="11"/>
  <c r="M705" i="11"/>
  <c r="L208" i="11"/>
  <c r="K213" i="11"/>
  <c r="L350" i="11"/>
  <c r="M598" i="11"/>
  <c r="K431" i="11"/>
  <c r="L410" i="11"/>
  <c r="K141" i="11"/>
  <c r="L81" i="11"/>
  <c r="K230" i="11"/>
  <c r="K150" i="11"/>
  <c r="L871" i="11"/>
  <c r="M693" i="11"/>
  <c r="K159" i="11"/>
  <c r="K223" i="11"/>
  <c r="K215" i="11"/>
  <c r="L424" i="11"/>
  <c r="K368" i="11"/>
  <c r="L221" i="11"/>
  <c r="L146" i="11"/>
  <c r="L220" i="11"/>
  <c r="L274" i="11"/>
  <c r="L554" i="11"/>
  <c r="L536" i="11"/>
  <c r="K360" i="11"/>
  <c r="H989" i="11"/>
  <c r="H993" i="11"/>
  <c r="H997" i="11"/>
  <c r="K981" i="11"/>
  <c r="H985" i="11"/>
  <c r="H1001" i="11"/>
  <c r="L798" i="11"/>
  <c r="L638" i="11"/>
  <c r="L415" i="11"/>
  <c r="K306" i="11"/>
  <c r="L207" i="11"/>
  <c r="L127" i="11"/>
  <c r="L777" i="11"/>
  <c r="L136" i="11"/>
  <c r="K212" i="11"/>
  <c r="K358" i="11"/>
  <c r="L552" i="11"/>
  <c r="K369" i="11"/>
  <c r="L865" i="11"/>
  <c r="L130" i="11"/>
  <c r="L927" i="11"/>
  <c r="L924" i="11"/>
  <c r="K154" i="11"/>
  <c r="L426" i="11"/>
  <c r="L283" i="11"/>
  <c r="L135" i="11"/>
  <c r="M703" i="11"/>
  <c r="L203" i="11"/>
  <c r="L795" i="11"/>
  <c r="M34" i="11"/>
  <c r="M22" i="11" s="1"/>
  <c r="L555" i="11"/>
  <c r="K153" i="11"/>
  <c r="M363" i="11"/>
  <c r="M915" i="11"/>
  <c r="L635" i="11"/>
  <c r="L279" i="11"/>
  <c r="L796" i="11"/>
  <c r="L535" i="11"/>
  <c r="K434" i="11"/>
  <c r="L788" i="11"/>
  <c r="K435" i="11"/>
  <c r="L544" i="11"/>
  <c r="K158" i="11"/>
  <c r="L348" i="11"/>
  <c r="L148" i="11"/>
  <c r="L797" i="11"/>
  <c r="K226" i="11"/>
  <c r="K228" i="11"/>
  <c r="L202" i="11"/>
  <c r="L773" i="11"/>
  <c r="L409" i="11"/>
  <c r="L413" i="11"/>
  <c r="K421" i="11"/>
  <c r="L423" i="11"/>
  <c r="K142" i="11"/>
  <c r="L277" i="11"/>
  <c r="L853" i="11"/>
  <c r="M765" i="11"/>
  <c r="K302" i="11"/>
  <c r="L131" i="11"/>
  <c r="L280" i="11"/>
  <c r="L609" i="11"/>
  <c r="L133" i="11"/>
  <c r="M844" i="11"/>
  <c r="L371" i="11"/>
  <c r="L416" i="11"/>
  <c r="M525" i="11"/>
  <c r="L935" i="11"/>
  <c r="K367" i="11"/>
  <c r="L79" i="11"/>
  <c r="L776" i="11"/>
  <c r="K225" i="11"/>
  <c r="L874" i="11"/>
  <c r="K428" i="11"/>
  <c r="L784" i="11"/>
  <c r="K432" i="11"/>
  <c r="L411" i="11"/>
  <c r="L786" i="11"/>
  <c r="L276" i="11"/>
  <c r="L537" i="11"/>
  <c r="K629" i="11"/>
  <c r="K300" i="11"/>
  <c r="L637" i="11"/>
  <c r="K143" i="11"/>
  <c r="L855" i="11"/>
  <c r="L147" i="11"/>
  <c r="L872" i="11"/>
  <c r="L414" i="11"/>
  <c r="M14" i="11"/>
  <c r="M8" i="11"/>
  <c r="M704" i="11"/>
  <c r="L205" i="11"/>
  <c r="M716" i="11"/>
  <c r="K304" i="11"/>
  <c r="K430" i="11"/>
  <c r="K299" i="11"/>
  <c r="L534" i="11"/>
  <c r="K618" i="11"/>
  <c r="K303" i="11"/>
  <c r="K620" i="11"/>
  <c r="L926" i="11"/>
  <c r="K156" i="11"/>
  <c r="L374" i="11"/>
  <c r="L545" i="11"/>
  <c r="K361" i="11"/>
  <c r="K214" i="11"/>
  <c r="L934" i="11"/>
  <c r="K419" i="11"/>
  <c r="L936" i="11"/>
  <c r="L209" i="11"/>
  <c r="L69" i="11"/>
  <c r="M914" i="11"/>
  <c r="L607" i="11"/>
  <c r="L856" i="11"/>
  <c r="K630" i="11"/>
  <c r="M364" i="11"/>
  <c r="M35" i="11"/>
  <c r="M23" i="11" s="1"/>
  <c r="L854" i="11"/>
  <c r="K631" i="11"/>
  <c r="L799" i="11"/>
  <c r="M702" i="11"/>
  <c r="L553" i="11"/>
  <c r="K433" i="11"/>
  <c r="L864" i="11"/>
  <c r="M354" i="11"/>
  <c r="L204" i="11"/>
  <c r="K227" i="11"/>
  <c r="L72" i="11"/>
  <c r="M365" i="11"/>
  <c r="L80" i="11"/>
  <c r="L933" i="11"/>
  <c r="L278" i="11"/>
  <c r="L787" i="11"/>
  <c r="K232" i="11"/>
  <c r="L281" i="11"/>
  <c r="M714" i="11"/>
  <c r="L942" i="11"/>
  <c r="L128" i="11"/>
  <c r="N677" i="11"/>
  <c r="M764" i="11"/>
  <c r="K619" i="11"/>
  <c r="L71" i="11"/>
  <c r="L206" i="11"/>
  <c r="L785" i="11"/>
  <c r="M32" i="11"/>
  <c r="M20" i="11" s="1"/>
  <c r="L863" i="11"/>
  <c r="K633" i="11"/>
  <c r="M692" i="11"/>
  <c r="L639" i="11"/>
  <c r="L925" i="11"/>
  <c r="L372" i="11"/>
  <c r="L134" i="11"/>
  <c r="M355" i="11"/>
  <c r="L351" i="11"/>
  <c r="M713" i="11"/>
  <c r="K224" i="11"/>
  <c r="K88" i="11"/>
  <c r="M524" i="11"/>
  <c r="K140" i="11"/>
  <c r="K621" i="11"/>
  <c r="K90" i="11"/>
  <c r="L129" i="11"/>
  <c r="K229" i="11"/>
  <c r="L774" i="11"/>
  <c r="L145" i="11"/>
  <c r="L282" i="11"/>
  <c r="N673" i="11"/>
  <c r="L873" i="11"/>
  <c r="L132" i="11"/>
  <c r="K622" i="11"/>
  <c r="K216" i="11"/>
  <c r="K157" i="11"/>
  <c r="L349" i="11"/>
  <c r="K91" i="11"/>
  <c r="K370" i="11"/>
  <c r="K297" i="11"/>
  <c r="L546" i="11"/>
  <c r="K231" i="11"/>
  <c r="L201" i="11"/>
  <c r="L943" i="11"/>
  <c r="K151" i="11"/>
  <c r="L412" i="11"/>
  <c r="L775" i="11"/>
  <c r="K632" i="11"/>
  <c r="L608" i="11"/>
  <c r="K420" i="11"/>
  <c r="H996" i="11"/>
  <c r="H988" i="11"/>
  <c r="H984" i="11"/>
  <c r="H992" i="11"/>
  <c r="K980" i="11"/>
  <c r="H1000" i="11"/>
  <c r="L425" i="11"/>
  <c r="M31" i="11"/>
  <c r="M19" i="11" s="1"/>
  <c r="L862" i="11"/>
  <c r="M33" i="11"/>
  <c r="M21" i="11" s="1"/>
  <c r="M352" i="11"/>
  <c r="L82" i="11"/>
  <c r="L144" i="11"/>
  <c r="M274" i="35" l="1"/>
  <c r="Q274" i="36" s="1"/>
  <c r="M304" i="35"/>
  <c r="Q304" i="36" s="1"/>
  <c r="M156" i="35"/>
  <c r="Q156" i="36" s="1"/>
  <c r="M157" i="35"/>
  <c r="Q157" i="36" s="1"/>
  <c r="M289" i="35"/>
  <c r="Q289" i="36" s="1"/>
  <c r="M153" i="35"/>
  <c r="M226" i="35"/>
  <c r="Q226" i="36" s="1"/>
  <c r="M421" i="35"/>
  <c r="Q421" i="36" s="1"/>
  <c r="M435" i="35"/>
  <c r="Q435" i="36" s="1"/>
  <c r="M302" i="35"/>
  <c r="Q302" i="36" s="1"/>
  <c r="M141" i="35"/>
  <c r="N141" i="35" s="1"/>
  <c r="R141" i="36" s="1"/>
  <c r="M128" i="35"/>
  <c r="Q128" i="36" s="1"/>
  <c r="M230" i="35"/>
  <c r="Q230" i="36" s="1"/>
  <c r="M283" i="35"/>
  <c r="Q283" i="36" s="1"/>
  <c r="M140" i="35"/>
  <c r="Q140" i="36" s="1"/>
  <c r="M143" i="35"/>
  <c r="Q143" i="36" s="1"/>
  <c r="M290" i="35"/>
  <c r="Q290" i="36" s="1"/>
  <c r="M413" i="35"/>
  <c r="Q413" i="36" s="1"/>
  <c r="M158" i="35"/>
  <c r="Q158" i="36" s="1"/>
  <c r="M136" i="35"/>
  <c r="Q136" i="36" s="1"/>
  <c r="M132" i="35"/>
  <c r="Q132" i="36" s="1"/>
  <c r="M209" i="35"/>
  <c r="Q209" i="36" s="1"/>
  <c r="M201" i="35"/>
  <c r="Q201" i="36" s="1"/>
  <c r="M130" i="35"/>
  <c r="M434" i="35"/>
  <c r="Q434" i="36" s="1"/>
  <c r="M215" i="35"/>
  <c r="N215" i="35" s="1"/>
  <c r="R215" i="36" s="1"/>
  <c r="M416" i="35"/>
  <c r="M70" i="35"/>
  <c r="Q70" i="36" s="1"/>
  <c r="M349" i="35"/>
  <c r="Q349" i="36" s="1"/>
  <c r="M306" i="35"/>
  <c r="Q306" i="36" s="1"/>
  <c r="M229" i="35"/>
  <c r="Q229" i="36" s="1"/>
  <c r="M279" i="35"/>
  <c r="Q279" i="36" s="1"/>
  <c r="M433" i="35"/>
  <c r="Q433" i="36" s="1"/>
  <c r="M303" i="35"/>
  <c r="Q303" i="36" s="1"/>
  <c r="M431" i="35"/>
  <c r="Q431" i="36" s="1"/>
  <c r="M231" i="35"/>
  <c r="Q231" i="36" s="1"/>
  <c r="M287" i="35"/>
  <c r="Q287" i="36" s="1"/>
  <c r="M155" i="35"/>
  <c r="Q155" i="36" s="1"/>
  <c r="M207" i="35"/>
  <c r="Q207" i="36" s="1"/>
  <c r="M214" i="35"/>
  <c r="N214" i="35" s="1"/>
  <c r="R214" i="36" s="1"/>
  <c r="M75" i="35"/>
  <c r="N75" i="35" s="1"/>
  <c r="R75" i="36" s="1"/>
  <c r="M286" i="35"/>
  <c r="N286" i="35" s="1"/>
  <c r="R286" i="36" s="1"/>
  <c r="M278" i="35"/>
  <c r="Q278" i="36" s="1"/>
  <c r="M89" i="35"/>
  <c r="Q89" i="36" s="1"/>
  <c r="M301" i="35"/>
  <c r="Q301" i="36" s="1"/>
  <c r="M232" i="35"/>
  <c r="Q232" i="36" s="1"/>
  <c r="M225" i="35"/>
  <c r="M204" i="35"/>
  <c r="Q204" i="36" s="1"/>
  <c r="M430" i="35"/>
  <c r="M159" i="35"/>
  <c r="Q159" i="36" s="1"/>
  <c r="M281" i="35"/>
  <c r="Q281" i="36" s="1"/>
  <c r="M275" i="35"/>
  <c r="Q275" i="36" s="1"/>
  <c r="M228" i="35"/>
  <c r="Q228" i="36" s="1"/>
  <c r="M127" i="35"/>
  <c r="Q127" i="36" s="1"/>
  <c r="M213" i="35"/>
  <c r="Q213" i="36" s="1"/>
  <c r="M135" i="35"/>
  <c r="Q135" i="36" s="1"/>
  <c r="M412" i="35"/>
  <c r="Q412" i="36" s="1"/>
  <c r="M411" i="35"/>
  <c r="M299" i="35"/>
  <c r="Q299" i="36" s="1"/>
  <c r="M276" i="35"/>
  <c r="Q276" i="36" s="1"/>
  <c r="M298" i="35"/>
  <c r="M200" i="35"/>
  <c r="Q200" i="36" s="1"/>
  <c r="M131" i="35"/>
  <c r="Q131" i="36" s="1"/>
  <c r="M87" i="35"/>
  <c r="Q87" i="36" s="1"/>
  <c r="M350" i="35"/>
  <c r="N350" i="35" s="1"/>
  <c r="R350" i="36" s="1"/>
  <c r="M370" i="35"/>
  <c r="Q370" i="36" s="1"/>
  <c r="M66" i="35"/>
  <c r="M84" i="35"/>
  <c r="Q84" i="36" s="1"/>
  <c r="M71" i="35"/>
  <c r="Q71" i="36" s="1"/>
  <c r="M90" i="35"/>
  <c r="Q90" i="36" s="1"/>
  <c r="M72" i="35"/>
  <c r="Q72" i="36" s="1"/>
  <c r="M86" i="35"/>
  <c r="Q86" i="36" s="1"/>
  <c r="M67" i="35"/>
  <c r="Q67" i="36" s="1"/>
  <c r="O993" i="36"/>
  <c r="L993" i="35"/>
  <c r="P993" i="36" s="1"/>
  <c r="M77" i="35"/>
  <c r="Q34" i="36"/>
  <c r="M22" i="35"/>
  <c r="Q22" i="36" s="1"/>
  <c r="M69" i="35"/>
  <c r="Q69" i="36" s="1"/>
  <c r="M305" i="35"/>
  <c r="O980" i="36"/>
  <c r="L980" i="35"/>
  <c r="P980" i="36" s="1"/>
  <c r="M85" i="35"/>
  <c r="M208" i="35"/>
  <c r="Q208" i="36" s="1"/>
  <c r="M277" i="35"/>
  <c r="M288" i="35"/>
  <c r="O985" i="36"/>
  <c r="L985" i="35"/>
  <c r="P985" i="36" s="1"/>
  <c r="Q437" i="36"/>
  <c r="M133" i="35"/>
  <c r="Q133" i="36" s="1"/>
  <c r="M297" i="35"/>
  <c r="M154" i="35"/>
  <c r="M139" i="35"/>
  <c r="Q35" i="36"/>
  <c r="M23" i="35"/>
  <c r="Q23" i="36" s="1"/>
  <c r="M150" i="35"/>
  <c r="M409" i="35"/>
  <c r="M300" i="35"/>
  <c r="O984" i="36"/>
  <c r="L984" i="35"/>
  <c r="P984" i="36" s="1"/>
  <c r="M91" i="35"/>
  <c r="Q91" i="36" s="1"/>
  <c r="H1017" i="35"/>
  <c r="K1017" i="35" s="1"/>
  <c r="L1017" i="35" s="1"/>
  <c r="M1017" i="35" s="1"/>
  <c r="H1009" i="35"/>
  <c r="K1009" i="35" s="1"/>
  <c r="L1009" i="35" s="1"/>
  <c r="M1009" i="35" s="1"/>
  <c r="H1021" i="35"/>
  <c r="K1021" i="35" s="1"/>
  <c r="L1021" i="35" s="1"/>
  <c r="M1021" i="35" s="1"/>
  <c r="H1013" i="35"/>
  <c r="K1013" i="35" s="1"/>
  <c r="L1013" i="35" s="1"/>
  <c r="M1013" i="35" s="1"/>
  <c r="H1005" i="35"/>
  <c r="K1005" i="35" s="1"/>
  <c r="L1005" i="35" s="1"/>
  <c r="M1005" i="35" s="1"/>
  <c r="K1001" i="35"/>
  <c r="M134" i="35"/>
  <c r="Q134" i="36" s="1"/>
  <c r="M369" i="35"/>
  <c r="M429" i="35"/>
  <c r="P429" i="36"/>
  <c r="M420" i="35"/>
  <c r="M410" i="35"/>
  <c r="M414" i="35"/>
  <c r="M422" i="35"/>
  <c r="M359" i="35"/>
  <c r="O988" i="36"/>
  <c r="L988" i="35"/>
  <c r="P988" i="36" s="1"/>
  <c r="Q153" i="36"/>
  <c r="O992" i="36"/>
  <c r="L992" i="35"/>
  <c r="P992" i="36" s="1"/>
  <c r="O997" i="36"/>
  <c r="L997" i="35"/>
  <c r="P997" i="36" s="1"/>
  <c r="L989" i="36"/>
  <c r="M989" i="36" s="1"/>
  <c r="O989" i="36"/>
  <c r="L989" i="35"/>
  <c r="P989" i="36" s="1"/>
  <c r="H1020" i="35"/>
  <c r="K1020" i="35" s="1"/>
  <c r="L1020" i="35" s="1"/>
  <c r="M1020" i="35" s="1"/>
  <c r="H1004" i="35"/>
  <c r="K1004" i="35" s="1"/>
  <c r="L1004" i="35" s="1"/>
  <c r="M1004" i="35" s="1"/>
  <c r="H1012" i="35"/>
  <c r="K1012" i="35" s="1"/>
  <c r="L1012" i="35" s="1"/>
  <c r="M1012" i="35" s="1"/>
  <c r="H1016" i="35"/>
  <c r="K1016" i="35" s="1"/>
  <c r="L1016" i="35" s="1"/>
  <c r="M1016" i="35" s="1"/>
  <c r="H1008" i="35"/>
  <c r="K1008" i="35" s="1"/>
  <c r="L1008" i="35" s="1"/>
  <c r="M1008" i="35" s="1"/>
  <c r="K1000" i="35"/>
  <c r="O996" i="36"/>
  <c r="L996" i="35"/>
  <c r="P996" i="36" s="1"/>
  <c r="M88" i="35"/>
  <c r="Q88" i="36" s="1"/>
  <c r="M202" i="35"/>
  <c r="M415" i="35"/>
  <c r="M223" i="35"/>
  <c r="M129" i="35"/>
  <c r="M367" i="35"/>
  <c r="M206" i="35"/>
  <c r="Q206" i="36" s="1"/>
  <c r="M78" i="35"/>
  <c r="M361" i="35"/>
  <c r="M360" i="35"/>
  <c r="M351" i="35"/>
  <c r="K1000" i="36"/>
  <c r="L1000" i="36" s="1"/>
  <c r="M1000" i="36" s="1"/>
  <c r="H1020" i="36"/>
  <c r="K1020" i="36" s="1"/>
  <c r="L1020" i="36" s="1"/>
  <c r="M1020" i="36" s="1"/>
  <c r="H1012" i="36"/>
  <c r="K1012" i="36" s="1"/>
  <c r="L1012" i="36" s="1"/>
  <c r="M1012" i="36" s="1"/>
  <c r="H1004" i="36"/>
  <c r="K1004" i="36" s="1"/>
  <c r="L1004" i="36" s="1"/>
  <c r="M1004" i="36" s="1"/>
  <c r="H1016" i="36"/>
  <c r="K1016" i="36" s="1"/>
  <c r="L1016" i="36" s="1"/>
  <c r="M1016" i="36" s="1"/>
  <c r="H1008" i="36"/>
  <c r="K1008" i="36" s="1"/>
  <c r="L1008" i="36" s="1"/>
  <c r="M1008" i="36" s="1"/>
  <c r="M152" i="35"/>
  <c r="M280" i="35"/>
  <c r="Q280" i="36" s="1"/>
  <c r="M432" i="35"/>
  <c r="M428" i="35"/>
  <c r="M348" i="35"/>
  <c r="M368" i="35"/>
  <c r="M68" i="35"/>
  <c r="M203" i="35"/>
  <c r="H1013" i="36"/>
  <c r="K1013" i="36" s="1"/>
  <c r="L1013" i="36" s="1"/>
  <c r="M1013" i="36" s="1"/>
  <c r="H1021" i="36"/>
  <c r="K1021" i="36" s="1"/>
  <c r="L1021" i="36" s="1"/>
  <c r="M1021" i="36" s="1"/>
  <c r="H1009" i="36"/>
  <c r="K1009" i="36" s="1"/>
  <c r="L1009" i="36" s="1"/>
  <c r="M1009" i="36" s="1"/>
  <c r="H1005" i="36"/>
  <c r="K1005" i="36" s="1"/>
  <c r="L1005" i="36" s="1"/>
  <c r="M1005" i="36" s="1"/>
  <c r="H1017" i="36"/>
  <c r="K1017" i="36" s="1"/>
  <c r="L1017" i="36" s="1"/>
  <c r="M1017" i="36" s="1"/>
  <c r="K1001" i="36"/>
  <c r="L1001" i="36" s="1"/>
  <c r="M1001" i="36" s="1"/>
  <c r="Q336" i="36"/>
  <c r="N289" i="35"/>
  <c r="R289" i="36" s="1"/>
  <c r="M205" i="35"/>
  <c r="Q205" i="36" s="1"/>
  <c r="M212" i="35"/>
  <c r="M76" i="35"/>
  <c r="M358" i="35"/>
  <c r="M282" i="35"/>
  <c r="Q282" i="36" s="1"/>
  <c r="O981" i="36"/>
  <c r="L981" i="35"/>
  <c r="P981" i="36" s="1"/>
  <c r="M216" i="35"/>
  <c r="M142" i="35"/>
  <c r="M151" i="35"/>
  <c r="M65" i="35"/>
  <c r="M224" i="35"/>
  <c r="M419" i="35"/>
  <c r="M227" i="35"/>
  <c r="M293" i="11"/>
  <c r="M291" i="11"/>
  <c r="M295" i="11"/>
  <c r="L290" i="11"/>
  <c r="L287" i="11"/>
  <c r="L288" i="11"/>
  <c r="L289" i="11"/>
  <c r="L286" i="11"/>
  <c r="M292" i="11"/>
  <c r="M294" i="11"/>
  <c r="M66" i="11"/>
  <c r="M65" i="11"/>
  <c r="L86" i="11"/>
  <c r="L75" i="11"/>
  <c r="L76" i="11"/>
  <c r="M67" i="11"/>
  <c r="L77" i="11"/>
  <c r="L85" i="11"/>
  <c r="L84" i="11"/>
  <c r="L78" i="11"/>
  <c r="M536" i="11"/>
  <c r="M68" i="11"/>
  <c r="L87" i="11"/>
  <c r="N710" i="11"/>
  <c r="N839" i="11"/>
  <c r="N909" i="11"/>
  <c r="N689" i="11"/>
  <c r="N757" i="11"/>
  <c r="N707" i="11"/>
  <c r="N696" i="11"/>
  <c r="N756" i="11"/>
  <c r="N912" i="11"/>
  <c r="N842" i="11"/>
  <c r="N522" i="11"/>
  <c r="N594" i="11"/>
  <c r="N758" i="11"/>
  <c r="N523" i="11"/>
  <c r="M373" i="11"/>
  <c r="N590" i="11"/>
  <c r="M554" i="11"/>
  <c r="M79" i="11"/>
  <c r="M351" i="11"/>
  <c r="M204" i="11"/>
  <c r="M72" i="11"/>
  <c r="M925" i="11"/>
  <c r="M206" i="11"/>
  <c r="M773" i="11"/>
  <c r="M412" i="11"/>
  <c r="M854" i="11"/>
  <c r="M535" i="11"/>
  <c r="M777" i="11"/>
  <c r="M220" i="11"/>
  <c r="M134" i="11"/>
  <c r="M127" i="11"/>
  <c r="M128" i="11"/>
  <c r="M534" i="11"/>
  <c r="M787" i="11"/>
  <c r="M425" i="11"/>
  <c r="M274" i="11"/>
  <c r="M414" i="11"/>
  <c r="M148" i="11"/>
  <c r="M795" i="11"/>
  <c r="M942" i="11"/>
  <c r="N591" i="11"/>
  <c r="M278" i="11"/>
  <c r="M409" i="11"/>
  <c r="M543" i="11"/>
  <c r="M776" i="11"/>
  <c r="M147" i="11"/>
  <c r="M348" i="11"/>
  <c r="M862" i="11"/>
  <c r="N858" i="11" s="1"/>
  <c r="M774" i="11"/>
  <c r="M281" i="11"/>
  <c r="M136" i="11"/>
  <c r="M282" i="11"/>
  <c r="M933" i="11"/>
  <c r="M637" i="11"/>
  <c r="N637" i="11" s="1"/>
  <c r="M133" i="11"/>
  <c r="M788" i="11"/>
  <c r="N685" i="11"/>
  <c r="M201" i="11"/>
  <c r="M873" i="11"/>
  <c r="M607" i="11"/>
  <c r="N602" i="11" s="1"/>
  <c r="M413" i="11"/>
  <c r="M279" i="11"/>
  <c r="M924" i="11"/>
  <c r="M217" i="11"/>
  <c r="M785" i="11"/>
  <c r="M80" i="11"/>
  <c r="M416" i="11"/>
  <c r="M544" i="11"/>
  <c r="N540" i="11" s="1"/>
  <c r="M775" i="11"/>
  <c r="M374" i="11"/>
  <c r="M277" i="11"/>
  <c r="M426" i="11"/>
  <c r="M424" i="11"/>
  <c r="M410" i="11"/>
  <c r="K1000" i="11"/>
  <c r="H1020" i="11"/>
  <c r="H1016" i="11"/>
  <c r="H1012" i="11"/>
  <c r="H1004" i="11"/>
  <c r="H1008" i="11"/>
  <c r="N687" i="11"/>
  <c r="L430" i="11"/>
  <c r="K997" i="11"/>
  <c r="L223" i="11"/>
  <c r="L631" i="11"/>
  <c r="L419" i="11"/>
  <c r="L304" i="11"/>
  <c r="L432" i="11"/>
  <c r="M131" i="11"/>
  <c r="M798" i="11"/>
  <c r="K993" i="11"/>
  <c r="M146" i="11"/>
  <c r="L368" i="11"/>
  <c r="L215" i="11"/>
  <c r="M81" i="11"/>
  <c r="L980" i="11"/>
  <c r="M82" i="11"/>
  <c r="K992" i="11"/>
  <c r="M608" i="11"/>
  <c r="L621" i="11"/>
  <c r="M71" i="11"/>
  <c r="M553" i="11"/>
  <c r="M209" i="11"/>
  <c r="M545" i="11"/>
  <c r="L303" i="11"/>
  <c r="L300" i="11"/>
  <c r="M874" i="11"/>
  <c r="N521" i="11"/>
  <c r="L302" i="11"/>
  <c r="N911" i="11"/>
  <c r="M130" i="11"/>
  <c r="L369" i="11"/>
  <c r="K989" i="11"/>
  <c r="M200" i="11"/>
  <c r="M610" i="11"/>
  <c r="L157" i="11"/>
  <c r="K984" i="11"/>
  <c r="L632" i="11"/>
  <c r="L216" i="11"/>
  <c r="N709" i="11"/>
  <c r="M205" i="11"/>
  <c r="L225" i="11"/>
  <c r="L142" i="11"/>
  <c r="N698" i="11"/>
  <c r="L358" i="11"/>
  <c r="M350" i="11"/>
  <c r="L155" i="11"/>
  <c r="M275" i="11"/>
  <c r="M132" i="11"/>
  <c r="L229" i="11"/>
  <c r="N910" i="11"/>
  <c r="L361" i="11"/>
  <c r="L618" i="11"/>
  <c r="N699" i="11"/>
  <c r="M786" i="11"/>
  <c r="M784" i="11"/>
  <c r="L367" i="11"/>
  <c r="N760" i="11"/>
  <c r="M797" i="11"/>
  <c r="L434" i="11"/>
  <c r="M135" i="11"/>
  <c r="M552" i="11"/>
  <c r="M221" i="11"/>
  <c r="L159" i="11"/>
  <c r="L431" i="11"/>
  <c r="L152" i="11"/>
  <c r="L359" i="11"/>
  <c r="K988" i="11"/>
  <c r="L151" i="11"/>
  <c r="L231" i="11"/>
  <c r="L622" i="11"/>
  <c r="L633" i="11"/>
  <c r="M863" i="11"/>
  <c r="M864" i="11"/>
  <c r="M936" i="11"/>
  <c r="M934" i="11"/>
  <c r="L156" i="11"/>
  <c r="M609" i="11"/>
  <c r="M423" i="11"/>
  <c r="M283" i="11"/>
  <c r="M871" i="11"/>
  <c r="M208" i="11"/>
  <c r="L305" i="11"/>
  <c r="M218" i="11"/>
  <c r="L297" i="11"/>
  <c r="L140" i="11"/>
  <c r="L619" i="11"/>
  <c r="L629" i="11"/>
  <c r="L228" i="11"/>
  <c r="N688" i="11"/>
  <c r="L150" i="11"/>
  <c r="N593" i="11"/>
  <c r="L298" i="11"/>
  <c r="L139" i="11"/>
  <c r="L429" i="11"/>
  <c r="L420" i="11"/>
  <c r="L232" i="11"/>
  <c r="L227" i="11"/>
  <c r="N697" i="11"/>
  <c r="L143" i="11"/>
  <c r="M555" i="11"/>
  <c r="L360" i="11"/>
  <c r="N700" i="11"/>
  <c r="M611" i="11"/>
  <c r="M219" i="11"/>
  <c r="L370" i="11"/>
  <c r="M349" i="11"/>
  <c r="M129" i="11"/>
  <c r="N520" i="11"/>
  <c r="N759" i="11"/>
  <c r="L630" i="11"/>
  <c r="L428" i="11"/>
  <c r="M371" i="11"/>
  <c r="M280" i="11"/>
  <c r="M853" i="11"/>
  <c r="L158" i="11"/>
  <c r="L153" i="11"/>
  <c r="M203" i="11"/>
  <c r="M927" i="11"/>
  <c r="M207" i="11"/>
  <c r="H1009" i="11"/>
  <c r="H1017" i="11"/>
  <c r="H1013" i="11"/>
  <c r="K1001" i="11"/>
  <c r="H1005" i="11"/>
  <c r="H1021" i="11"/>
  <c r="L230" i="11"/>
  <c r="L213" i="11"/>
  <c r="L89" i="11"/>
  <c r="L422" i="11"/>
  <c r="L301" i="11"/>
  <c r="K996" i="11"/>
  <c r="M943" i="11"/>
  <c r="M546" i="11"/>
  <c r="L88" i="11"/>
  <c r="M926" i="11"/>
  <c r="L299" i="11"/>
  <c r="M411" i="11"/>
  <c r="N840" i="11"/>
  <c r="L421" i="11"/>
  <c r="L435" i="11"/>
  <c r="M865" i="11"/>
  <c r="L212" i="11"/>
  <c r="K985" i="11"/>
  <c r="L141" i="11"/>
  <c r="M944" i="11"/>
  <c r="L91" i="11"/>
  <c r="M639" i="11"/>
  <c r="L433" i="11"/>
  <c r="M799" i="11"/>
  <c r="M856" i="11"/>
  <c r="L620" i="11"/>
  <c r="N711" i="11"/>
  <c r="M872" i="11"/>
  <c r="M537" i="11"/>
  <c r="M796" i="11"/>
  <c r="M638" i="11"/>
  <c r="N841" i="11"/>
  <c r="M636" i="11"/>
  <c r="M70" i="11"/>
  <c r="M144" i="11"/>
  <c r="M145" i="11"/>
  <c r="L90" i="11"/>
  <c r="L224" i="11"/>
  <c r="N708" i="11"/>
  <c r="M372" i="11"/>
  <c r="M69" i="11"/>
  <c r="L214" i="11"/>
  <c r="M855" i="11"/>
  <c r="M276" i="11"/>
  <c r="M935" i="11"/>
  <c r="M202" i="11"/>
  <c r="L226" i="11"/>
  <c r="M635" i="11"/>
  <c r="L154" i="11"/>
  <c r="L306" i="11"/>
  <c r="M415" i="11"/>
  <c r="L981" i="11"/>
  <c r="M945" i="11"/>
  <c r="Q214" i="36" l="1"/>
  <c r="Q75" i="36"/>
  <c r="N140" i="35"/>
  <c r="R140" i="36" s="1"/>
  <c r="N130" i="35"/>
  <c r="R130" i="36" s="1"/>
  <c r="N421" i="35"/>
  <c r="R421" i="36" s="1"/>
  <c r="Q141" i="36"/>
  <c r="N431" i="35"/>
  <c r="R431" i="36" s="1"/>
  <c r="N299" i="35"/>
  <c r="R299" i="36" s="1"/>
  <c r="Q130" i="36"/>
  <c r="M993" i="35"/>
  <c r="Q993" i="36" s="1"/>
  <c r="M989" i="35"/>
  <c r="Q989" i="36" s="1"/>
  <c r="N274" i="35"/>
  <c r="R274" i="36" s="1"/>
  <c r="N128" i="35"/>
  <c r="R128" i="36" s="1"/>
  <c r="N349" i="35"/>
  <c r="R349" i="36" s="1"/>
  <c r="N225" i="35"/>
  <c r="R225" i="36" s="1"/>
  <c r="N143" i="35"/>
  <c r="R143" i="36" s="1"/>
  <c r="N66" i="35"/>
  <c r="R66" i="36" s="1"/>
  <c r="N278" i="35"/>
  <c r="R278" i="36" s="1"/>
  <c r="N412" i="35"/>
  <c r="R412" i="36" s="1"/>
  <c r="N290" i="35"/>
  <c r="R290" i="36" s="1"/>
  <c r="Q286" i="36"/>
  <c r="N370" i="35"/>
  <c r="R370" i="36" s="1"/>
  <c r="N301" i="35"/>
  <c r="R301" i="36" s="1"/>
  <c r="N127" i="35"/>
  <c r="R127" i="36" s="1"/>
  <c r="Q66" i="36"/>
  <c r="N131" i="35"/>
  <c r="R131" i="36" s="1"/>
  <c r="N213" i="35"/>
  <c r="R213" i="36" s="1"/>
  <c r="N430" i="35"/>
  <c r="R430" i="36" s="1"/>
  <c r="Q430" i="36"/>
  <c r="N204" i="35"/>
  <c r="R204" i="36" s="1"/>
  <c r="N298" i="35"/>
  <c r="R298" i="36" s="1"/>
  <c r="N153" i="35"/>
  <c r="R153" i="36" s="1"/>
  <c r="Q215" i="36"/>
  <c r="N226" i="35"/>
  <c r="R226" i="36" s="1"/>
  <c r="Q225" i="36"/>
  <c r="N201" i="35"/>
  <c r="R201" i="36" s="1"/>
  <c r="Q411" i="36"/>
  <c r="Q298" i="36"/>
  <c r="M985" i="35"/>
  <c r="Q985" i="36" s="1"/>
  <c r="N287" i="35"/>
  <c r="R287" i="36" s="1"/>
  <c r="Q416" i="36"/>
  <c r="M984" i="35"/>
  <c r="Q984" i="36" s="1"/>
  <c r="M980" i="35"/>
  <c r="Q980" i="36" s="1"/>
  <c r="M997" i="35"/>
  <c r="Q997" i="36" s="1"/>
  <c r="N276" i="35"/>
  <c r="R276" i="36" s="1"/>
  <c r="Q350" i="36"/>
  <c r="M981" i="35"/>
  <c r="Q981" i="36" s="1"/>
  <c r="M988" i="35"/>
  <c r="Q988" i="36" s="1"/>
  <c r="M996" i="35"/>
  <c r="Q996" i="36" s="1"/>
  <c r="N67" i="35"/>
  <c r="R67" i="36" s="1"/>
  <c r="N86" i="35"/>
  <c r="R86" i="36" s="1"/>
  <c r="N87" i="35"/>
  <c r="R87" i="36" s="1"/>
  <c r="Q65" i="36"/>
  <c r="N65" i="35"/>
  <c r="R65" i="36" s="1"/>
  <c r="N428" i="35"/>
  <c r="R428" i="36" s="1"/>
  <c r="Q428" i="36"/>
  <c r="Q415" i="36"/>
  <c r="N369" i="35"/>
  <c r="R369" i="36" s="1"/>
  <c r="Q369" i="36"/>
  <c r="N300" i="35"/>
  <c r="R300" i="36" s="1"/>
  <c r="Q300" i="36"/>
  <c r="Q139" i="36"/>
  <c r="N139" i="35"/>
  <c r="R139" i="36" s="1"/>
  <c r="Q85" i="36"/>
  <c r="N85" i="35"/>
  <c r="R85" i="36" s="1"/>
  <c r="Q202" i="36"/>
  <c r="N202" i="35"/>
  <c r="R202" i="36" s="1"/>
  <c r="N154" i="35"/>
  <c r="R154" i="36" s="1"/>
  <c r="Q154" i="36"/>
  <c r="Q297" i="36"/>
  <c r="N297" i="35"/>
  <c r="R297" i="36" s="1"/>
  <c r="Q216" i="36"/>
  <c r="N216" i="35"/>
  <c r="R216" i="36" s="1"/>
  <c r="N152" i="35"/>
  <c r="R152" i="36" s="1"/>
  <c r="Q152" i="36"/>
  <c r="Q351" i="36"/>
  <c r="N351" i="35"/>
  <c r="R351" i="36" s="1"/>
  <c r="Q305" i="36"/>
  <c r="O1001" i="36"/>
  <c r="L1001" i="35"/>
  <c r="P1001" i="36" s="1"/>
  <c r="N360" i="35"/>
  <c r="R360" i="36" s="1"/>
  <c r="Q360" i="36"/>
  <c r="Q359" i="36"/>
  <c r="N359" i="35"/>
  <c r="R359" i="36" s="1"/>
  <c r="N361" i="35"/>
  <c r="R361" i="36" s="1"/>
  <c r="Q361" i="36"/>
  <c r="N422" i="35"/>
  <c r="R422" i="36" s="1"/>
  <c r="Q422" i="36"/>
  <c r="N78" i="35"/>
  <c r="R78" i="36" s="1"/>
  <c r="Q78" i="36"/>
  <c r="N275" i="35"/>
  <c r="R275" i="36" s="1"/>
  <c r="N411" i="35"/>
  <c r="R411" i="36" s="1"/>
  <c r="Q414" i="36"/>
  <c r="N358" i="35"/>
  <c r="R358" i="36" s="1"/>
  <c r="Q358" i="36"/>
  <c r="N200" i="35"/>
  <c r="R200" i="36" s="1"/>
  <c r="N84" i="35"/>
  <c r="R84" i="36" s="1"/>
  <c r="Q203" i="36"/>
  <c r="N203" i="35"/>
  <c r="R203" i="36" s="1"/>
  <c r="O1000" i="36"/>
  <c r="L1000" i="35"/>
  <c r="P1000" i="36" s="1"/>
  <c r="M992" i="35"/>
  <c r="Q992" i="36" s="1"/>
  <c r="Q410" i="36"/>
  <c r="N410" i="35"/>
  <c r="R410" i="36" s="1"/>
  <c r="Q409" i="36"/>
  <c r="N409" i="35"/>
  <c r="R409" i="36" s="1"/>
  <c r="N77" i="35"/>
  <c r="R77" i="36" s="1"/>
  <c r="Q77" i="36"/>
  <c r="N151" i="35"/>
  <c r="R151" i="36" s="1"/>
  <c r="Q151" i="36"/>
  <c r="N142" i="35"/>
  <c r="R142" i="36" s="1"/>
  <c r="Q142" i="36"/>
  <c r="Q227" i="36"/>
  <c r="N227" i="35"/>
  <c r="R227" i="36" s="1"/>
  <c r="N76" i="35"/>
  <c r="R76" i="36" s="1"/>
  <c r="Q76" i="36"/>
  <c r="N68" i="35"/>
  <c r="R68" i="36" s="1"/>
  <c r="Q68" i="36"/>
  <c r="Q367" i="36"/>
  <c r="N367" i="35"/>
  <c r="R367" i="36" s="1"/>
  <c r="N420" i="35"/>
  <c r="R420" i="36" s="1"/>
  <c r="Q420" i="36"/>
  <c r="Q150" i="36"/>
  <c r="N150" i="35"/>
  <c r="R150" i="36" s="1"/>
  <c r="N288" i="35"/>
  <c r="R288" i="36" s="1"/>
  <c r="Q288" i="36"/>
  <c r="Q432" i="36"/>
  <c r="N419" i="35"/>
  <c r="R419" i="36" s="1"/>
  <c r="Q419" i="36"/>
  <c r="N212" i="35"/>
  <c r="R212" i="36" s="1"/>
  <c r="Q212" i="36"/>
  <c r="Q368" i="36"/>
  <c r="N368" i="35"/>
  <c r="R368" i="36" s="1"/>
  <c r="Q129" i="36"/>
  <c r="N129" i="35"/>
  <c r="R129" i="36" s="1"/>
  <c r="Q277" i="36"/>
  <c r="N277" i="35"/>
  <c r="R277" i="36" s="1"/>
  <c r="N224" i="35"/>
  <c r="R224" i="36" s="1"/>
  <c r="Q224" i="36"/>
  <c r="Q348" i="36"/>
  <c r="N348" i="35"/>
  <c r="R348" i="36" s="1"/>
  <c r="N223" i="35"/>
  <c r="R223" i="36" s="1"/>
  <c r="Q223" i="36"/>
  <c r="Q429" i="36"/>
  <c r="N429" i="35"/>
  <c r="R429" i="36" s="1"/>
  <c r="M287" i="11"/>
  <c r="M288" i="11"/>
  <c r="M289" i="11"/>
  <c r="M290" i="11"/>
  <c r="M286" i="11"/>
  <c r="M86" i="11"/>
  <c r="M77" i="11"/>
  <c r="M76" i="11"/>
  <c r="M85" i="11"/>
  <c r="M75" i="11"/>
  <c r="M84" i="11"/>
  <c r="M78" i="11"/>
  <c r="N532" i="11"/>
  <c r="M87" i="11"/>
  <c r="N67" i="11"/>
  <c r="N850" i="11"/>
  <c r="N531" i="11"/>
  <c r="N530" i="11"/>
  <c r="N790" i="11"/>
  <c r="N409" i="11"/>
  <c r="N869" i="11"/>
  <c r="N920" i="11"/>
  <c r="N550" i="11"/>
  <c r="N68" i="11"/>
  <c r="N921" i="11"/>
  <c r="N768" i="11"/>
  <c r="N772" i="11"/>
  <c r="N782" i="11"/>
  <c r="N539" i="11"/>
  <c r="N771" i="11"/>
  <c r="N348" i="11"/>
  <c r="N929" i="11"/>
  <c r="N770" i="11"/>
  <c r="N938" i="11"/>
  <c r="M89" i="11"/>
  <c r="M367" i="11"/>
  <c r="N780" i="11"/>
  <c r="N783" i="11"/>
  <c r="M433" i="11"/>
  <c r="M215" i="11"/>
  <c r="M430" i="11"/>
  <c r="N769" i="11"/>
  <c r="N204" i="11"/>
  <c r="N351" i="11"/>
  <c r="M225" i="11"/>
  <c r="M305" i="11"/>
  <c r="M629" i="11"/>
  <c r="M153" i="11"/>
  <c r="M632" i="11"/>
  <c r="M370" i="11"/>
  <c r="N410" i="11"/>
  <c r="M360" i="11"/>
  <c r="N360" i="11" s="1"/>
  <c r="N274" i="11"/>
  <c r="M230" i="11"/>
  <c r="M154" i="11"/>
  <c r="M90" i="11"/>
  <c r="M159" i="11"/>
  <c r="N412" i="11"/>
  <c r="M157" i="11"/>
  <c r="N201" i="11"/>
  <c r="N277" i="11"/>
  <c r="M620" i="11"/>
  <c r="M91" i="11"/>
  <c r="M435" i="11"/>
  <c r="N127" i="11"/>
  <c r="M631" i="11"/>
  <c r="M297" i="11"/>
  <c r="M368" i="11"/>
  <c r="N368" i="11" s="1"/>
  <c r="M214" i="11"/>
  <c r="N128" i="11"/>
  <c r="M420" i="11"/>
  <c r="M432" i="11"/>
  <c r="M422" i="11"/>
  <c r="M618" i="11"/>
  <c r="M429" i="11"/>
  <c r="N638" i="11"/>
  <c r="N542" i="11"/>
  <c r="N275" i="11"/>
  <c r="L984" i="11"/>
  <c r="L993" i="11"/>
  <c r="N939" i="11"/>
  <c r="K1009" i="11"/>
  <c r="N349" i="11"/>
  <c r="M228" i="11"/>
  <c r="K1012" i="11"/>
  <c r="N861" i="11"/>
  <c r="N930" i="11"/>
  <c r="L988" i="11"/>
  <c r="M303" i="11"/>
  <c r="N793" i="11"/>
  <c r="K1016" i="11"/>
  <c r="N65" i="11"/>
  <c r="N852" i="11"/>
  <c r="N923" i="11"/>
  <c r="N849" i="11"/>
  <c r="M139" i="11"/>
  <c r="N932" i="11"/>
  <c r="M302" i="11"/>
  <c r="N541" i="11"/>
  <c r="K1020" i="11"/>
  <c r="N202" i="11"/>
  <c r="M141" i="11"/>
  <c r="M299" i="11"/>
  <c r="M232" i="11"/>
  <c r="N860" i="11"/>
  <c r="N792" i="11"/>
  <c r="M155" i="11"/>
  <c r="L989" i="11"/>
  <c r="N603" i="11"/>
  <c r="M980" i="11"/>
  <c r="N131" i="11"/>
  <c r="M419" i="11"/>
  <c r="L1000" i="11"/>
  <c r="N276" i="11"/>
  <c r="N794" i="11"/>
  <c r="M306" i="11"/>
  <c r="N851" i="11"/>
  <c r="N791" i="11"/>
  <c r="L985" i="11"/>
  <c r="N922" i="11"/>
  <c r="M150" i="11"/>
  <c r="M619" i="11"/>
  <c r="N859" i="11"/>
  <c r="M229" i="11"/>
  <c r="L996" i="11"/>
  <c r="N203" i="11"/>
  <c r="N867" i="11"/>
  <c r="N548" i="11"/>
  <c r="N870" i="11"/>
  <c r="L992" i="11"/>
  <c r="M223" i="11"/>
  <c r="M981" i="11"/>
  <c r="N636" i="11"/>
  <c r="K1021" i="11"/>
  <c r="M622" i="11"/>
  <c r="M431" i="11"/>
  <c r="M361" i="11"/>
  <c r="N350" i="11"/>
  <c r="M358" i="11"/>
  <c r="N605" i="11"/>
  <c r="M369" i="11"/>
  <c r="N549" i="11"/>
  <c r="N931" i="11"/>
  <c r="M421" i="11"/>
  <c r="K1005" i="11"/>
  <c r="M428" i="11"/>
  <c r="M143" i="11"/>
  <c r="M298" i="11"/>
  <c r="M633" i="11"/>
  <c r="M359" i="11"/>
  <c r="M216" i="11"/>
  <c r="N130" i="11"/>
  <c r="N868" i="11"/>
  <c r="L1001" i="11"/>
  <c r="N604" i="11"/>
  <c r="M300" i="11"/>
  <c r="L997" i="11"/>
  <c r="N941" i="11"/>
  <c r="M224" i="11"/>
  <c r="N635" i="11"/>
  <c r="M301" i="11"/>
  <c r="K1013" i="11"/>
  <c r="M158" i="11"/>
  <c r="M630" i="11"/>
  <c r="N129" i="11"/>
  <c r="M231" i="11"/>
  <c r="M434" i="11"/>
  <c r="N779" i="11"/>
  <c r="N200" i="11"/>
  <c r="N278" i="11"/>
  <c r="K1008" i="11"/>
  <c r="N533" i="11"/>
  <c r="M226" i="11"/>
  <c r="N66" i="11"/>
  <c r="N639" i="11"/>
  <c r="N940" i="11"/>
  <c r="M212" i="11"/>
  <c r="N411" i="11"/>
  <c r="M88" i="11"/>
  <c r="M213" i="11"/>
  <c r="K1017" i="11"/>
  <c r="N606" i="11"/>
  <c r="N551" i="11"/>
  <c r="M227" i="11"/>
  <c r="M140" i="11"/>
  <c r="M156" i="11"/>
  <c r="M151" i="11"/>
  <c r="M152" i="11"/>
  <c r="N781" i="11"/>
  <c r="M142" i="11"/>
  <c r="M621" i="11"/>
  <c r="M304" i="11"/>
  <c r="K1004" i="11"/>
  <c r="M1001" i="35" l="1"/>
  <c r="Q1001" i="36" s="1"/>
  <c r="M1000" i="35"/>
  <c r="Q1000" i="36" s="1"/>
  <c r="N288" i="11"/>
  <c r="N287" i="11"/>
  <c r="N286" i="11"/>
  <c r="N290" i="11"/>
  <c r="N289" i="11"/>
  <c r="N77" i="11"/>
  <c r="N76" i="11"/>
  <c r="N75" i="11"/>
  <c r="N78" i="11"/>
  <c r="N420" i="11"/>
  <c r="N429" i="11"/>
  <c r="N627" i="11"/>
  <c r="N615" i="11"/>
  <c r="N225" i="11"/>
  <c r="N624" i="11"/>
  <c r="N154" i="11"/>
  <c r="N86" i="11"/>
  <c r="N626" i="11"/>
  <c r="N422" i="11"/>
  <c r="N613" i="11"/>
  <c r="N85" i="11"/>
  <c r="N367" i="11"/>
  <c r="N215" i="11"/>
  <c r="N370" i="11"/>
  <c r="N87" i="11"/>
  <c r="M1001" i="11"/>
  <c r="N297" i="11"/>
  <c r="N214" i="11"/>
  <c r="M985" i="11"/>
  <c r="N369" i="11"/>
  <c r="N614" i="11"/>
  <c r="N150" i="11"/>
  <c r="N419" i="11"/>
  <c r="N141" i="11"/>
  <c r="N84" i="11"/>
  <c r="M988" i="11"/>
  <c r="L1012" i="11"/>
  <c r="N226" i="11"/>
  <c r="L1008" i="11"/>
  <c r="N628" i="11"/>
  <c r="N358" i="11"/>
  <c r="L1016" i="11"/>
  <c r="M993" i="11"/>
  <c r="N140" i="11"/>
  <c r="N298" i="11"/>
  <c r="N153" i="11"/>
  <c r="N223" i="11"/>
  <c r="N139" i="11"/>
  <c r="N227" i="11"/>
  <c r="N430" i="11"/>
  <c r="N359" i="11"/>
  <c r="N616" i="11"/>
  <c r="M997" i="11"/>
  <c r="N143" i="11"/>
  <c r="N361" i="11"/>
  <c r="N625" i="11"/>
  <c r="N152" i="11"/>
  <c r="N428" i="11"/>
  <c r="M992" i="11"/>
  <c r="L1020" i="11"/>
  <c r="L1009" i="11"/>
  <c r="M984" i="11"/>
  <c r="N617" i="11"/>
  <c r="L1013" i="11"/>
  <c r="N301" i="11"/>
  <c r="N151" i="11"/>
  <c r="L1005" i="11"/>
  <c r="N212" i="11"/>
  <c r="N142" i="11"/>
  <c r="M1000" i="11"/>
  <c r="M989" i="11"/>
  <c r="N299" i="11"/>
  <c r="L1021" i="11"/>
  <c r="L1017" i="11"/>
  <c r="L1004" i="11"/>
  <c r="N213" i="11"/>
  <c r="N224" i="11"/>
  <c r="N300" i="11"/>
  <c r="N216" i="11"/>
  <c r="N421" i="11"/>
  <c r="N431" i="11"/>
  <c r="M996" i="11"/>
  <c r="M1013" i="11" l="1"/>
  <c r="M1021" i="11"/>
  <c r="M1016" i="11"/>
  <c r="M1005" i="11"/>
  <c r="M1020" i="11"/>
  <c r="M1017" i="11"/>
  <c r="M1008" i="11"/>
  <c r="M1012" i="11"/>
  <c r="M1009" i="11"/>
  <c r="M1004" i="11"/>
</calcChain>
</file>

<file path=xl/comments1.xml><?xml version="1.0" encoding="utf-8"?>
<comments xmlns="http://schemas.openxmlformats.org/spreadsheetml/2006/main">
  <authors>
    <author>Mr Trung</author>
  </authors>
  <commentList>
    <comment ref="B575" authorId="0" shapeId="0">
      <text>
        <r>
          <rPr>
            <b/>
            <sz val="9"/>
            <color indexed="81"/>
            <rFont val="Tahoma"/>
            <family val="2"/>
          </rPr>
          <t>Mr Trung:</t>
        </r>
        <r>
          <rPr>
            <sz val="9"/>
            <color indexed="81"/>
            <rFont val="Tahoma"/>
            <family val="2"/>
          </rPr>
          <t xml:space="preserve">
Số hóa BĐ không có tỷ lệ 1/200, tạm lấy theo 1/500
</t>
        </r>
      </text>
    </comment>
  </commentList>
</comments>
</file>

<file path=xl/comments2.xml><?xml version="1.0" encoding="utf-8"?>
<comments xmlns="http://schemas.openxmlformats.org/spreadsheetml/2006/main">
  <authors>
    <author>Mr Trung</author>
  </authors>
  <commentList>
    <comment ref="B575" authorId="0" shapeId="0">
      <text>
        <r>
          <rPr>
            <b/>
            <sz val="9"/>
            <color indexed="81"/>
            <rFont val="Tahoma"/>
            <family val="2"/>
          </rPr>
          <t>Mr Trung:</t>
        </r>
        <r>
          <rPr>
            <sz val="9"/>
            <color indexed="81"/>
            <rFont val="Tahoma"/>
            <family val="2"/>
          </rPr>
          <t xml:space="preserve">
Số hóa BĐ không có tỷ lệ 1/200, tạm lấy theo 1/500
</t>
        </r>
      </text>
    </comment>
    <comment ref="B965" authorId="0" shapeId="0">
      <text>
        <r>
          <rPr>
            <b/>
            <sz val="9"/>
            <color indexed="81"/>
            <rFont val="Tahoma"/>
            <family val="2"/>
          </rPr>
          <t>Mr Trung:</t>
        </r>
        <r>
          <rPr>
            <sz val="9"/>
            <color indexed="81"/>
            <rFont val="Tahoma"/>
            <family val="2"/>
          </rPr>
          <t xml:space="preserve">
Số hóa BĐ không có tỷ lệ 1/10000, tạm tính theo tỷ lệ 1/5000</t>
        </r>
      </text>
    </comment>
  </commentList>
</comments>
</file>

<file path=xl/sharedStrings.xml><?xml version="1.0" encoding="utf-8"?>
<sst xmlns="http://schemas.openxmlformats.org/spreadsheetml/2006/main" count="7722" uniqueCount="860">
  <si>
    <t>A</t>
  </si>
  <si>
    <t>B</t>
  </si>
  <si>
    <t>STT</t>
  </si>
  <si>
    <t>KTV4</t>
  </si>
  <si>
    <t>KTV5</t>
  </si>
  <si>
    <t>KTV6</t>
  </si>
  <si>
    <t>KTV7</t>
  </si>
  <si>
    <t>KTV8</t>
  </si>
  <si>
    <t>KTV9</t>
  </si>
  <si>
    <t>KTV10</t>
  </si>
  <si>
    <t>KS2</t>
  </si>
  <si>
    <t>KS3</t>
  </si>
  <si>
    <t>KS4</t>
  </si>
  <si>
    <t>5</t>
  </si>
  <si>
    <t>m3</t>
  </si>
  <si>
    <t>1-5</t>
  </si>
  <si>
    <t>Kg</t>
  </si>
  <si>
    <t>m</t>
  </si>
  <si>
    <t>1</t>
  </si>
  <si>
    <t>ram</t>
  </si>
  <si>
    <t>2</t>
  </si>
  <si>
    <t>ha</t>
  </si>
  <si>
    <t>1/200</t>
  </si>
  <si>
    <t>1/500</t>
  </si>
  <si>
    <t>1/2000</t>
  </si>
  <si>
    <t>1/5000</t>
  </si>
  <si>
    <t>kw</t>
  </si>
  <si>
    <t>a</t>
  </si>
  <si>
    <t>b</t>
  </si>
  <si>
    <t>c</t>
  </si>
  <si>
    <t>d</t>
  </si>
  <si>
    <t>e</t>
  </si>
  <si>
    <t>1/1000</t>
  </si>
  <si>
    <t>4</t>
  </si>
  <si>
    <t>2.2</t>
  </si>
  <si>
    <t>3</t>
  </si>
  <si>
    <t>1.3</t>
  </si>
  <si>
    <t>f</t>
  </si>
  <si>
    <t>lương</t>
  </si>
  <si>
    <t>0.2/5 người</t>
  </si>
  <si>
    <t>độc hại</t>
  </si>
  <si>
    <t>I- NGOẠI NGHIỆP:</t>
  </si>
  <si>
    <t>II- NỘI NGHIỆP:</t>
  </si>
  <si>
    <t/>
  </si>
  <si>
    <t>TỶ LỆ 1/200</t>
  </si>
  <si>
    <t>TỶ LỆ 1/500</t>
  </si>
  <si>
    <t>TỶ LỆ 1/1000</t>
  </si>
  <si>
    <t>TỶ LỆ 1/2000</t>
  </si>
  <si>
    <t>TỶ LỆ 1/5000</t>
  </si>
  <si>
    <t>thửa</t>
  </si>
  <si>
    <t>ĐỊNH BIÊN, LƯƠNG NGÀY THEO CÔNG VIỆC</t>
  </si>
  <si>
    <t>ĐO ĐẠC ĐỊA CHÍNH</t>
  </si>
  <si>
    <t>nhóm</t>
  </si>
  <si>
    <t>DANH MỤC CÔNG VIỆC</t>
  </si>
  <si>
    <t>T.SỐ</t>
  </si>
  <si>
    <t>NHÓM</t>
  </si>
  <si>
    <t>ngày</t>
  </si>
  <si>
    <t>NGOẠI NGHIỆP</t>
  </si>
  <si>
    <t>NỘI NGHIỆP</t>
  </si>
  <si>
    <t>cái</t>
  </si>
  <si>
    <t>bộ</t>
  </si>
  <si>
    <t>tấm</t>
  </si>
  <si>
    <t xml:space="preserve">cái </t>
  </si>
  <si>
    <t>NGOẠI NGHIỆP:</t>
  </si>
  <si>
    <t>tờ</t>
  </si>
  <si>
    <t>NỘI NGHIỆP:</t>
  </si>
  <si>
    <t>hộp</t>
  </si>
  <si>
    <t>Tiếp điểm</t>
  </si>
  <si>
    <t>Xây tường vây</t>
  </si>
  <si>
    <t>Lương ngày ăn trưa</t>
  </si>
  <si>
    <t>ĐVT</t>
  </si>
  <si>
    <t>KK</t>
  </si>
  <si>
    <t>PCKV</t>
  </si>
  <si>
    <t>Lương</t>
  </si>
  <si>
    <t>Danh mục công việc</t>
  </si>
  <si>
    <t>Loại</t>
  </si>
  <si>
    <t>Người/</t>
  </si>
  <si>
    <t>Công</t>
  </si>
  <si>
    <t>ăn</t>
  </si>
  <si>
    <t>trưa</t>
  </si>
  <si>
    <t>Thành tiền</t>
  </si>
  <si>
    <t>LƯỚI ĐỊA CHÍNH:</t>
  </si>
  <si>
    <t>điểm</t>
  </si>
  <si>
    <t>Chi phí SD máy</t>
  </si>
  <si>
    <t>K.hao</t>
  </si>
  <si>
    <t>N.lượng</t>
  </si>
  <si>
    <t>Danh mục dụng cụ</t>
  </si>
  <si>
    <t xml:space="preserve">Thời
hạn </t>
  </si>
  <si>
    <t>Số
TT</t>
  </si>
  <si>
    <t>Đơn giá
(đ/ca)</t>
  </si>
  <si>
    <t>Áo rét BHLĐ</t>
  </si>
  <si>
    <t>Cái</t>
  </si>
  <si>
    <t>Áo mưa bạt</t>
  </si>
  <si>
    <t>Bộ đồ nề</t>
  </si>
  <si>
    <t>Bộ</t>
  </si>
  <si>
    <t>Cờ hiệu nhỏ</t>
  </si>
  <si>
    <t>Cuốc bàn</t>
  </si>
  <si>
    <t>Dao phát cây</t>
  </si>
  <si>
    <t>Giầy cao cổ</t>
  </si>
  <si>
    <t>Đôi</t>
  </si>
  <si>
    <t>Hòm đựng dụng cụ</t>
  </si>
  <si>
    <t>Mũ cứng</t>
  </si>
  <si>
    <t>Nilon gói tài liệu</t>
  </si>
  <si>
    <t>Tấm</t>
  </si>
  <si>
    <t>Ống đựng bản đồ</t>
  </si>
  <si>
    <t>Ống nhòm</t>
  </si>
  <si>
    <t>Quần áo BHLĐ</t>
  </si>
  <si>
    <t>Tất sợi</t>
  </si>
  <si>
    <t>Thước thép cuộn 2m</t>
  </si>
  <si>
    <t>Xẻng</t>
  </si>
  <si>
    <t>Xô tôn đựng nước</t>
  </si>
  <si>
    <t>Găng tay bạt</t>
  </si>
  <si>
    <t>Ô che máy</t>
  </si>
  <si>
    <t>Thước cuộn vải 50m</t>
  </si>
  <si>
    <t>Túi đựng tài liệu</t>
  </si>
  <si>
    <t>Hòm sắt đựng tài liệu</t>
  </si>
  <si>
    <t>Quyển</t>
  </si>
  <si>
    <t>kW</t>
  </si>
  <si>
    <t>Chọn điểm. chôn mốc bê tông trên hè phố</t>
  </si>
  <si>
    <t>Tìm điểm không có tường vây</t>
  </si>
  <si>
    <t>Tìm điểm có tường vây</t>
  </si>
  <si>
    <t>Đo ngắm độ cao lượng giác</t>
  </si>
  <si>
    <t>Thiết bị có thời gian sử dụng (năm):</t>
  </si>
  <si>
    <t>Thiết bị:</t>
  </si>
  <si>
    <t>KK1</t>
  </si>
  <si>
    <t>KK2</t>
  </si>
  <si>
    <t>KK3</t>
  </si>
  <si>
    <t>KK4</t>
  </si>
  <si>
    <t>KK5</t>
  </si>
  <si>
    <t>KK6</t>
  </si>
  <si>
    <t>Sổ điện tử</t>
  </si>
  <si>
    <t>Máy vi tính xách tay</t>
  </si>
  <si>
    <t>1.5.1</t>
  </si>
  <si>
    <t>Bản đồ địa hình</t>
  </si>
  <si>
    <t>Tờ</t>
  </si>
  <si>
    <t>Băng dính loại vừa</t>
  </si>
  <si>
    <t>Cuộn</t>
  </si>
  <si>
    <t>Ghi chú điểm toạ độ cũ</t>
  </si>
  <si>
    <t>Ghi chú điểm độ cao cũ</t>
  </si>
  <si>
    <t>Ram</t>
  </si>
  <si>
    <t>quyển</t>
  </si>
  <si>
    <t>Sổ ghi chép</t>
  </si>
  <si>
    <t>Xi măng</t>
  </si>
  <si>
    <t>Cát</t>
  </si>
  <si>
    <t>Đá dăm</t>
  </si>
  <si>
    <t>Dấu sứ</t>
  </si>
  <si>
    <t>Đinh</t>
  </si>
  <si>
    <t>Sắt 10</t>
  </si>
  <si>
    <t>Xăng</t>
  </si>
  <si>
    <t>Lít</t>
  </si>
  <si>
    <t>Dầu nhờn</t>
  </si>
  <si>
    <t>Mực đen</t>
  </si>
  <si>
    <t>Lọ</t>
  </si>
  <si>
    <t>Chôn mốc có chống lún:</t>
  </si>
  <si>
    <t>Không chôn mốc</t>
  </si>
  <si>
    <t>Kẹp sắt</t>
  </si>
  <si>
    <t>Chuột máy tính</t>
  </si>
  <si>
    <t>Đèn neon 40W</t>
  </si>
  <si>
    <t>Quạt thông gió 40W</t>
  </si>
  <si>
    <t>Tủ đựng tài liệu</t>
  </si>
  <si>
    <t>Bìa đóng sổ</t>
  </si>
  <si>
    <t>Đĩa CD</t>
  </si>
  <si>
    <t>Giấy can</t>
  </si>
  <si>
    <t>Số liệu độ cao điểm cũ</t>
  </si>
  <si>
    <t>Sơn đỏ</t>
  </si>
  <si>
    <t>Giấy A4</t>
  </si>
  <si>
    <t>Giấy A3</t>
  </si>
  <si>
    <t>Hộp</t>
  </si>
  <si>
    <t>Giấy Kroky</t>
  </si>
  <si>
    <t>Phần mềm vẽ BĐ</t>
  </si>
  <si>
    <t>Thước thép 30m</t>
  </si>
  <si>
    <t>Áo blu</t>
  </si>
  <si>
    <t>lương CB</t>
  </si>
  <si>
    <t>Bậc việc</t>
  </si>
  <si>
    <t>Hệ số</t>
  </si>
  <si>
    <t>Lương CB</t>
  </si>
  <si>
    <t>Lương phụ</t>
  </si>
  <si>
    <t>PCTN</t>
  </si>
  <si>
    <t>Phụ cấp</t>
  </si>
  <si>
    <t>BHXH-YT</t>
  </si>
  <si>
    <t>Tổng cộng</t>
  </si>
  <si>
    <t>Bình quân</t>
  </si>
  <si>
    <t>Nhóm 1</t>
  </si>
  <si>
    <t>Kỹ sư</t>
  </si>
  <si>
    <t>Kỹ thuật viên</t>
  </si>
  <si>
    <t>C</t>
  </si>
  <si>
    <t>D</t>
  </si>
  <si>
    <t>Lái xe</t>
  </si>
  <si>
    <t>Nhóm 2</t>
  </si>
  <si>
    <t>Nhóm 3</t>
  </si>
  <si>
    <t>Ngoại nghiệp:</t>
  </si>
  <si>
    <t>Công tác chuẩn bị</t>
  </si>
  <si>
    <t>Nội nghiệp:</t>
  </si>
  <si>
    <t>SỐ HOÁ VÀ CHUYỂN HỆ TOẠ ĐỘ BẢN ĐỒ ĐỊA CHÍNH:</t>
  </si>
  <si>
    <t>ĐO ĐẠC CHỈNH LÝ BẢN ĐỒ ĐỊA CHÍNH:</t>
  </si>
  <si>
    <t>2.2.1</t>
  </si>
  <si>
    <t>2.2.2</t>
  </si>
  <si>
    <t>TRÍCH ĐO ĐỊA CHÍNH THỬA ĐẤT:</t>
  </si>
  <si>
    <t>Mảnh</t>
  </si>
  <si>
    <t xml:space="preserve"> </t>
  </si>
  <si>
    <t>Lưới đo vẽ</t>
  </si>
  <si>
    <t>Đối soát, kiểm tra</t>
  </si>
  <si>
    <t>Tỷ lệ 1/200</t>
  </si>
  <si>
    <t>Tỷ lệ 1/500</t>
  </si>
  <si>
    <t>Tỷ lệ 1/1000</t>
  </si>
  <si>
    <t>Tỷ lệ 1/2000</t>
  </si>
  <si>
    <t>Tỷ lệ 1/5000</t>
  </si>
  <si>
    <t>Số hoá bản đồ địa chính:</t>
  </si>
  <si>
    <t>2.2.3</t>
  </si>
  <si>
    <t>2.2.4</t>
  </si>
  <si>
    <t>Đất ngoài khu vực đô thị</t>
  </si>
  <si>
    <t>Đất  đô thị</t>
  </si>
  <si>
    <t>Từ 100 m2 đến 300 m2</t>
  </si>
  <si>
    <t>Từ trên 300 m2 đến 500 m2</t>
  </si>
  <si>
    <t>Từ trên 500 m2 đến 1 000 m2</t>
  </si>
  <si>
    <t>Từ trên 1 000 m2 Đến 3 000 m2</t>
  </si>
  <si>
    <t>Từ trên 3 000 m2 đến 10 000 m2</t>
  </si>
  <si>
    <t>Đĩa</t>
  </si>
  <si>
    <t>Điểm</t>
  </si>
  <si>
    <t>Ghi chú:</t>
  </si>
  <si>
    <t>I</t>
  </si>
  <si>
    <t>Lưới đo vẽ:</t>
  </si>
  <si>
    <t>Búa đóng cọc</t>
  </si>
  <si>
    <t>Nilon che máy 5m</t>
  </si>
  <si>
    <t>Máy tính tay casio</t>
  </si>
  <si>
    <t>Lưu điện 600w</t>
  </si>
  <si>
    <t>Cỏi</t>
  </si>
  <si>
    <t>USB (1GB)</t>
  </si>
  <si>
    <t>Bóng điện 100W</t>
  </si>
  <si>
    <t>Nguyên giá</t>
  </si>
  <si>
    <t>Bản đồ 1/200</t>
  </si>
  <si>
    <t>Bản đồ 1/500</t>
  </si>
  <si>
    <t>Bản đồ 1/1 000</t>
  </si>
  <si>
    <t>Bản đồ 1/2 000</t>
  </si>
  <si>
    <t>Bản đồ 1/5 000</t>
  </si>
  <si>
    <t>Bản đồ 1/1000</t>
  </si>
  <si>
    <t>Bản đồ 1/2000</t>
  </si>
  <si>
    <t>Bản đồ 1/5000</t>
  </si>
  <si>
    <t>Máy toàn đạc</t>
  </si>
  <si>
    <t>Máy vi tính để bàn; máy vi tính xách tay; máy bộ đàm; thiết bị nối mạng.</t>
  </si>
  <si>
    <t>Máy quýet phim; trạm tăng dày; điều hoà nhiệt độ; máy chụp ảnh; máy in; máy sấy</t>
  </si>
  <si>
    <t>Định mức (ca)</t>
  </si>
  <si>
    <t>Cọc gỗ 4cmx30 cm +đinh 3cm</t>
  </si>
  <si>
    <t>Đinh sắt 10.15cm &amp; đệm</t>
  </si>
  <si>
    <t>Mực in A4</t>
  </si>
  <si>
    <t>Mực in A3</t>
  </si>
  <si>
    <t>2.3</t>
  </si>
  <si>
    <t>Máy in phun A0</t>
  </si>
  <si>
    <t>II</t>
  </si>
  <si>
    <t>Mực in phun (4 hộp 4 màu)</t>
  </si>
  <si>
    <t>lưu động</t>
  </si>
  <si>
    <t>Chọn điểm, đổ và chôn mốc bê tông (không xây tường vây), đo ngắm, tính toán (GPS):</t>
  </si>
  <si>
    <t>Chọn điểm, đổ và chôn mốc bê tông trên hè phố (có xây hố ga, nắp đậy), đo ngắm, tính toán (GPS):</t>
  </si>
  <si>
    <t>Chọn điểm, đổ và chôn mốc bê tông (có xây tường vây), đo ngắm, tính toán (GPS):</t>
  </si>
  <si>
    <t xml:space="preserve">Số hoá. chuyển hệ toạ độ bản đồ địa chính                 </t>
  </si>
  <si>
    <t>Số hoá BĐĐC</t>
  </si>
  <si>
    <t>Định múc (ca)</t>
  </si>
  <si>
    <t xml:space="preserve">Chuyển hệ </t>
  </si>
  <si>
    <t>Bàn máy vi tính</t>
  </si>
  <si>
    <t>Ghế xoay</t>
  </si>
  <si>
    <t>Quạt trần 100W</t>
  </si>
  <si>
    <t>Xô nhựa 10 lít</t>
  </si>
  <si>
    <t xml:space="preserve">   kW</t>
  </si>
  <si>
    <t>Số hoá, chuyển hệ bản đồ</t>
  </si>
  <si>
    <t>Máy vi tính PC</t>
  </si>
  <si>
    <t>Thiết bị nối mạng</t>
  </si>
  <si>
    <t>Bản</t>
  </si>
  <si>
    <t>Chuyển hệ</t>
  </si>
  <si>
    <t>2.1</t>
  </si>
  <si>
    <t>1.2</t>
  </si>
  <si>
    <t>1.4</t>
  </si>
  <si>
    <t>2.4</t>
  </si>
  <si>
    <t>Mét</t>
  </si>
  <si>
    <t>Sổ giao ca</t>
  </si>
  <si>
    <t>Số hoá và chuyển hệ toạ độ BĐĐC đồng thời thì không tính mức số 7. 9 và 11 cho chuyển hệ toạ độ.</t>
  </si>
  <si>
    <t>Mức chuyển hệ (chưa tính bước xác định toạ độ phục vụ nắn chuyển) cho tỷ lệ 1/500 và cho 1/1000 tính như nhau và tính bằng 0.70 mức tỷ lệ 1/2000.</t>
  </si>
  <si>
    <t>Xác định toạ độ điểm phục vụ nắn chuyển hệ toạ độ: Mức tính bằng 0.75 mức (KK 3) đo ngắm theo phương pháp đường chuyền của Lưới địa chính (chương I).</t>
  </si>
  <si>
    <t>Đối soát thực địa:</t>
  </si>
  <si>
    <t>Đối soát thực địa</t>
  </si>
  <si>
    <t>Bút chì màu</t>
  </si>
  <si>
    <t>Tẩy chì</t>
  </si>
  <si>
    <t>Kẹp giấy loại nhỏ</t>
  </si>
  <si>
    <t>Eke</t>
  </si>
  <si>
    <t>Mức lưới đo vẽ chỉ áp dụng khi phải lập lưới khống chế đo vẽ;</t>
  </si>
  <si>
    <t>Lưới đo vẽ (Tính bằng 0.05 mức vật liệu của Đo vẽ chi tiết)</t>
  </si>
  <si>
    <t>Thước nhựa 60cm</t>
  </si>
  <si>
    <t>Bàn làm việc</t>
  </si>
  <si>
    <t>Giá để tài liệu</t>
  </si>
  <si>
    <t>Đèn Neon 40W</t>
  </si>
  <si>
    <t>Đồng hồ treo tường</t>
  </si>
  <si>
    <t>Máy hút ẩm 2kW</t>
  </si>
  <si>
    <t>Lập bản vẽ:</t>
  </si>
  <si>
    <t>Ống đựng tài liệu</t>
  </si>
  <si>
    <t>Mức cho lập bản vẽ truyền thống tính như mức lập bản vẽ bản đồ số.</t>
  </si>
  <si>
    <t>Bổ sung sổ mục kê</t>
  </si>
  <si>
    <t>Bổ sung sổ mục kê:</t>
  </si>
  <si>
    <t>Bản đồ 1/200, 1/500, 1/1000, 1/2000, 1/5000</t>
  </si>
  <si>
    <t>III</t>
  </si>
  <si>
    <t>Diên tích dưới 100m2</t>
  </si>
  <si>
    <t>g</t>
  </si>
  <si>
    <t>h</t>
  </si>
  <si>
    <t>i</t>
  </si>
  <si>
    <t>k</t>
  </si>
  <si>
    <t>j</t>
  </si>
  <si>
    <t>- Mức trích đo thửa đất trên 1000 ha:  cứ 1 km đường ranh giới sử dụng đất được tính 0.4 công nhóm.</t>
  </si>
  <si>
    <t>(2) Mức trong bảng trên tính cho trường hợp trích đo độc lập (không đo nối với lưới toạ độ nhà nước)</t>
  </si>
  <si>
    <t xml:space="preserve">(3) Trường hợp khi trích đo phải đo nối với lưới toạ độ nhà nước thì tính thêm mức đo lưới khống chế đo vẽ trên nguyên tắc khoảng 5 km đường ranh giới sử dụng đất </t>
  </si>
  <si>
    <t>bố trí một cặp điểm đo bằng công nghệ GPS; mức đo tính bằng 50% mức số 6 mục A Chương I này.</t>
  </si>
  <si>
    <t>XÂY DỰNG LƯỚI ĐỊA CHÍNH, ĐO ĐẠC THÀNH LẬP BẢN ĐỒ ĐỊA CHÍNH BẰNG HƯƠNG PHÁP ĐO ĐẠC TRỰC TIẾP, SỐ HOÁ VÀ CHUYỂN HỆ TOẠ ĐỘ BẢN ĐỒ ĐỊA CHÍNH, ĐO ĐẠC CHỈNH LÝ BẢN ĐỒ ĐỊA CHÍNH, TRÍCH ĐO THỬA ĐẤT, ĐO ĐẠC. CHỈNH LÝ BẢN TRÍCH LỤC BẢN ĐỒ ĐỊA CHÍNH. BẢN TRÍCH LỤC TRÍCH ĐO ĐỊA CHÍNH, ĐO ĐẠC BỔ SUNG TÀI SẢN GẮN LIỀN VỚI ĐẤT</t>
  </si>
  <si>
    <t>Lương ngày ngoại nghiệp</t>
  </si>
  <si>
    <t>Lương ngày nội nghiệp</t>
  </si>
  <si>
    <t>Tỷ lệ</t>
  </si>
  <si>
    <t>1/2 000</t>
  </si>
  <si>
    <t>1/5 000</t>
  </si>
  <si>
    <t>Max</t>
  </si>
  <si>
    <t>Min</t>
  </si>
  <si>
    <t>Trung bình</t>
  </si>
  <si>
    <t>Ha</t>
  </si>
  <si>
    <t>Số thửa TB</t>
  </si>
  <si>
    <t>Số thửa nhỏ nhât, lớn nhất và số thửa trung bình trong 1 ha</t>
  </si>
  <si>
    <t>IV/ LAO ĐỘNG PHỔ THÔNG</t>
  </si>
  <si>
    <t>LƯƠNG NGÀY</t>
  </si>
  <si>
    <t>Các trường hợp đặc biệt</t>
  </si>
  <si>
    <t>a.1</t>
  </si>
  <si>
    <t>Đo vẽ địa hình cho bản đồ địa chính</t>
  </si>
  <si>
    <t>a.2</t>
  </si>
  <si>
    <t>Đo vẽ phục vụ công tác đền bù, giải phóng mặt bằng, khu công nghiệp, các công trình giao thông, thủy lợi, công trình điện năng</t>
  </si>
  <si>
    <r>
      <t>Ghi chú:</t>
    </r>
    <r>
      <rPr>
        <sz val="10"/>
        <rFont val="Times New Roman"/>
        <family val="1"/>
      </rPr>
      <t xml:space="preserve"> trường hợp đồng thời thực hiện số hóa và chuyển hệ tọa độ bản đồ địa chính thì không tính mức 2.2.3 và 2.2.4 bảng trên.</t>
    </r>
  </si>
  <si>
    <t>Chuyển hệ đồng thời với số hoá: không tính mức máy in phun cho chuyển hệ toạ độ.</t>
  </si>
  <si>
    <t>100
thửa</t>
  </si>
  <si>
    <t xml:space="preserve">Ngoại nghiệp:
</t>
  </si>
  <si>
    <t xml:space="preserve">Nội nghiệp:
</t>
  </si>
  <si>
    <t>CAC TRƯỜNG HỢP ĐẶC BIỆT:</t>
  </si>
  <si>
    <t>Trường hợp không lập lưới đo vẽ:</t>
  </si>
  <si>
    <t>a.3</t>
  </si>
  <si>
    <t>a.4</t>
  </si>
  <si>
    <t>Loại
KK</t>
  </si>
  <si>
    <t>Chi phí
LĐKT</t>
  </si>
  <si>
    <t>Chi phí
LĐPT</t>
  </si>
  <si>
    <t>Chi phí
Dụng cụ</t>
  </si>
  <si>
    <t>Chi phí
Vật liệu</t>
  </si>
  <si>
    <t>Chi phí
trực tiếp (A1)</t>
  </si>
  <si>
    <t>Đơn giá
sản phẩm</t>
  </si>
  <si>
    <t>Đơn giá
1 ha</t>
  </si>
  <si>
    <t>Từ trên 1ha đến 10 ha</t>
  </si>
  <si>
    <t>Từ trên 10ha đến 50 ha</t>
  </si>
  <si>
    <t>Từ trên 50ha đến 100 ha</t>
  </si>
  <si>
    <t>Từ trên 100ha đến 500 ha</t>
  </si>
  <si>
    <t>Từ trên 500ha đến 1000 ha</t>
  </si>
  <si>
    <t>thửa/ha</t>
  </si>
  <si>
    <t>PHÂN LOẠI KHÓ KHĂN</t>
  </si>
  <si>
    <t>LƯỚI ĐỊA CHÍNH</t>
  </si>
  <si>
    <t>Khu vực đồng bằng, ít cây; khu vực đồi trọc, thấp, vùng trung du; giao thông thuận tiện.</t>
  </si>
  <si>
    <t>Khu vực đồng bằng nhiều cây; khu vực đồi thưa cây vùng trung du; giao thông tương đối thuận tiện.</t>
  </si>
  <si>
    <t>Nhân viên kỹ thuật</t>
  </si>
  <si>
    <t>NV3</t>
  </si>
  <si>
    <t>NV4</t>
  </si>
  <si>
    <t>NV5</t>
  </si>
  <si>
    <t>Đo ngắm</t>
  </si>
  <si>
    <t>1.1</t>
  </si>
  <si>
    <t>3.1</t>
  </si>
  <si>
    <t>4.1</t>
  </si>
  <si>
    <t>5.1</t>
  </si>
  <si>
    <t>1.5</t>
  </si>
  <si>
    <t>1.6</t>
  </si>
  <si>
    <t>2.5</t>
  </si>
  <si>
    <t>2.6</t>
  </si>
  <si>
    <t>2.7</t>
  </si>
  <si>
    <t>Giao nộp sản phẩm</t>
  </si>
  <si>
    <t>1 ngày công</t>
  </si>
  <si>
    <r>
      <t xml:space="preserve"> </t>
    </r>
    <r>
      <rPr>
        <b/>
        <sz val="10"/>
        <rFont val="Times New Roman"/>
        <family val="1"/>
      </rPr>
      <t xml:space="preserve">Ghi chú:  </t>
    </r>
    <r>
      <rPr>
        <sz val="10"/>
        <rFont val="Times New Roman"/>
        <family val="1"/>
      </rPr>
      <t xml:space="preserve">
- Trường hợp phải đo vẽ địa hình cho bản đồ địa chính, mức tính bằng 0,10 mức quy định.
- Trường hợp đo phục vụ công tác đền bù, giải phóng mặt bằng, khu công nghiệp, các công trình giao thông, thủy lợi, công trình điện năng ngoại nghiệp được tính thêm 15% và nội nghiệp được tính thêm 10% mức trên.
</t>
    </r>
  </si>
  <si>
    <t>Tỷ lệ 1/10.000</t>
  </si>
  <si>
    <t>Tỷ lệ 1/5.000</t>
  </si>
  <si>
    <t>Tỷ lệ 1/2.000</t>
  </si>
  <si>
    <t>Tỷ lệ 1/1.000</t>
  </si>
  <si>
    <t>Số hóa nội dung bản đồ</t>
  </si>
  <si>
    <t>Biên tập nội dung bản đồ và in</t>
  </si>
  <si>
    <t>Chuyển hệ tọa độ BĐĐC dạng số từ hệ tọa độ HN-72 sang hệ tọa độ VN-2000</t>
  </si>
  <si>
    <t>Xác định tọa độ phục vụ nắn chuyển (công nhóm/điểm nắn)</t>
  </si>
  <si>
    <t>Chuyển đổi bản đồ số (công/mảnh)</t>
  </si>
  <si>
    <t>Nắn chuyển</t>
  </si>
  <si>
    <t>Tính lại và so sánh diện tích trước và sau nắn chuyển tọa độ</t>
  </si>
  <si>
    <t>Chuyển đổi bản đồi số dạng vector từ hệ HN-72 sang hệ VN-2000</t>
  </si>
  <si>
    <t>Đối soát thực địa (công nhóm/mảnh)</t>
  </si>
  <si>
    <t>Lưới đo vẽ (công nhóm/100 thửa có biến động cần chỉnh lý)</t>
  </si>
  <si>
    <t>Biên tập bản đồ và in (công nhóm/mảnh)</t>
  </si>
  <si>
    <t>Xác nhận hồ sơ các cấp (công nhóm/mảnh)</t>
  </si>
  <si>
    <t>Giao nộp sản phẩm (công nhóm/mảnh)</t>
  </si>
  <si>
    <t>Ngoại nghiệp</t>
  </si>
  <si>
    <t>Nội nghiệp</t>
  </si>
  <si>
    <t>1.</t>
  </si>
  <si>
    <t xml:space="preserve">2. </t>
  </si>
  <si>
    <t>Quy mô diện tích thửa đất dưới 100 m2</t>
  </si>
  <si>
    <t>Bộ khắc chữ</t>
  </si>
  <si>
    <t>(1) Mức thiết bị đo ngắm độ cao lượng giác tính bằng 0,10 mức thiết bị đo ngắm tại Bảng trên.
(2) Mức thiết bị tính toán kết quả đo độ cao lượng giác tính bằng 0,10 mức thiết bị tính toán tại Bảng trên.</t>
  </si>
  <si>
    <t>Giấy A0 loại 100g/m2</t>
  </si>
  <si>
    <t>Ghi chú điểm tọa độ cũ</t>
  </si>
  <si>
    <t>Chọn điểm, chôn mốc; xây tường vây; tiếp điểm; đo ngắm</t>
  </si>
  <si>
    <t>Mực in laser</t>
  </si>
  <si>
    <t>Số liệu tọa độ điểm gốc</t>
  </si>
  <si>
    <t>Số liệu độ cao điểm gốc</t>
  </si>
  <si>
    <t>1/10000</t>
  </si>
  <si>
    <r>
      <t xml:space="preserve">Ghi chú:
</t>
    </r>
    <r>
      <rPr>
        <sz val="10"/>
        <rFont val="Times New Roman"/>
        <family val="1"/>
      </rPr>
      <t xml:space="preserve">(2) Đất giao thông đường bộ, đường sắt, đê điều và đất thủy hệ được nhà nước giao quản lý không thuộc diện phải cấp GCN khi phải đo vẽ thì được tính bằng 0,3 lần định mức tại Bảng trên.
(3) Trường hợp phải đo vẽ chi tiết địa hình thì mức tính bằng 0,10 mức đo vẽ chi tiết. 
</t>
    </r>
  </si>
  <si>
    <t>Bản đồ 1/10 000</t>
  </si>
  <si>
    <r>
      <t xml:space="preserve">Ghi chú:
</t>
    </r>
    <r>
      <rPr>
        <sz val="10"/>
        <rFont val="Times New Roman"/>
        <family val="1"/>
      </rPr>
      <t>(1) Đất giao thông đường bộ, đường sắt, đê điều và đất thủy hệ được nhà nước giao quản lý không thuộc diện phải cấp GCN khi phải đo vẽ thì được tính bằng 0,3 lần định mức.
(2) Trường hợp phải đo vẽ chi tiết địa hình thì mức tính bằng 0,10 mức đo vẽ chi tiết BĐĐC (mức số 2).</t>
    </r>
    <r>
      <rPr>
        <b/>
        <sz val="10"/>
        <rFont val="Times New Roman"/>
        <family val="1"/>
      </rPr>
      <t xml:space="preserve">
</t>
    </r>
  </si>
  <si>
    <t xml:space="preserve">(2) Đất giao thông đường bộ, đường sắt, đê điều và đất thủy hệ được nhà nước giao quản lý không thuộc diện phải cấp GCN khi phải đo vẽ thì được tính bằng 0,3 lần định mức 
(3) Trường hợp phải đo vẽ địa hình mức vật liệu tính thêm 0,10 mức.
</t>
  </si>
  <si>
    <t>Xác nhận hồ sơ; lập sổ mục kê và phục vụ KTNT</t>
  </si>
  <si>
    <t>Bản đồ 1/10000</t>
  </si>
  <si>
    <t>Số liệu tọa độ điểm cũ</t>
  </si>
  <si>
    <r>
      <t>Ghi chú:</t>
    </r>
    <r>
      <rPr>
        <sz val="10"/>
        <rFont val="Times New Roman"/>
        <family val="1"/>
      </rPr>
      <t xml:space="preserve"> 
(3) Đất giao thông đường bộ, đường sắt, đê điều và đất thủy hệ được nhà nước giao quản lý không thuộc diện phải cấp GCN khi phải đo vẽ thì được tính bằng 0,3 lần định mức t.
(4) Trường hợp phải đo vẽ địa hình mức vật liệu tính bằng 0,10 mức. 
</t>
    </r>
  </si>
  <si>
    <t>Máy hút bụi 1,5kW</t>
  </si>
  <si>
    <t>Lưu điện 600W</t>
  </si>
  <si>
    <r>
      <rPr>
        <b/>
        <sz val="10"/>
        <rFont val="Times New Roman"/>
        <family val="1"/>
      </rPr>
      <t>Ghi chú:</t>
    </r>
    <r>
      <rPr>
        <sz val="10"/>
        <rFont val="Times New Roman"/>
        <family val="1"/>
      </rPr>
      <t xml:space="preserve">
(2) Mức cho trường hợp đồng thời thực hiện số hóa và chuyển hệ tọa độ BĐĐC tính bằng 0,90 mức tại Bảng 36 và Bảng 37.
(3) Mức dụng cụ cho Chuyển hệ tọa độ (chưa tính bước xác định tọa độ phục vụ nắn chuyển) BĐĐC tỷ lệ 1/1000 và 1/500 được tính như sau:
- Mức cho 1/500 tính bằng 0,65 mức tỷ lệ 1/2000;
- Mức cho 1/1000 tính bằng 0,80 mức tỷ lệ 1/2000.
(4) Mức dụng cụ cho xác định tọa độ điểm phục vụ nắn chuyển hệ tọa độ: Mức tính bằng 0,50 mức (KK3) đo ngắm của Lưới địa chính 
</t>
    </r>
  </si>
  <si>
    <t xml:space="preserve">Số hóa BĐĐC; chuyển hệ tọa độ BĐĐC dạng số từ hệ tọa độ HN72 sang hệ tọa độ     </t>
  </si>
  <si>
    <t>Số hóa BĐĐC</t>
  </si>
  <si>
    <t>Xác định tọa độ phục vụ nắn chuyển: Mức tính bằng 0,50 mức (KK3) đo ngắm theo phương pháp đường chuyền của Lưới địa chính</t>
  </si>
  <si>
    <t>Mức trên tính cho khu vực mức độ biến động từ 15% số thửa đất trở xuống; trường hợp mảnh bản đồ có mức độ biến động trên 15% số thửa thì số lượng thửa đất biến động trên 15% đến 25% được tính bằng 0,9 lần mức trên; số lượng thửa đất biến động trên 25% đến 40% hoặc trên 40% nhưng các thửa đất biến động không tập trung được tính bằng 0,8 lần mức trên</t>
  </si>
  <si>
    <t>Mức trên tính cho khu vực mức độ biến động từ 15% số thửa đất trở xuống; trường hợp mảnh bản đồ có mức độ biến động trên 15% số thửa thì số lượng thửa đất biến động trên 15% đến 25% được tính bằng 0,9 lần mức trên; số lượng thửa đất biến động trên 25% đến 40% hoặc trên 40% nhưng các thửa đất biến động không tập trung được tính bằng 0,8 lần mức trên.</t>
  </si>
  <si>
    <t>Mức trên tính cho khu vực biến động mức độ biến động từ 15% số thửa đất trở xuống; trường hợp mảnh bản đồ có mức độ biến động trên 15% số thửa thì số lượng thửa đất biến động trên 15% đến 25% được tính bằng 0,9 lần mức trên; số lượng thửa đất biến động trên 25% đến 40% hoặc trên 40% nhưng các thửa đất biến động không tập trung được tính bằng 0,8 lần mức trên.</t>
  </si>
  <si>
    <t>Ghi chú: Mức trên tính cho khu vực mức độ biến động từ 15% số thửa đất trở xuống; trường hợp mảnh bản đồ có mức độ biến động trên 15% số thửa thì số lượng thửa đất biến động trên 15% đến 25% được tính bằng 0,9 lần mức trên; số lượng thửa đất biến động trên 25% đến 40% hoặc trên 40% nhưng các thửa đất biến động không tập trung được tính bằng 0,8 lần mức trên.</t>
  </si>
  <si>
    <t>Lập bản vẽ BĐĐC</t>
  </si>
  <si>
    <t xml:space="preserve">Biên tập BĐĐC và in; xác nhận hồ sơ các cấp; giao nộp sản phẩm </t>
  </si>
  <si>
    <t>TỶ LỆ 1/10000</t>
  </si>
  <si>
    <t>Trường hợp biến động từ 15% đến 25%:</t>
  </si>
  <si>
    <t>Trường hợp biến động trên 25% đến 40% hoặc biến động trên 40% nhưng các thửa đất biến động không tập trung:</t>
  </si>
  <si>
    <t>Tỷ lệ 1/10000</t>
  </si>
  <si>
    <t>1KTV6</t>
  </si>
  <si>
    <t>2KTV6</t>
  </si>
  <si>
    <t>IV</t>
  </si>
  <si>
    <t>V</t>
  </si>
  <si>
    <t>Bảng 1</t>
  </si>
  <si>
    <t>Bảng 2</t>
  </si>
  <si>
    <t>Bảng 3</t>
  </si>
  <si>
    <t>Bảng 4</t>
  </si>
  <si>
    <t>Bảng 5</t>
  </si>
  <si>
    <t>VI</t>
  </si>
  <si>
    <t>VII</t>
  </si>
  <si>
    <t>ĐO ĐẠC CHỈNH LÝ BẢN TRÍCH ĐO ĐỊA CHÍNH HOẶC CHỈNH LÝ RIÊNG TỪNG THỬA ĐẤT CỦA BẢN ĐỒ ĐỊA CHÍNH</t>
  </si>
  <si>
    <t>ĐO ĐẠC TÀI SẢN GẮN LIỀN VỚI ĐẤT</t>
  </si>
  <si>
    <t>(1) Mức cho công việc tiếp điểm không có tường vây được tính bằng 1,25 mức quy định tại Mục 3 Bảng 1;</t>
  </si>
  <si>
    <t>(2) Trường hợp đo độ cao lượng giác mức đo ngắm tính bằng 0,10 mức quy định tại Mục 4 Bảng 1, mức tính toán là 0,05 công nhóm 2 (1KS2, 1KS3) cho 1 điểm;</t>
  </si>
  <si>
    <t>(3) Trường hợp chọn điểm, chôn mốc địa chính trên hè phố (có xây hố, nắp đậy) mức được tính bằng 1,20 mức quy định tại Mục 1 Bảng 1.</t>
  </si>
  <si>
    <t>Ttiếp điểm không có tường vây</t>
  </si>
  <si>
    <t>Đo độ cao lượng giác</t>
  </si>
  <si>
    <t>Tinh toán cho Đo độ cao lượng giác</t>
  </si>
  <si>
    <t>Trường hợp chỉnh lý do yếu tố quy hoạch dựa trên tài liệu được cung cấp thì định mức được tính bằng 0,20 mức trích đo địa chính thửa đất quy định tại Bảng 5.</t>
  </si>
  <si>
    <t>LĐPT</t>
  </si>
  <si>
    <t>Trường hợp đo đạc chỉnh lý bản trích đo địa chính hoặc chỉnh lý riêng từng thửa đất của bản đồ địa chính thì định mức được tính bằng 0,40 mức trích đo địa chính thửa đất quy định tại Bảng 5</t>
  </si>
  <si>
    <t>VII.1</t>
  </si>
  <si>
    <t>Định mức đo đạc tài sản gắn liền với đất quy định tại mục này được áp dụng đối với trường hợp chủ sở hữu tài sản có yêu cầu đo đạc tài sản gắn liền với đất để phục vụ cho đăng ký, cấp GCN về quyền sở hữu đối với tài sản đó. Diện tích tài sản gắn liền với đất phải đo đạc gồm diện tích chiếm đất của tài sản và diện tích sàn xây dựng theo quy định cấp GCN đối với từng loại tài sản.</t>
  </si>
  <si>
    <t>VII.2</t>
  </si>
  <si>
    <t>3. Trường hợp đo đạc tài sản thực hiện không đồng thời với trích đo địa chính thửa đất thì định mức được tính như sau:</t>
  </si>
  <si>
    <t>Trường hợp nhà, công trình xây dựng khác có nhiều tầng mà diện tích xây dựng ở các tầng không giống nhau phải đo đạc riêng từng tầng thì định mức đo đạc tầng sát mặt đất được tính bằng 0,70 lần định mức trích đo thửa đất có diện tích tương ứng quy định tại Bảng 5; từ tầng thứ 2 trở lên (nếu phải đo) được tính định mức bằng 0,5 lần mức đo đạc của tầng sát mặt đất.</t>
  </si>
  <si>
    <t>VII.3</t>
  </si>
  <si>
    <t>Đối với tài sản gắn liền với đất là nhà và các công trình xây dựng khác thì định mức được tính bằng 0,70 lần định mức trích đo địa chính thửa đất có diện tích tương ứng quy định tại Bảng 5 (không kể đo lưới).</t>
  </si>
  <si>
    <t>Đối với tài sản gắn liền với đất không phải là nhà, công trình xây dựng khác thì định mức đo đạc được tính bằng 0,30 lần mức trích đo thửa đất quy định tại Bảng 5.</t>
  </si>
  <si>
    <t>Trường hợp đo đạc tài sản thực hiện đồng thời với trích đo địa chính thửa đất thì định mức trích đo địa chính thửa đất thực hiện theo quy định tại Bảng 5:</t>
  </si>
  <si>
    <t>Định mức đo đạc tài sản gắn liền với đất là nhà và các công trình xây dựng khác được tính bằng 0,50 lần định mức trích đo địa chính thửa đất có diện tích tương ứng (không kể đo lưới)</t>
  </si>
  <si>
    <t>Định mức đo đạc tài sản khác gắn liền với đất được tính bằng 0,30 lần định mức trích đo thửa đất có diện tích tương ứng.</t>
  </si>
  <si>
    <t>VII.4</t>
  </si>
  <si>
    <t>Trường hợp ranh giới nhà ở và tài sản gắn liền với đất trùng với ranh giới thửa đất thì chỉ tính định mức trích đo địa chính thửa đất mà không tính định mức đo đạc tài sản gắn liền với đất.</t>
  </si>
  <si>
    <t>3KTV6, 1NV3</t>
  </si>
  <si>
    <t>2KTV4, 1KTV6, 1NV3</t>
  </si>
  <si>
    <t>2KTV6, 1KS2, 1KS3, 1NV3</t>
  </si>
  <si>
    <t>1KS2, 1KS3</t>
  </si>
  <si>
    <t>1KTV4, 2KTV6, 1KTV10</t>
  </si>
  <si>
    <t>2KTV4, 2KTV6, 1KTV10</t>
  </si>
  <si>
    <t>1KS2,1KS3</t>
  </si>
  <si>
    <t>1KTV4, 1KTV6</t>
  </si>
  <si>
    <t>1KTV6, 1KTV10</t>
  </si>
  <si>
    <t>1KTV4, 2KTV6</t>
  </si>
  <si>
    <t>Định biên</t>
  </si>
  <si>
    <t>- Mức trích đo địa chính thửa đất từ trên 1.000 ha: Cứ 1 km đường ranh giới sử dụng đất được tính 0,40 công nhóm 3 (1KTV4, 2KTV6).</t>
  </si>
  <si>
    <t>(2) Mức tại Bảng 5 tính cho trường hợp trích đo độc lập (không đo nối với lưới tọa độ Quốc gia). Trường hợp khi trích đo phải đo nối với lưới tọa độ Quốc gia thì tính thêm mức đo lưới khống chế đo vẽ trên nguyên tắc khoảng 5 km đường ranh giới sử dụng đất bố trí một cặp điểm; mức đo tính bằng 0,5 mức tại Mục 4 Bảng 1.</t>
  </si>
  <si>
    <t>(3) Khi 01 đơn vị thực hiện trích đo cho nhiều thửa đất trong cùng một đơn vị hành chính cấp xã, trong cùng 1 ngày thì mức trích đo từ thửa đất thứ 2 trở đi chỉ được tính bằng 80% định mức quy định tại Bảng 5.</t>
  </si>
  <si>
    <t>(4) Trường hợp chỉ thực hiện kiểm tra, thẩm định bản trích đo địa chính do tổ chức sử dụng đất hoặc cá nhân sử dụng đất lập mà chưa có ý kiến thẩm định của cơ quan tài nguyên và môi trường thì định mức được áp dụng bằng 0,25 mức quy định tại Bảng 5.</t>
  </si>
  <si>
    <t>(5) Định biên, định mức và các mức khó khăn tại điểm 1.3 Mục 1 và điểm 2.3 Mục 2 của Bảng 5 được tính theo Thông tư Ban hành Định mức kinh tế - kỹ thuật xây dựng cơ sở dữ liệu đất đai của Bộ trưởng Bộ Tài nguyên và Môi trường.</t>
  </si>
  <si>
    <r>
      <t>(1) Mức trích đo địa chính thửa đất lớn hơn 10.000m</t>
    </r>
    <r>
      <rPr>
        <vertAlign val="superscript"/>
        <sz val="10"/>
        <rFont val="Times New Roman"/>
        <family val="1"/>
      </rPr>
      <t>2</t>
    </r>
    <r>
      <rPr>
        <sz val="10"/>
        <rFont val="Times New Roman"/>
        <family val="1"/>
      </rPr>
      <t xml:space="preserve"> (lớn hơn 01 ha) như sau:</t>
    </r>
  </si>
  <si>
    <r>
      <t>- Mức trích đo địa chính thửa đất từ trên 01 ha đến 10 ha tính bằng 1,20 định mức trích đo địa chính thửa đất từ trên 3.000 m</t>
    </r>
    <r>
      <rPr>
        <vertAlign val="superscript"/>
        <sz val="10"/>
        <rFont val="Times New Roman"/>
        <family val="1"/>
      </rPr>
      <t>2</t>
    </r>
    <r>
      <rPr>
        <sz val="10"/>
        <rFont val="Times New Roman"/>
        <family val="1"/>
      </rPr>
      <t xml:space="preserve"> đến 10.000 m</t>
    </r>
    <r>
      <rPr>
        <vertAlign val="superscript"/>
        <sz val="10"/>
        <rFont val="Times New Roman"/>
        <family val="1"/>
      </rPr>
      <t>2</t>
    </r>
    <r>
      <rPr>
        <sz val="10"/>
        <rFont val="Times New Roman"/>
        <family val="1"/>
      </rPr>
      <t xml:space="preserve"> tại Bảng 5;</t>
    </r>
  </si>
  <si>
    <r>
      <t>- Mức trích đo địa chính thửa đất từ trên 10 ha đến 50 ha tính bằng 1,30 định mức trích đo địa chính thửa đất từ trên 3.000 m</t>
    </r>
    <r>
      <rPr>
        <vertAlign val="superscript"/>
        <sz val="10"/>
        <rFont val="Times New Roman"/>
        <family val="1"/>
      </rPr>
      <t>2</t>
    </r>
    <r>
      <rPr>
        <sz val="10"/>
        <rFont val="Times New Roman"/>
        <family val="1"/>
      </rPr>
      <t xml:space="preserve"> đến 10.000 m</t>
    </r>
    <r>
      <rPr>
        <vertAlign val="superscript"/>
        <sz val="10"/>
        <rFont val="Times New Roman"/>
        <family val="1"/>
      </rPr>
      <t>2</t>
    </r>
    <r>
      <rPr>
        <sz val="10"/>
        <rFont val="Times New Roman"/>
        <family val="1"/>
      </rPr>
      <t xml:space="preserve"> tại Bảng 5;</t>
    </r>
  </si>
  <si>
    <r>
      <t>- Mức trích đo địa chính thửa đất từ trên 50 ha đến 100 ha tính bằng 1,40 định mức trích đo địa chính thửa đất từ trên 3.000 m</t>
    </r>
    <r>
      <rPr>
        <vertAlign val="superscript"/>
        <sz val="10"/>
        <rFont val="Times New Roman"/>
        <family val="1"/>
      </rPr>
      <t>2</t>
    </r>
    <r>
      <rPr>
        <sz val="10"/>
        <rFont val="Times New Roman"/>
        <family val="1"/>
      </rPr>
      <t xml:space="preserve"> đến 10.000 m</t>
    </r>
    <r>
      <rPr>
        <vertAlign val="superscript"/>
        <sz val="10"/>
        <rFont val="Times New Roman"/>
        <family val="1"/>
      </rPr>
      <t>2</t>
    </r>
    <r>
      <rPr>
        <sz val="10"/>
        <rFont val="Times New Roman"/>
        <family val="1"/>
      </rPr>
      <t xml:space="preserve"> tại Bảng 5;</t>
    </r>
  </si>
  <si>
    <r>
      <t>- Mức trích đo địa chính thửa đất từ trên 100 ha đến 500 ha tính bằng 1,60 định mức trích đo địa chính thửa đất từ trên 3.000 m</t>
    </r>
    <r>
      <rPr>
        <vertAlign val="superscript"/>
        <sz val="10"/>
        <rFont val="Times New Roman"/>
        <family val="1"/>
      </rPr>
      <t>2</t>
    </r>
    <r>
      <rPr>
        <sz val="10"/>
        <rFont val="Times New Roman"/>
        <family val="1"/>
      </rPr>
      <t xml:space="preserve"> đến 10.000 m</t>
    </r>
    <r>
      <rPr>
        <vertAlign val="superscript"/>
        <sz val="10"/>
        <rFont val="Times New Roman"/>
        <family val="1"/>
      </rPr>
      <t>2</t>
    </r>
    <r>
      <rPr>
        <sz val="10"/>
        <rFont val="Times New Roman"/>
        <family val="1"/>
      </rPr>
      <t xml:space="preserve"> tại Bảng 5;</t>
    </r>
  </si>
  <si>
    <r>
      <t>- Mức trích đo địa chính thửa đất từ trên 500 ha đến 1000 ha tính bằng 1,80 định mức trích đo địa chính thửa đất từ trên 3.000 m</t>
    </r>
    <r>
      <rPr>
        <vertAlign val="superscript"/>
        <sz val="10"/>
        <rFont val="Times New Roman"/>
        <family val="1"/>
      </rPr>
      <t>2</t>
    </r>
    <r>
      <rPr>
        <sz val="10"/>
        <rFont val="Times New Roman"/>
        <family val="1"/>
      </rPr>
      <t xml:space="preserve"> đến 10.000 m</t>
    </r>
    <r>
      <rPr>
        <vertAlign val="superscript"/>
        <sz val="10"/>
        <rFont val="Times New Roman"/>
        <family val="1"/>
      </rPr>
      <t>2</t>
    </r>
    <r>
      <rPr>
        <sz val="10"/>
        <rFont val="Times New Roman"/>
        <family val="1"/>
      </rPr>
      <t xml:space="preserve"> tại Bảng 5;</t>
    </r>
  </si>
  <si>
    <t>(1) Mức lưới đo vẽ tại Mục 1.2 Bảng 4 chỉ áp dụng khi phải lập lưới khống chế đo vẽ;</t>
  </si>
  <si>
    <t>(2) Mức tại Bảng 4 được tính cho mảnh bản đồ có mức độ biến động từ 15% số thửa đất trở xuống đối với các thửa đất có biến động về hình thể thửa đất hoặc biến động hình thể và tên chủ, địa chỉ, loại đất kèm theo (nếu có) hoặc phải đo đạc xác định, chỉnh lý mốc giới quy hoạch, mốc giới hành lang an toàn công trình; trường hợp mảnh bản đồ có mức độ biến động trên 15% số thửa thì số lượng thửa đất biến động vượt 15% được tính như sau:</t>
  </si>
  <si>
    <t>- Số lượng thửa đất biến động trên 15% đến 25% được tính bằng 0,9 lần mức quy định tại Bảng 4;</t>
  </si>
  <si>
    <t>- Số lượng thửa đất biến động trên 25% đến 40% hoặc biến động trên 40% nhưng các thửa đất biến động không tập trung được tính bằng 0,8 lần mức quy định tại Bảng 4.</t>
  </si>
  <si>
    <t>(3) Trường hợp khu vực có biến động hàng loạt và tập trung mà mức độ biến động trên 40% số thửa thì phần diện tích của các thửa đất cần chỉnh lý biến động tính mức như đo vẽ mới BĐĐC.</t>
  </si>
  <si>
    <t>(4) Trường hợp thửa đất chỉ thay đổi tên chủ, địa chỉ, loại đất thì mức chỉnh lý biến động chỉ được tính đối với các nội dung công việc quy định tại các Điểm 2.3, 2.5, 2.6 tại Bảng 4.</t>
  </si>
  <si>
    <t>(5) Định biên, định mức và các mức khó khăn tại điểm 2.7 của Mục 2 của Bảng 4 được tính theo Thông tư Ban hành Định mức kinh tế - kỹ thuật xây dựng cơ sở dữ liệu đất đai của Bộ trưởng Bộ Tài nguyên và Môi trường.</t>
  </si>
  <si>
    <t>NN</t>
  </si>
  <si>
    <t>Trường hợp biến động chỉ thay đổi tên chủ, địa chỉ, loại đất</t>
  </si>
  <si>
    <t>b.4</t>
  </si>
  <si>
    <t>c.4</t>
  </si>
  <si>
    <t>d.1</t>
  </si>
  <si>
    <t>d.2</t>
  </si>
  <si>
    <t>d.3</t>
  </si>
  <si>
    <t>d.4</t>
  </si>
  <si>
    <t>f.4</t>
  </si>
  <si>
    <t>f.1</t>
  </si>
  <si>
    <t>f.2</t>
  </si>
  <si>
    <t>f.3</t>
  </si>
  <si>
    <t>b.1</t>
  </si>
  <si>
    <t>b.2</t>
  </si>
  <si>
    <t>b.3</t>
  </si>
  <si>
    <t>c.1</t>
  </si>
  <si>
    <t>c.2</t>
  </si>
  <si>
    <t>c.3</t>
  </si>
  <si>
    <t>e.1</t>
  </si>
  <si>
    <r>
      <t>Ghi chú:</t>
    </r>
    <r>
      <rPr>
        <sz val="10"/>
        <rFont val="Times New Roman"/>
        <family val="1"/>
      </rPr>
      <t xml:space="preserve">
(2) Mức dụng cụ tìm điểm không có tường vây tính bằng 0,50 mức tiếp điểm. Mức tìm điểm có tường vây tính bằng 0,75 mức tiếp điểm.
(3) Mức dụng cụ đo ngắm độ cao lượng giác tính bằng 0,10 mức dụng cụ đo ngắm.
(4) Mức dụng cụ chọn điểm, chôn mốc trên hè phố (có xây hố ga và nắp đậy) tính bằng 1,20 mức chọn điểm, chôn mốc.
</t>
    </r>
  </si>
  <si>
    <t>Số TT</t>
  </si>
  <si>
    <t>Công suất</t>
  </si>
  <si>
    <t>Số lượng</t>
  </si>
  <si>
    <t>Khấu hao/1 ca</t>
  </si>
  <si>
    <t>CP chung
25 - 15%</t>
  </si>
  <si>
    <t>Vùng I</t>
  </si>
  <si>
    <t>Vùng II</t>
  </si>
  <si>
    <t>Vùng III</t>
  </si>
  <si>
    <t>Vùng IV</t>
  </si>
  <si>
    <t>Cộng</t>
  </si>
  <si>
    <t xml:space="preserve">Cộng </t>
  </si>
  <si>
    <t>Chọn điểm, chôn mốc địa chính trên hè phố (có xây hố, nắp đậy)</t>
  </si>
  <si>
    <t>Tính toán bình sai</t>
  </si>
  <si>
    <t>Lập lưới khống chế đo vẽ</t>
  </si>
  <si>
    <t>Xác định ranh giới thửa đất trên thực địa</t>
  </si>
  <si>
    <t>Đo đạc ranh giới thửa đất và các đối tượng địa lý có liên quan</t>
  </si>
  <si>
    <t>Giao nhận Phiếu kết quả đo đạc hiện trạng thửa đất</t>
  </si>
  <si>
    <t>Biên tập bản đồ địa chính</t>
  </si>
  <si>
    <t>Lập sổ mục kê đất đai phạm vi khu đo</t>
  </si>
  <si>
    <t>In sản phẩm đo đạc lập bản đồ địa chính gồm sản phẩm chính và sản phẩm trung gian</t>
  </si>
  <si>
    <t>Lập Phiếu xác nhận kết quả đo đạc hiện trạng thửa đất</t>
  </si>
  <si>
    <t>Trình ký xác nhận hồ sơ</t>
  </si>
  <si>
    <t>Giao nộp sản phẩm đo đạc lập bản đồ địa chính</t>
  </si>
  <si>
    <t>Đo đạc ranh giới thửa đất và các đối tượng địa lý có liên quan (công nhóm/100 thửa có biến động cần chỉnh lý)</t>
  </si>
  <si>
    <t>Lập bản vẽ BĐĐC (Công nhóm/100 thửa chỉnh lý)</t>
  </si>
  <si>
    <t>Bổ sung sổ mục kê (công nhóm/100 thửa chỉnh lý)</t>
  </si>
  <si>
    <t>Công khai bản đồ địa chính;
Hoàn thiện bản đồ địa chính</t>
  </si>
  <si>
    <t>Lấy xác nhận hồ sơ; lập sổ mục kê; Công khai bản đồ địa chính; Hoàn thiện bản đồ địa chính; phục vụ KTNT và giao nộp sản phẩm.</t>
  </si>
  <si>
    <t>Phụ cấp khu vực</t>
  </si>
  <si>
    <t>Lưới khống chế đo vẽ:</t>
  </si>
  <si>
    <t>Danh mục dụng cụ, vật tư, thiết bị, hóa chất</t>
  </si>
  <si>
    <t>Bàn dập ghim bé</t>
  </si>
  <si>
    <t>Bàn dập ghim to</t>
  </si>
  <si>
    <t>Bàn đục lỗ</t>
  </si>
  <si>
    <t>Băng dính loại to</t>
  </si>
  <si>
    <t>Bút bi Nhật</t>
  </si>
  <si>
    <t>Bút nhớ dòng</t>
  </si>
  <si>
    <t xml:space="preserve">Bút xoá </t>
  </si>
  <si>
    <t>Cặp tài liệu (trình ký)</t>
  </si>
  <si>
    <t>M3</t>
  </si>
  <si>
    <t>Đầu ghi đĩa CD 0,04</t>
  </si>
  <si>
    <t>1 lít</t>
  </si>
  <si>
    <t>Kw</t>
  </si>
  <si>
    <t>Ê ke nhỏ</t>
  </si>
  <si>
    <t>Ghế tựa (Xuân Hòa)</t>
  </si>
  <si>
    <t>Ghim dập</t>
  </si>
  <si>
    <t>Ghim vòng</t>
  </si>
  <si>
    <t>Gram</t>
  </si>
  <si>
    <t>Giấy CNQSDĐ</t>
  </si>
  <si>
    <t>Kéo cắt giấy</t>
  </si>
  <si>
    <t>Máy chủ Netserver (Máy chủ Dell Poweredge Rack 2U R740)</t>
  </si>
  <si>
    <t>Máy photocopy A0:  Ricoh MP W6700SP</t>
  </si>
  <si>
    <t>Máy Fotocopy A3</t>
  </si>
  <si>
    <t>Máy in laser A3</t>
  </si>
  <si>
    <t>Máy in laser A4 0,5kW</t>
  </si>
  <si>
    <t xml:space="preserve">Máy ổn áp 2000VA </t>
  </si>
  <si>
    <t>Máy Scan A3</t>
  </si>
  <si>
    <t>EPSON DS-570W Wifi máy quét scan màu A4 2 mặt tự động</t>
  </si>
  <si>
    <t>Máy Scan A0 (HP designjet T830 36 in)</t>
  </si>
  <si>
    <t>Máy tính tay</t>
  </si>
  <si>
    <t>Mia gỗ 03m</t>
  </si>
  <si>
    <t>Mực máy photocopy A3</t>
  </si>
  <si>
    <t>Mực Photocopy A0</t>
  </si>
  <si>
    <t>Ôtô 9 - 12 chỗ</t>
  </si>
  <si>
    <t>Chiếc</t>
  </si>
  <si>
    <t>Phần mềm số hóa</t>
  </si>
  <si>
    <t>Thước nhựa 1,2m</t>
  </si>
  <si>
    <t>Thước nhựa 30 cm</t>
  </si>
  <si>
    <t>Mực in Laser</t>
  </si>
  <si>
    <t>Ghi chú: Lao động phổ thông tính theo nghị định Nghị định 74/2024/NĐ-CP áp dụng từ ngày 01/7/2024</t>
  </si>
  <si>
    <t>Lương ngày phụ cấp khu vực ngoại nghiệp</t>
  </si>
  <si>
    <t>Lương ngày phụ cấp khu vực nội nghiệp</t>
  </si>
  <si>
    <t>Lương ngày lao động phổ thông</t>
  </si>
  <si>
    <t>Hệ số ngừng nghỉ việc do thời tiết</t>
  </si>
  <si>
    <t>- Hệ số lương cấp bậc theo Nghị định số 204/2004/NĐ-CP ngày 09 tháng 5 năm 2019 của Chính phủ</t>
  </si>
  <si>
    <t>III/ PHỤ CẤP KHU VỰC</t>
  </si>
  <si>
    <t>ĐƠN GIÁ VẬT LIỆU, DỤNG CỤ, THIẾT BỊ</t>
  </si>
  <si>
    <r>
      <t>Giấy A0 loại 100g/m</t>
    </r>
    <r>
      <rPr>
        <vertAlign val="superscript"/>
        <sz val="11"/>
        <rFont val="Times New Roman"/>
        <family val="1"/>
      </rPr>
      <t>2</t>
    </r>
  </si>
  <si>
    <t>Công khai bản đồ địa chính, Hoàn thiện bản đồ địa chính</t>
  </si>
  <si>
    <t xml:space="preserve"> Đất tại các phường</t>
  </si>
  <si>
    <t>Đất tại các xã</t>
  </si>
  <si>
    <t>Bộ đàm</t>
  </si>
  <si>
    <t>Ôtô 7- 9 chỗ</t>
  </si>
  <si>
    <t>(4) Trường hợp đo đạc mốc ranh giới sử dụng đất của các công ty nông, lâm nghiệp thì không tính nội dung xây tường vây quy định tại Điểm 2 Bảng 1. Mức công việc tiếp điểm được tính bằng bằng 1,25 mức quy định tại Điểm 3 Bảng 1;</t>
  </si>
  <si>
    <t>Tính toán, bình sai</t>
  </si>
  <si>
    <t>Lập Phiếu đo đạc chỉnh lý thửa đất (Công/100 thửa chỉnh lý)</t>
  </si>
  <si>
    <t>Ghế tựa</t>
  </si>
  <si>
    <t>Ba lô</t>
  </si>
  <si>
    <t>Quần áo bảo hộ lao động</t>
  </si>
  <si>
    <t>Đèn điện 100W</t>
  </si>
  <si>
    <t>Gương đo đạc</t>
  </si>
  <si>
    <t>Máy quét</t>
  </si>
  <si>
    <t>Máy chủ Netserver</t>
  </si>
  <si>
    <t>Máy GPS</t>
  </si>
  <si>
    <t>Băng dính phim</t>
  </si>
  <si>
    <t>Túi đựng hồ sơ</t>
  </si>
  <si>
    <t>Đĩa DVD</t>
  </si>
  <si>
    <t>Bút bi</t>
  </si>
  <si>
    <t>Bút dạ màu</t>
  </si>
  <si>
    <t>Bút đánh dấu</t>
  </si>
  <si>
    <t>Bút xóa</t>
  </si>
  <si>
    <t>USB flash</t>
  </si>
  <si>
    <t>Điện</t>
  </si>
  <si>
    <t>Đơn giá</t>
  </si>
  <si>
    <t xml:space="preserve">ĐO ĐẠC THÀNH LẬP BẢN ĐỒ ĐỊA CHÍNH </t>
  </si>
  <si>
    <t>PHỤ LỤC I.1: BẢNG CHIẾT TÍNH ĐƠN GIÁ TIỀN CÔNG LAO ĐỘNG</t>
  </si>
  <si>
    <t>PHỤ LỤC I.2: CHI PHÍ NHÂN CÔNG ĐO ĐẠC LẬP BẢN ĐỒ ĐỊA CHÍNH</t>
  </si>
  <si>
    <t>PHỤ LỤC I.3: CHI PHÍ DỤNG CỤ ĐO ĐẠC LẬP BẢN ĐỒ ĐỊA CHÍNH</t>
  </si>
  <si>
    <t>PHỤ LỤC I.4: CHI PHÍ KHẤU HAO MÁY VÀ THIẾT BỊ ĐO ĐẠC LẬP BẢN ĐỒ ĐỊA CHÍNH</t>
  </si>
  <si>
    <t>PHỤ LỤC I.5: CHI PHÍ  VẬT LIỆU ĐO ĐẠC LẬP BẢN ĐỒ ĐỊA CHÍNH</t>
  </si>
  <si>
    <t>PHẦN I: ĐƠN GIÁ SẢN PHẨM ĐO ĐẠC LẬP BẢN ĐỒ ĐỊA CHÍNH (KHÔNG BAO GỒM KHẤU HAO)</t>
  </si>
  <si>
    <t>PHẦN I: ĐƠN GIÁ SẢN PHẨM ĐO ĐẠC LẬP BẢN ĐỒ ĐỊA CHÍNH (ĐÃ BAO GỒM KHẤU HAO)</t>
  </si>
  <si>
    <t>1-3</t>
  </si>
  <si>
    <t>Đất thuộc các xã, đặc khu</t>
  </si>
  <si>
    <t>Đất thuộc các phường</t>
  </si>
  <si>
    <t>Trường hợp đo đạc chỉnh lý bản trích đo địa chính hoặc chỉnh lý riêng từng thửa đất của bản đồ địa chính thì định mức được tính bằng 0,40 mức trích đo địa chính thửa đất quy định tại Mục V</t>
  </si>
  <si>
    <t>Trường hợp chỉnh lý do yếu tố quy hoạch dựa trên tài liệu được cung cấp thì định mức được tính bằng 0,20 mức trích đo địa chính thửa đất quy định tại Mục V.</t>
  </si>
  <si>
    <t>Trường hợp đo đạc tài sản thực hiện đồng thời với trích đo địa chính thửa đất thì định mức trích đo địa chính thửa đất thực hiện theo quy định tại Mục V:</t>
  </si>
  <si>
    <t>Đối với tài sản gắn liền với đất là nhà và các công trình xây dựng khác thì định mức được tính bằng 0,70 lần định mức trích đo địa chính thửa đất có diện tích tương ứng quy định tại Mục V (không kể đo lưới).</t>
  </si>
  <si>
    <t>Đối với tài sản gắn liền với đất không phải là nhà, công trình xây dựng khác thì định mức đo đạc được tính bằng 0,30 lần mức trích đo thửa đất quy định tại Mục V.</t>
  </si>
  <si>
    <t>Số hóa BĐĐC: Áp dụng theo mức quy định tại Điều 8, Chương I</t>
  </si>
  <si>
    <r>
      <t>Ghi chú:</t>
    </r>
    <r>
      <rPr>
        <sz val="10"/>
        <rFont val="Times New Roman"/>
        <family val="1"/>
      </rPr>
      <t xml:space="preserve"> (2) Đất giao thông đường bộ, đường sắt, đê điều và đất thủy hệ được nhà nước giao quản lý không thuộc diện phải cấp GCN khi phải đo vẽ thì được tính bằng 0,3 lần định mức.
               (3) Trường hợp phải đo vẽ địa hình mức vật liệu tính bằng 0,10 mức.</t>
    </r>
  </si>
  <si>
    <t>Vùng núi có độ cao trung bình so với khu vực bằng phẳng xung quanh từ 200m đến 800m, vùng sình lầy, đầm lầy, thụt sâu, khu vực đông dân cư, phải đo đêm, nhiều ngõ, hẻm cụt; giao thông khó khăn</t>
  </si>
  <si>
    <t>Vùng núi có độ cao trung bình so với khu vực bằng phẳng xung quanh trên 800m, giao thông rất khó khăn</t>
  </si>
  <si>
    <t>Vùng đồi núi có độ cao trung bình so với khu vực bằng phẳng xung quanh từ 50m đến 200m, vùng đồng lầy, vùng đồng bằng dân cư đông, nhiều sông, suối; giao thông không thuận tiện</t>
  </si>
  <si>
    <t xml:space="preserve">Chọn vị trí điểm, chôn mốc </t>
  </si>
  <si>
    <t>Số hóa BĐĐC (Công/mảnh)</t>
  </si>
  <si>
    <t>Quét bản đồ</t>
  </si>
  <si>
    <t>Ổn áp (chung) 10A</t>
  </si>
  <si>
    <t>Bản đồ tỷ lệ 1/200</t>
  </si>
  <si>
    <t>Bản đồ tỷ lệ 1/500</t>
  </si>
  <si>
    <t>Bản đồ tỷ lệ 1/1000</t>
  </si>
  <si>
    <t>Bản đồ tỷ lệ 1/2000</t>
  </si>
  <si>
    <t>Bản đồ tỷ lệ 1/5.000</t>
  </si>
  <si>
    <t>Bản đồ tỷ lệ 1/10000</t>
  </si>
  <si>
    <t>Điều hoà</t>
  </si>
  <si>
    <t>Lập phiếu xác nhận kết quả đo đạc hiện trạng thửa đất</t>
  </si>
  <si>
    <t>Vi tính, phần mềm</t>
  </si>
  <si>
    <t>Bản đồ tỷ lệ 1/5000</t>
  </si>
  <si>
    <t>Công khai bản đồ địa chính và hoàn thiện thiện bản đồ địa chính</t>
  </si>
  <si>
    <t>Máy vi tính, phần mềm</t>
  </si>
  <si>
    <t>Sổ kiểm nghiệm máy</t>
  </si>
  <si>
    <t>Sổ đo</t>
  </si>
  <si>
    <t>Gỗ cốt pha</t>
  </si>
  <si>
    <t>Ghi chú điểm tọa độ mới</t>
  </si>
  <si>
    <t>Bảng thống kê hiện trạng đo đạc địa chính các loại đất</t>
  </si>
  <si>
    <t>Sổ đo các loại</t>
  </si>
  <si>
    <t>Sổ mục kê</t>
  </si>
  <si>
    <t>Giấy đóng gói thành quả</t>
  </si>
  <si>
    <t>BĐĐC</t>
  </si>
  <si>
    <t>Biên bản bàn giao</t>
  </si>
  <si>
    <t>Bảng thống kê hiện trạng BĐĐC các loại đất</t>
  </si>
  <si>
    <t>Giấy gói hàng</t>
  </si>
  <si>
    <t>Đèn điện 0,10 kW</t>
  </si>
  <si>
    <t>Thước vải 50m</t>
  </si>
  <si>
    <t>Giầy</t>
  </si>
  <si>
    <t>Máy ổn áp chung</t>
  </si>
  <si>
    <t>Lưu điện</t>
  </si>
  <si>
    <t>Đèn neon 0,04kW</t>
  </si>
  <si>
    <t>Máy in Laser A4</t>
  </si>
  <si>
    <t>Vi tính xách tay</t>
  </si>
  <si>
    <t>Máy in laser 0,5 kW</t>
  </si>
  <si>
    <t>Sổ ghi chép công tác</t>
  </si>
  <si>
    <t>PHẦN I: ĐƠN GIÁ SẢN PHẨM ĐO ĐẠC LẬP BẢN ĐỒ ĐỊA CHÍNH</t>
  </si>
  <si>
    <t>Đơn giá sản phẩm (Bao gồm khấu hao)</t>
  </si>
  <si>
    <t>Đơn giá sản phẩm (Không bao gồm khấu hao)</t>
  </si>
  <si>
    <t>máy đo thiên văn; máy kinh vỹ quang học, máy toàn đạc điện tử; máy thuỷ chuẩn quang cơ, điện tử; máy đo GPS</t>
  </si>
  <si>
    <t xml:space="preserve">ô tô; </t>
  </si>
  <si>
    <t>ĐO ĐẠC THÀNH LẬP BẢN ĐỒ ĐỊA CHÍNH</t>
  </si>
  <si>
    <t>1-4</t>
  </si>
  <si>
    <t>Biên tập bản đồ địa chính và lập phiếu xác nhận kết quả đo đạc hiện trạng thửa đất</t>
  </si>
  <si>
    <t>Số hóa BĐĐC: Áp dụng theo mức Số hóa BĐĐC quy định tại Điều 26, Chương I, Phần III</t>
  </si>
  <si>
    <t>Mực in plotter 6 màu</t>
  </si>
  <si>
    <t>Số hóa BĐĐC: Áp dụng theo mức quy định tại Điều 26, Chương 1, Phần 3</t>
  </si>
  <si>
    <t xml:space="preserve">- Lương lao động phổ thông theo Nghị định số 293/2025/NĐ-CP ngày 10/11/2025 quy định mức lương tối thiểu đối với người lao động làm việc theo hợp đồng lao động </t>
  </si>
  <si>
    <t>- Mức lương cơ sở tính theo Nghị định 161/2026/NĐ-CP ngày 15 tháng 5 năm 2026 của Chính phủ</t>
  </si>
  <si>
    <t>GIÁ DỤNG CỤ, THIẾT BỊ, VẬT LIỆU CHỨNG THƯ SỐ 103/2026/48/ĐS-CIVS</t>
  </si>
  <si>
    <t>Tên tài sản</t>
  </si>
  <si>
    <t>Đvt</t>
  </si>
  <si>
    <t>Sl</t>
  </si>
  <si>
    <t>Dụng cụ</t>
  </si>
  <si>
    <t>Áo rét bảo hộ lao động</t>
  </si>
  <si>
    <t>Compa đơn</t>
  </si>
  <si>
    <t>Compa kép</t>
  </si>
  <si>
    <t>Compa vòng tròn nhỏ</t>
  </si>
  <si>
    <t>Dao phát cây (Rựa)</t>
  </si>
  <si>
    <t>Giày bảo hộ lao động</t>
  </si>
  <si>
    <t>Quy phạm</t>
  </si>
  <si>
    <t>Thước đo độ</t>
  </si>
  <si>
    <t>Thước nhựa cuộn 30 cm</t>
  </si>
  <si>
    <t>Thước 3 cạnh</t>
  </si>
  <si>
    <t>Thước bẹt nhựa 60cm</t>
  </si>
  <si>
    <t>Thước Đrôbưsep</t>
  </si>
  <si>
    <t>Thước nhựa 1.2m</t>
  </si>
  <si>
    <t>Bi đông nhựa</t>
  </si>
  <si>
    <t>Đèn pin</t>
  </si>
  <si>
    <t>Địa bàn kỹ thuật</t>
  </si>
  <si>
    <t>Cặp</t>
  </si>
  <si>
    <t>Kiềm cắt thép</t>
  </si>
  <si>
    <t>Bảng ngắm</t>
  </si>
  <si>
    <t>Ẩm kế</t>
  </si>
  <si>
    <t>Nhiệt kế</t>
  </si>
  <si>
    <t>Áp kế</t>
  </si>
  <si>
    <t>Găng tay</t>
  </si>
  <si>
    <t>Bút kẻ thẳng</t>
  </si>
  <si>
    <t>Ký hiệu bản đồ</t>
  </si>
  <si>
    <t>Đồng hồ báo thức</t>
  </si>
  <si>
    <t>Mia</t>
  </si>
  <si>
    <t>USB (1gb)</t>
  </si>
  <si>
    <t>Kwh</t>
  </si>
  <si>
    <t>Đầu ghi đĩa CD 0.04</t>
  </si>
  <si>
    <t>Ổ ghi đĩa DVD</t>
  </si>
  <si>
    <t>Dép xốp</t>
  </si>
  <si>
    <t>Áo Blu</t>
  </si>
  <si>
    <t>Máy hút bụi 1,5KW</t>
  </si>
  <si>
    <t>Quạt trần 40W</t>
  </si>
  <si>
    <t>Đèn bàn 100W</t>
  </si>
  <si>
    <t>Quy định số hóa</t>
  </si>
  <si>
    <t>Dập ghim</t>
  </si>
  <si>
    <t>Bàn dập ghim (loại nhỏ)</t>
  </si>
  <si>
    <t>Bàn dập ghim (loại lớn)</t>
  </si>
  <si>
    <t>Bàn vẽ kỹ thuật</t>
  </si>
  <si>
    <t>USB (16 GB)</t>
  </si>
  <si>
    <t>Giá để tài liệu bằng sắt</t>
  </si>
  <si>
    <t>Thùng đựng thuốc</t>
  </si>
  <si>
    <t>Bình nóng lạnh 2,5 kW</t>
  </si>
  <si>
    <t>Vật liệu</t>
  </si>
  <si>
    <t>Biên bản bàn giao sản phẩm</t>
  </si>
  <si>
    <r>
      <t>Giấy A0 loại 100g/m</t>
    </r>
    <r>
      <rPr>
        <vertAlign val="superscript"/>
        <sz val="12"/>
        <rFont val="Times New Roman"/>
        <family val="1"/>
      </rPr>
      <t>2</t>
    </r>
  </si>
  <si>
    <t>Ghi chú điểm toạ độ mới</t>
  </si>
  <si>
    <t>Giấy vẽ sơ đồ khu đo</t>
  </si>
  <si>
    <t>Sổ đo góc</t>
  </si>
  <si>
    <t>Sổ đo cạnh</t>
  </si>
  <si>
    <t>Sổ đo thiên đỉnh</t>
  </si>
  <si>
    <t>Sổ  ghi chép công tác</t>
  </si>
  <si>
    <r>
      <t>m</t>
    </r>
    <r>
      <rPr>
        <vertAlign val="superscript"/>
        <sz val="12"/>
        <rFont val="Times New Roman"/>
        <family val="1"/>
      </rPr>
      <t>3</t>
    </r>
  </si>
  <si>
    <t>Dấu sứ (mốc sử trắc địa)</t>
  </si>
  <si>
    <t>Đinh sắt 10,15cm và đệm</t>
  </si>
  <si>
    <t>Sắt Ø10</t>
  </si>
  <si>
    <t>Pin đèn</t>
  </si>
  <si>
    <t>Bảng tổng hợp thành quả</t>
  </si>
  <si>
    <t>Bảng tính toán</t>
  </si>
  <si>
    <t>Biên bản bàn giao thành quả</t>
  </si>
  <si>
    <t>Đĩa mềm</t>
  </si>
  <si>
    <t>Mực in Lazer (A4)</t>
  </si>
  <si>
    <t>Mực in Lazer (A3)</t>
  </si>
  <si>
    <t>Mực in phun ( 4 hộp 4 màu)</t>
  </si>
  <si>
    <t>Mực màu</t>
  </si>
  <si>
    <t>Tuýt</t>
  </si>
  <si>
    <t>Bản đồ ĐGHC 364/CT (đã được chỉnh lý, bổ sung hoàn thiện năm 2015)</t>
  </si>
  <si>
    <t>Cọc gỗ 4x30 cm + đinh 3cm</t>
  </si>
  <si>
    <t>Mực máy photocopy</t>
  </si>
  <si>
    <t>Mực in Plotter (6 hộp 6 màu)</t>
  </si>
  <si>
    <t>Thuốc tẩy rửa</t>
  </si>
  <si>
    <t>Khăn mặt</t>
  </si>
  <si>
    <t>Khăn lau máy</t>
  </si>
  <si>
    <t>Bản đồ gốc</t>
  </si>
  <si>
    <t>Cồn công nghiệp</t>
  </si>
  <si>
    <t>Bóng đèn máy quét</t>
  </si>
  <si>
    <t>Ngòi bút vẽ kỹ thuật</t>
  </si>
  <si>
    <t>Cặp để tài liệu</t>
  </si>
  <si>
    <t>Mẫu trích lục bản đồ</t>
  </si>
  <si>
    <t>Giấy chứng nhận</t>
  </si>
  <si>
    <t>Đơn đề nghị cấp Giấy chứng nhận</t>
  </si>
  <si>
    <t>Đơn đăng ký biến động đất đai</t>
  </si>
  <si>
    <t>Bìa sổ A3</t>
  </si>
  <si>
    <t>Bảng đồ địa chất</t>
  </si>
  <si>
    <t>Bản đồ ĐGHC</t>
  </si>
  <si>
    <t>Bìa sổ (2 tờ/sổ)</t>
  </si>
  <si>
    <t>Giấy làm bìa hồ sơ (A3)</t>
  </si>
  <si>
    <t>Hộp ghim kẹp</t>
  </si>
  <si>
    <t>Hộp ghim dập</t>
  </si>
  <si>
    <t>Bút xoay đơn</t>
  </si>
  <si>
    <t>Giấy ghi chú</t>
  </si>
  <si>
    <t>Xấp</t>
  </si>
  <si>
    <t>Hộp đựng tài liệu</t>
  </si>
  <si>
    <t>Xà phòng</t>
  </si>
  <si>
    <t>Giẻ lau máy</t>
  </si>
  <si>
    <t>Amoniac</t>
  </si>
  <si>
    <t>ml</t>
  </si>
  <si>
    <t>Bút khắc</t>
  </si>
  <si>
    <t>Bóng đèn halogen</t>
  </si>
  <si>
    <t>Phấn tan</t>
  </si>
  <si>
    <t>Gam</t>
  </si>
  <si>
    <t>Thuốc hiện bản diazo</t>
  </si>
  <si>
    <t>Mực đen nhuộm bản</t>
  </si>
  <si>
    <t>Keo PVA</t>
  </si>
  <si>
    <t>Mút trà bản</t>
  </si>
  <si>
    <t>Axetol</t>
  </si>
  <si>
    <t>Dầu Diezen</t>
  </si>
  <si>
    <t>Bàn chải</t>
  </si>
  <si>
    <t>Dầu pha mực</t>
  </si>
  <si>
    <t>Mực trắng trong, đục</t>
  </si>
  <si>
    <t>Mỡ bôi máy</t>
  </si>
  <si>
    <t>Giấy ráp</t>
  </si>
  <si>
    <t>Dầu mazut</t>
  </si>
  <si>
    <t>Dầu áp lực máy</t>
  </si>
  <si>
    <t>Cao su in (105x94cm)</t>
  </si>
  <si>
    <r>
      <t>m</t>
    </r>
    <r>
      <rPr>
        <vertAlign val="superscript"/>
        <sz val="12"/>
        <rFont val="Times New Roman"/>
        <family val="1"/>
      </rPr>
      <t>2</t>
    </r>
  </si>
  <si>
    <t>Dạ bọc ống</t>
  </si>
  <si>
    <t>Bìa lót ống</t>
  </si>
  <si>
    <t>Xốp lau bàn</t>
  </si>
  <si>
    <t>Dây coroa</t>
  </si>
  <si>
    <t>Lô nỉ</t>
  </si>
  <si>
    <t>Mực in thật</t>
  </si>
  <si>
    <t>Kẽm Diazo</t>
  </si>
  <si>
    <t>Đèn đỏ</t>
  </si>
  <si>
    <t>Cồn 96o</t>
  </si>
  <si>
    <t>Thuốc hiện 6 phim</t>
  </si>
  <si>
    <t>Thuốc định 6 phim</t>
  </si>
  <si>
    <t>Phim (82x112)cm</t>
  </si>
  <si>
    <t>Phim</t>
  </si>
  <si>
    <t xml:space="preserve">Nước tráng phim </t>
  </si>
  <si>
    <t>Thiết bị</t>
  </si>
  <si>
    <t>Ô tô 7-9 chỗ</t>
  </si>
  <si>
    <t>Toàn đạc điện tử</t>
  </si>
  <si>
    <t>Máy bộ đàm</t>
  </si>
  <si>
    <t>Máy in Lazer A4</t>
  </si>
  <si>
    <t>Máy tính để bản, phần mềm</t>
  </si>
  <si>
    <t>Máy quét (A3, A4)</t>
  </si>
  <si>
    <t>Máy in Lazer A3</t>
  </si>
  <si>
    <t>Máy SCAN A3</t>
  </si>
  <si>
    <t>Máy Photocopy</t>
  </si>
  <si>
    <t>Máy photo A0</t>
  </si>
  <si>
    <t>Máy tính để bàn có hệ điều hành Windows bản quyền</t>
  </si>
  <si>
    <t>Máy server có hệ điều hành Windows server bản quyền</t>
  </si>
  <si>
    <t>Máy Scan A4</t>
  </si>
  <si>
    <t>Thiết bị lưu trữ hồ sơ quét</t>
  </si>
  <si>
    <t>Thiết bị mạng</t>
  </si>
  <si>
    <t>Máy photocopy A3</t>
  </si>
  <si>
    <t>Phần mềm</t>
  </si>
  <si>
    <t>Phần mềm biên tập bản đồ</t>
  </si>
  <si>
    <t>Phần mềm vẽ bản đồ</t>
  </si>
  <si>
    <t>Máy xử lý phim</t>
  </si>
  <si>
    <t>Máy đo kiểm tra phim</t>
  </si>
  <si>
    <t>Máy soát phim</t>
  </si>
  <si>
    <t>Máy in phim (Mapsecter)</t>
  </si>
  <si>
    <t>Máy phơi bản</t>
  </si>
  <si>
    <t>Máy hiện bản</t>
  </si>
  <si>
    <t>Máy in thật</t>
  </si>
  <si>
    <t>Máy nâng giấy</t>
  </si>
  <si>
    <t>Máy xén giấy</t>
  </si>
  <si>
    <t>Phần mềm ArcGis Pro Basic-Standalone</t>
  </si>
  <si>
    <t>Phần mềm MicroStation</t>
  </si>
  <si>
    <t>Phần mềm Mapinfo  Pro Standard</t>
  </si>
  <si>
    <t>Phần mềm CorelDRAW</t>
  </si>
  <si>
    <t>Phần mềm Adobe Acrobat</t>
  </si>
  <si>
    <t>0,02</t>
  </si>
  <si>
    <t>3,00</t>
  </si>
  <si>
    <t>1,50</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</si>
</sst>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_);_(* \(#,##0.00\);_(* &quot;-&quot;??_);_(@_)"/>
    <numFmt numFmtId="164" formatCode="_(* #,##0.0_);_(* \(#,##0.0\);_(* &quot;-&quot;??_);_(@_)"/>
    <numFmt numFmtId="165" formatCode="_(* #,##0_);_(* \(#,##0\);_(* &quot;-&quot;??_);_(@_)"/>
    <numFmt numFmtId="166" formatCode="0.0"/>
    <numFmt numFmtId="167" formatCode="&quot;\&quot;#,##0;[Red]&quot;\&quot;\-#,##0"/>
    <numFmt numFmtId="168" formatCode="&quot;\&quot;#,##0.00;[Red]&quot;\&quot;\-#,##0.00"/>
    <numFmt numFmtId="169" formatCode="\$#,##0\ ;\(\$#,##0\)"/>
    <numFmt numFmtId="170" formatCode="&quot;\&quot;#,##0;[Red]&quot;\&quot;&quot;\&quot;\-#,##0"/>
    <numFmt numFmtId="171" formatCode="&quot;\&quot;#,##0.00;[Red]&quot;\&quot;&quot;\&quot;&quot;\&quot;&quot;\&quot;&quot;\&quot;&quot;\&quot;\-#,##0.00"/>
    <numFmt numFmtId="172" formatCode="#,##0.0"/>
    <numFmt numFmtId="173" formatCode="0.0%"/>
    <numFmt numFmtId="174" formatCode="_(* #,##0_);_(* \(#,##0\);_(* &quot;-&quot;?_);_(@_)"/>
    <numFmt numFmtId="175" formatCode="#,##0.000"/>
    <numFmt numFmtId="176" formatCode="#,##0;[Red]#,##0"/>
  </numFmts>
  <fonts count="81">
    <font>
      <sz val="12"/>
      <name val=".VnTime"/>
    </font>
    <font>
      <sz val="12"/>
      <name val=".VnTime"/>
      <family val="2"/>
    </font>
    <font>
      <sz val="11"/>
      <name val=".VnTime"/>
      <family val="2"/>
    </font>
    <font>
      <sz val="10"/>
      <name val="Arial"/>
      <family val="2"/>
    </font>
    <font>
      <sz val="10"/>
      <name val="Arial"/>
      <family val="2"/>
    </font>
    <font>
      <b/>
      <sz val="18"/>
      <name val="Arial"/>
      <family val="2"/>
    </font>
    <font>
      <b/>
      <sz val="12"/>
      <name val="Arial"/>
      <family val="2"/>
    </font>
    <font>
      <sz val="14"/>
      <name val="뼻뮝"/>
      <family val="3"/>
      <charset val="129"/>
    </font>
    <font>
      <sz val="12"/>
      <name val="뼻뮝"/>
      <family val="1"/>
      <charset val="129"/>
    </font>
    <font>
      <sz val="12"/>
      <name val="바탕체"/>
      <family val="1"/>
      <charset val="129"/>
    </font>
    <font>
      <sz val="10"/>
      <name val="굴림체"/>
      <family val="3"/>
      <charset val="129"/>
    </font>
    <font>
      <sz val="14"/>
      <name val="Times New Roman"/>
      <family val="1"/>
    </font>
    <font>
      <b/>
      <sz val="14"/>
      <name val="Times New Roman"/>
      <family val="1"/>
    </font>
    <font>
      <sz val="12"/>
      <name val="Times New Roman"/>
      <family val="1"/>
    </font>
    <font>
      <sz val="10"/>
      <name val="Times New Roman"/>
      <family val="1"/>
    </font>
    <font>
      <b/>
      <sz val="10"/>
      <name val="Times New Roman"/>
      <family val="1"/>
    </font>
    <font>
      <b/>
      <i/>
      <sz val="10"/>
      <name val="Times New Roman"/>
      <family val="1"/>
    </font>
    <font>
      <sz val="8"/>
      <name val="Times New Roman"/>
      <family val="1"/>
    </font>
    <font>
      <b/>
      <sz val="8"/>
      <name val="Times New Roman"/>
      <family val="1"/>
    </font>
    <font>
      <b/>
      <u/>
      <sz val="10"/>
      <name val="Times New Roman"/>
      <family val="1"/>
    </font>
    <font>
      <sz val="10"/>
      <color indexed="10"/>
      <name val="Times New Roman"/>
      <family val="1"/>
    </font>
    <font>
      <b/>
      <sz val="10"/>
      <color indexed="10"/>
      <name val="Times New Roman"/>
      <family val="1"/>
    </font>
    <font>
      <i/>
      <sz val="10"/>
      <name val="Times New Roman"/>
      <family val="1"/>
    </font>
    <font>
      <b/>
      <u/>
      <sz val="10"/>
      <color indexed="10"/>
      <name val="Times New Roman"/>
      <family val="1"/>
    </font>
    <font>
      <b/>
      <sz val="10"/>
      <color indexed="12"/>
      <name val="Times New Roman"/>
      <family val="1"/>
    </font>
    <font>
      <sz val="12"/>
      <name val=".VnTime"/>
      <family val="2"/>
    </font>
    <font>
      <b/>
      <sz val="11"/>
      <name val="Times New Roman"/>
      <family val="1"/>
    </font>
    <font>
      <sz val="11"/>
      <name val="Calibri"/>
      <family val="2"/>
    </font>
    <font>
      <sz val="9"/>
      <color indexed="81"/>
      <name val="Tahoma"/>
      <family val="2"/>
    </font>
    <font>
      <b/>
      <sz val="9"/>
      <color indexed="81"/>
      <name val="Tahoma"/>
      <family val="2"/>
    </font>
    <font>
      <sz val="10"/>
      <name val="Calibri"/>
      <family val="2"/>
    </font>
    <font>
      <vertAlign val="superscript"/>
      <sz val="10"/>
      <name val="Times New Roman"/>
      <family val="1"/>
    </font>
    <font>
      <sz val="12"/>
      <name val=".VnTime"/>
      <family val="2"/>
    </font>
    <font>
      <sz val="10"/>
      <name val="Arial"/>
      <family val="2"/>
    </font>
    <font>
      <sz val="10"/>
      <color indexed="10"/>
      <name val="Times New Roman"/>
      <family val="1"/>
    </font>
    <font>
      <b/>
      <sz val="10"/>
      <color indexed="9"/>
      <name val="Times New Roman"/>
      <family val="1"/>
    </font>
    <font>
      <sz val="10"/>
      <color indexed="9"/>
      <name val="Times New Roman"/>
      <family val="1"/>
    </font>
    <font>
      <b/>
      <i/>
      <sz val="10"/>
      <color indexed="10"/>
      <name val="Times New Roman"/>
      <family val="1"/>
    </font>
    <font>
      <sz val="10"/>
      <color indexed="8"/>
      <name val="Times New Roman"/>
      <family val="1"/>
    </font>
    <font>
      <sz val="10"/>
      <color rgb="FFFF0000"/>
      <name val="Times New Roman"/>
      <family val="1"/>
    </font>
    <font>
      <sz val="10"/>
      <color rgb="FF0070C0"/>
      <name val="Times New Roman"/>
      <family val="1"/>
    </font>
    <font>
      <u/>
      <sz val="12"/>
      <color theme="10"/>
      <name val=".VnTime"/>
      <family val="2"/>
    </font>
    <font>
      <sz val="11"/>
      <color indexed="8"/>
      <name val="Times New Roman"/>
      <family val="1"/>
    </font>
    <font>
      <b/>
      <sz val="11"/>
      <color indexed="8"/>
      <name val="Times New Roman"/>
      <family val="1"/>
    </font>
    <font>
      <sz val="11"/>
      <name val="Times New Roman"/>
      <family val="1"/>
    </font>
    <font>
      <b/>
      <sz val="10"/>
      <name val="Times New Roman"/>
      <family val="1"/>
      <charset val="163"/>
    </font>
    <font>
      <sz val="10"/>
      <name val="Times New Roman"/>
      <family val="1"/>
      <charset val="163"/>
    </font>
    <font>
      <b/>
      <i/>
      <u/>
      <sz val="10"/>
      <name val="Times New Roman"/>
      <family val="1"/>
      <charset val="163"/>
    </font>
    <font>
      <i/>
      <sz val="10"/>
      <name val="Times New Roman"/>
      <family val="1"/>
      <charset val="163"/>
    </font>
    <font>
      <b/>
      <u/>
      <sz val="10"/>
      <name val="Times New Roman"/>
      <family val="1"/>
      <charset val="163"/>
    </font>
    <font>
      <b/>
      <sz val="14"/>
      <name val="Times New Roman"/>
      <family val="1"/>
      <charset val="163"/>
    </font>
    <font>
      <sz val="14"/>
      <name val="Times New Roman"/>
      <family val="1"/>
      <charset val="163"/>
    </font>
    <font>
      <b/>
      <i/>
      <sz val="10"/>
      <name val="Times New Roman"/>
      <family val="1"/>
      <charset val="163"/>
    </font>
    <font>
      <sz val="12"/>
      <name val=".VnTime"/>
      <family val="2"/>
      <charset val="163"/>
    </font>
    <font>
      <sz val="10"/>
      <name val=".VnTime"/>
      <family val="2"/>
      <charset val="163"/>
    </font>
    <font>
      <b/>
      <sz val="12"/>
      <name val="Times New Roman"/>
      <family val="1"/>
    </font>
    <font>
      <u/>
      <sz val="11"/>
      <name val="Times New Roman"/>
      <family val="1"/>
    </font>
    <font>
      <vertAlign val="superscript"/>
      <sz val="11"/>
      <name val="Times New Roman"/>
      <family val="1"/>
    </font>
    <font>
      <b/>
      <sz val="15"/>
      <color theme="3"/>
      <name val="Calibri"/>
      <family val="2"/>
      <charset val="163"/>
      <scheme val="minor"/>
    </font>
    <font>
      <b/>
      <sz val="13"/>
      <color theme="3"/>
      <name val="Calibri"/>
      <family val="2"/>
      <charset val="163"/>
      <scheme val="minor"/>
    </font>
    <font>
      <b/>
      <sz val="11"/>
      <color theme="1"/>
      <name val="Calibri"/>
      <family val="2"/>
      <charset val="163"/>
      <scheme val="minor"/>
    </font>
    <font>
      <sz val="11"/>
      <color rgb="FF000000"/>
      <name val="Calibri"/>
      <family val="2"/>
      <charset val="204"/>
    </font>
    <font>
      <sz val="11"/>
      <color rgb="FFFF0000"/>
      <name val="Times New Roman"/>
      <family val="1"/>
    </font>
    <font>
      <sz val="11"/>
      <color indexed="8"/>
      <name val="Calibri"/>
      <family val="2"/>
    </font>
    <font>
      <sz val="12"/>
      <color theme="1"/>
      <name val="Times New Roman"/>
      <family val="2"/>
    </font>
    <font>
      <sz val="12"/>
      <color theme="1"/>
      <name val="Times New Roman"/>
      <family val="1"/>
    </font>
    <font>
      <b/>
      <sz val="11"/>
      <color rgb="FFFF0000"/>
      <name val="Times New Roman"/>
      <family val="1"/>
    </font>
    <font>
      <sz val="11"/>
      <color rgb="FF00B050"/>
      <name val="Times New Roman"/>
      <family val="1"/>
    </font>
    <font>
      <sz val="10"/>
      <color rgb="FFFF0000"/>
      <name val="Times New Roman"/>
      <family val="1"/>
      <charset val="163"/>
    </font>
    <font>
      <b/>
      <sz val="10"/>
      <color rgb="FFFF0000"/>
      <name val="Times New Roman"/>
      <family val="1"/>
      <charset val="163"/>
    </font>
    <font>
      <sz val="11"/>
      <color rgb="FF0070C0"/>
      <name val="Times New Roman"/>
      <family val="1"/>
    </font>
    <font>
      <sz val="13"/>
      <name val="Times New Roman"/>
      <family val="1"/>
    </font>
    <font>
      <sz val="10"/>
      <color rgb="FF00B050"/>
      <name val="Times New Roman"/>
      <family val="1"/>
    </font>
    <font>
      <b/>
      <sz val="10"/>
      <color rgb="FF0070C0"/>
      <name val="Times New Roman"/>
      <family val="1"/>
    </font>
    <font>
      <b/>
      <sz val="12"/>
      <name val="Times New Roman"/>
      <family val="1"/>
      <charset val="163"/>
    </font>
    <font>
      <sz val="12"/>
      <name val="Arial"/>
      <family val="2"/>
    </font>
    <font>
      <vertAlign val="superscript"/>
      <sz val="12"/>
      <name val="Times New Roman"/>
      <family val="1"/>
    </font>
    <font>
      <sz val="12"/>
      <color rgb="FFFF0000"/>
      <name val="Arial"/>
      <family val="2"/>
    </font>
    <font>
      <b/>
      <sz val="12"/>
      <color rgb="FF000000"/>
      <name val="Times New Roman"/>
      <family val="1"/>
    </font>
    <font>
      <sz val="12"/>
      <color rgb="FF000000"/>
      <name val="Times New Roman"/>
      <family val="1"/>
    </font>
    <font>
      <b/>
      <sz val="12"/>
      <color rgb="FFFF0000"/>
      <name val="Times New Roman"/>
      <family val="1"/>
    </font>
  </fonts>
  <fills count="9">
    <fill>
      <patternFill patternType="none"/>
    </fill>
    <fill>
      <patternFill patternType="gray125"/>
    </fill>
    <fill>
      <patternFill patternType="solid">
        <fgColor indexed="42"/>
        <bgColor indexed="64"/>
      </patternFill>
    </fill>
    <fill>
      <patternFill patternType="solid">
        <fgColor indexed="15"/>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1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right/>
      <top style="double">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style="medium">
        <color indexed="64"/>
      </right>
      <top style="medium">
        <color indexed="64"/>
      </top>
      <bottom/>
      <diagonal/>
    </border>
    <border>
      <left/>
      <right style="medium">
        <color indexed="64"/>
      </right>
      <top/>
      <bottom style="hair">
        <color indexed="64"/>
      </bottom>
      <diagonal/>
    </border>
    <border>
      <left style="medium">
        <color indexed="64"/>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diagonal/>
    </border>
  </borders>
  <cellStyleXfs count="123">
    <xf numFmtId="0" fontId="0" fillId="0" borderId="0"/>
    <xf numFmtId="0" fontId="3" fillId="0" borderId="0"/>
    <xf numFmtId="43" fontId="1" fillId="0" borderId="0" applyFont="0" applyFill="0" applyBorder="0" applyAlignment="0" applyProtection="0"/>
    <xf numFmtId="43" fontId="25" fillId="0" borderId="0" applyFont="0" applyFill="0" applyBorder="0" applyAlignment="0" applyProtection="0"/>
    <xf numFmtId="43" fontId="3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3" fontId="3" fillId="0" borderId="0" applyFont="0" applyFill="0" applyBorder="0" applyAlignment="0" applyProtection="0"/>
    <xf numFmtId="169" fontId="3" fillId="0" borderId="0" applyFont="0" applyFill="0" applyBorder="0" applyAlignment="0" applyProtection="0"/>
    <xf numFmtId="0" fontId="3" fillId="0" borderId="0" applyFont="0" applyFill="0" applyBorder="0" applyAlignment="0" applyProtection="0"/>
    <xf numFmtId="2" fontId="3" fillId="0" borderId="0" applyFont="0" applyFill="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5" fillId="0" borderId="0"/>
    <xf numFmtId="0" fontId="3" fillId="0" borderId="0"/>
    <xf numFmtId="0" fontId="32" fillId="0" borderId="0"/>
    <xf numFmtId="0" fontId="3" fillId="0" borderId="0"/>
    <xf numFmtId="0" fontId="25" fillId="0" borderId="0"/>
    <xf numFmtId="0" fontId="3"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25" fillId="0" borderId="0"/>
    <xf numFmtId="0" fontId="3" fillId="0" borderId="0"/>
    <xf numFmtId="0" fontId="25" fillId="0" borderId="0"/>
    <xf numFmtId="0" fontId="25" fillId="0" borderId="0"/>
    <xf numFmtId="0" fontId="3" fillId="0" borderId="0"/>
    <xf numFmtId="0" fontId="25" fillId="0" borderId="0"/>
    <xf numFmtId="0" fontId="25" fillId="0" borderId="0"/>
    <xf numFmtId="0" fontId="3" fillId="0" borderId="0"/>
    <xf numFmtId="0" fontId="25" fillId="0" borderId="0"/>
    <xf numFmtId="0" fontId="3"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25" fillId="0" borderId="0"/>
    <xf numFmtId="0" fontId="25" fillId="0" borderId="0"/>
    <xf numFmtId="2" fontId="4" fillId="0" borderId="0"/>
    <xf numFmtId="0" fontId="4" fillId="0" borderId="0"/>
    <xf numFmtId="0" fontId="4" fillId="0" borderId="0"/>
    <xf numFmtId="0" fontId="2" fillId="0" borderId="3">
      <alignment horizontal="center"/>
      <protection locked="0"/>
    </xf>
    <xf numFmtId="0" fontId="3" fillId="0" borderId="4" applyNumberFormat="0" applyFont="0" applyFill="0" applyAlignment="0" applyProtection="0"/>
    <xf numFmtId="0" fontId="3" fillId="0" borderId="4" applyNumberFormat="0" applyFont="0" applyFill="0" applyAlignment="0" applyProtection="0"/>
    <xf numFmtId="0" fontId="3" fillId="0" borderId="4" applyNumberFormat="0" applyFont="0" applyFill="0" applyAlignment="0" applyProtection="0"/>
    <xf numFmtId="0" fontId="3" fillId="0" borderId="4" applyNumberFormat="0" applyFont="0" applyFill="0" applyAlignment="0" applyProtection="0"/>
    <xf numFmtId="0" fontId="3" fillId="0" borderId="4" applyNumberFormat="0" applyFont="0" applyFill="0" applyAlignment="0" applyProtection="0"/>
    <xf numFmtId="0" fontId="3" fillId="0" borderId="4" applyNumberFormat="0" applyFont="0" applyFill="0" applyAlignment="0" applyProtection="0"/>
    <xf numFmtId="40" fontId="7" fillId="0" borderId="0" applyFont="0" applyFill="0" applyBorder="0" applyAlignment="0" applyProtection="0"/>
    <xf numFmtId="38"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0" fontId="3" fillId="0" borderId="0" applyFont="0" applyFill="0" applyBorder="0" applyAlignment="0" applyProtection="0"/>
    <xf numFmtId="0" fontId="8" fillId="0" borderId="0"/>
    <xf numFmtId="170" fontId="3" fillId="0" borderId="0" applyFont="0" applyFill="0" applyBorder="0" applyAlignment="0" applyProtection="0"/>
    <xf numFmtId="171" fontId="3" fillId="0" borderId="0" applyFont="0" applyFill="0" applyBorder="0" applyAlignment="0" applyProtection="0"/>
    <xf numFmtId="168" fontId="9" fillId="0" borderId="0" applyFont="0" applyFill="0" applyBorder="0" applyAlignment="0" applyProtection="0"/>
    <xf numFmtId="167" fontId="9" fillId="0" borderId="0" applyFont="0" applyFill="0" applyBorder="0" applyAlignment="0" applyProtection="0"/>
    <xf numFmtId="0" fontId="10" fillId="0" borderId="0"/>
    <xf numFmtId="0" fontId="1" fillId="0" borderId="0"/>
    <xf numFmtId="0" fontId="41" fillId="0" borderId="0" applyNumberFormat="0" applyFill="0" applyBorder="0" applyAlignment="0" applyProtection="0"/>
    <xf numFmtId="0" fontId="58" fillId="0" borderId="92" applyNumberFormat="0" applyFill="0" applyAlignment="0" applyProtection="0"/>
    <xf numFmtId="0" fontId="59" fillId="0" borderId="93" applyNumberFormat="0" applyFill="0" applyAlignment="0" applyProtection="0"/>
    <xf numFmtId="0" fontId="60" fillId="0" borderId="94" applyNumberFormat="0" applyFill="0" applyAlignment="0" applyProtection="0"/>
    <xf numFmtId="0" fontId="61" fillId="0" borderId="0"/>
    <xf numFmtId="43" fontId="63" fillId="0" borderId="0" applyFont="0" applyFill="0" applyBorder="0" applyAlignment="0" applyProtection="0"/>
    <xf numFmtId="0" fontId="64" fillId="0" borderId="0"/>
    <xf numFmtId="0" fontId="65" fillId="0" borderId="0"/>
  </cellStyleXfs>
  <cellXfs count="1228">
    <xf numFmtId="0" fontId="0" fillId="0" borderId="0" xfId="0"/>
    <xf numFmtId="0" fontId="3" fillId="0" borderId="0" xfId="1"/>
    <xf numFmtId="0" fontId="0" fillId="0" borderId="0" xfId="0" applyProtection="1">
      <protection locked="0"/>
    </xf>
    <xf numFmtId="0" fontId="0" fillId="0" borderId="0" xfId="0" applyProtection="1">
      <protection hidden="1"/>
    </xf>
    <xf numFmtId="0" fontId="0" fillId="0" borderId="0" xfId="0" applyProtection="1">
      <protection locked="0" hidden="1"/>
    </xf>
    <xf numFmtId="0" fontId="11" fillId="0" borderId="0" xfId="0" applyFont="1"/>
    <xf numFmtId="0" fontId="14" fillId="0" borderId="13" xfId="0" applyFont="1" applyBorder="1"/>
    <xf numFmtId="0" fontId="14" fillId="0" borderId="12" xfId="0" applyFont="1" applyBorder="1" applyAlignment="1">
      <alignment horizontal="center"/>
    </xf>
    <xf numFmtId="0" fontId="15" fillId="0" borderId="12" xfId="0" applyFont="1" applyBorder="1" applyAlignment="1">
      <alignment horizontal="center"/>
    </xf>
    <xf numFmtId="0" fontId="15" fillId="0" borderId="13" xfId="0" applyFont="1" applyBorder="1"/>
    <xf numFmtId="0" fontId="16" fillId="0" borderId="13" xfId="0" applyFont="1" applyBorder="1"/>
    <xf numFmtId="0" fontId="16" fillId="0" borderId="12" xfId="0" applyFont="1" applyBorder="1" applyAlignment="1">
      <alignment horizontal="center"/>
    </xf>
    <xf numFmtId="49" fontId="14" fillId="0" borderId="13" xfId="0" applyNumberFormat="1" applyFont="1" applyBorder="1" applyAlignment="1">
      <alignment horizontal="center"/>
    </xf>
    <xf numFmtId="0" fontId="14" fillId="0" borderId="0" xfId="0" applyFont="1" applyAlignment="1">
      <alignment horizontal="center"/>
    </xf>
    <xf numFmtId="0" fontId="14" fillId="0" borderId="0" xfId="0" applyFont="1"/>
    <xf numFmtId="0" fontId="15" fillId="0" borderId="0" xfId="0" applyFont="1" applyAlignment="1">
      <alignment horizontal="center"/>
    </xf>
    <xf numFmtId="0" fontId="15" fillId="0" borderId="0" xfId="0" applyFont="1"/>
    <xf numFmtId="49" fontId="14" fillId="0" borderId="25" xfId="0" applyNumberFormat="1" applyFont="1" applyBorder="1" applyAlignment="1">
      <alignment horizontal="center"/>
    </xf>
    <xf numFmtId="0" fontId="14" fillId="0" borderId="13" xfId="0" applyFont="1" applyBorder="1" applyAlignment="1">
      <alignment horizontal="center"/>
    </xf>
    <xf numFmtId="3" fontId="14" fillId="0" borderId="13" xfId="0" applyNumberFormat="1" applyFont="1" applyBorder="1"/>
    <xf numFmtId="0" fontId="16" fillId="0" borderId="0" xfId="0" applyFont="1" applyAlignment="1">
      <alignment horizontal="center"/>
    </xf>
    <xf numFmtId="49" fontId="14" fillId="0" borderId="13" xfId="0" applyNumberFormat="1" applyFont="1" applyBorder="1" applyAlignment="1">
      <alignment horizontal="left"/>
    </xf>
    <xf numFmtId="49" fontId="16" fillId="0" borderId="13" xfId="0" applyNumberFormat="1" applyFont="1" applyBorder="1" applyAlignment="1">
      <alignment horizontal="center"/>
    </xf>
    <xf numFmtId="49" fontId="14" fillId="0" borderId="13" xfId="0" applyNumberFormat="1" applyFont="1" applyBorder="1"/>
    <xf numFmtId="0" fontId="14" fillId="0" borderId="0" xfId="0" applyFont="1" applyAlignment="1">
      <alignment horizontal="right"/>
    </xf>
    <xf numFmtId="0" fontId="15" fillId="0" borderId="13" xfId="0" applyFont="1" applyBorder="1" applyAlignment="1">
      <alignment horizontal="center"/>
    </xf>
    <xf numFmtId="0" fontId="16" fillId="0" borderId="0" xfId="0" applyFont="1"/>
    <xf numFmtId="2" fontId="14" fillId="0" borderId="13" xfId="0" applyNumberFormat="1" applyFont="1" applyBorder="1"/>
    <xf numFmtId="165" fontId="15" fillId="0" borderId="13" xfId="2" applyNumberFormat="1" applyFont="1" applyBorder="1" applyAlignment="1"/>
    <xf numFmtId="0" fontId="14" fillId="2" borderId="12" xfId="0" applyFont="1" applyFill="1" applyBorder="1" applyAlignment="1">
      <alignment horizontal="center"/>
    </xf>
    <xf numFmtId="0" fontId="14" fillId="2" borderId="13" xfId="0" applyFont="1" applyFill="1" applyBorder="1"/>
    <xf numFmtId="2" fontId="15" fillId="0" borderId="12" xfId="0" applyNumberFormat="1" applyFont="1" applyBorder="1" applyAlignment="1">
      <alignment horizontal="center"/>
    </xf>
    <xf numFmtId="49" fontId="15" fillId="0" borderId="13" xfId="0" applyNumberFormat="1" applyFont="1" applyBorder="1" applyAlignment="1">
      <alignment horizontal="left"/>
    </xf>
    <xf numFmtId="49" fontId="16" fillId="0" borderId="13" xfId="0" applyNumberFormat="1" applyFont="1" applyBorder="1" applyAlignment="1">
      <alignment horizontal="left"/>
    </xf>
    <xf numFmtId="49" fontId="14" fillId="0" borderId="12" xfId="0" applyNumberFormat="1" applyFont="1" applyBorder="1" applyAlignment="1">
      <alignment horizontal="center"/>
    </xf>
    <xf numFmtId="49" fontId="15" fillId="0" borderId="12" xfId="0" applyNumberFormat="1" applyFont="1" applyBorder="1" applyAlignment="1">
      <alignment horizontal="center"/>
    </xf>
    <xf numFmtId="3" fontId="14" fillId="0" borderId="13" xfId="0" applyNumberFormat="1" applyFont="1" applyBorder="1" applyAlignment="1">
      <alignment horizontal="center"/>
    </xf>
    <xf numFmtId="3" fontId="15" fillId="0" borderId="13" xfId="0" applyNumberFormat="1" applyFont="1" applyBorder="1" applyAlignment="1">
      <alignment horizontal="center"/>
    </xf>
    <xf numFmtId="49" fontId="15" fillId="0" borderId="13" xfId="0" applyNumberFormat="1" applyFont="1" applyBorder="1" applyAlignment="1">
      <alignment horizontal="center"/>
    </xf>
    <xf numFmtId="165" fontId="14" fillId="0" borderId="0" xfId="2" applyNumberFormat="1" applyFont="1"/>
    <xf numFmtId="49" fontId="14" fillId="0" borderId="0" xfId="0" applyNumberFormat="1" applyFont="1"/>
    <xf numFmtId="0" fontId="14" fillId="2" borderId="13" xfId="0" applyFont="1" applyFill="1" applyBorder="1" applyAlignment="1">
      <alignment horizontal="center"/>
    </xf>
    <xf numFmtId="165" fontId="14" fillId="2" borderId="13" xfId="2" applyNumberFormat="1" applyFont="1" applyFill="1" applyBorder="1" applyAlignment="1"/>
    <xf numFmtId="165" fontId="14" fillId="2" borderId="13" xfId="0" applyNumberFormat="1" applyFont="1" applyFill="1" applyBorder="1"/>
    <xf numFmtId="165" fontId="14" fillId="0" borderId="13" xfId="2" applyNumberFormat="1" applyFont="1" applyBorder="1" applyAlignment="1">
      <alignment horizontal="right"/>
    </xf>
    <xf numFmtId="165" fontId="15" fillId="0" borderId="13" xfId="2" applyNumberFormat="1" applyFont="1" applyBorder="1" applyAlignment="1">
      <alignment horizontal="right"/>
    </xf>
    <xf numFmtId="49" fontId="16" fillId="0" borderId="12" xfId="0" applyNumberFormat="1" applyFont="1" applyBorder="1" applyAlignment="1">
      <alignment horizontal="center"/>
    </xf>
    <xf numFmtId="3" fontId="16" fillId="0" borderId="13" xfId="0" applyNumberFormat="1" applyFont="1" applyBorder="1" applyAlignment="1">
      <alignment horizontal="center"/>
    </xf>
    <xf numFmtId="165" fontId="16" fillId="0" borderId="13" xfId="2" applyNumberFormat="1" applyFont="1" applyBorder="1" applyAlignment="1">
      <alignment horizontal="right"/>
    </xf>
    <xf numFmtId="165" fontId="14" fillId="0" borderId="25" xfId="2" applyNumberFormat="1" applyFont="1" applyBorder="1" applyAlignment="1">
      <alignment horizontal="right"/>
    </xf>
    <xf numFmtId="0" fontId="15" fillId="0" borderId="0" xfId="0" applyFont="1" applyAlignment="1">
      <alignment horizontal="center" vertical="center"/>
    </xf>
    <xf numFmtId="0" fontId="15" fillId="0" borderId="0" xfId="0" applyFont="1" applyAlignment="1">
      <alignment horizontal="center" vertical="center" wrapText="1"/>
    </xf>
    <xf numFmtId="0" fontId="16" fillId="0" borderId="13" xfId="0" applyFont="1" applyBorder="1" applyAlignment="1">
      <alignment horizontal="center"/>
    </xf>
    <xf numFmtId="165" fontId="16" fillId="0" borderId="13" xfId="2" applyNumberFormat="1" applyFont="1" applyBorder="1" applyAlignment="1"/>
    <xf numFmtId="0" fontId="15" fillId="0" borderId="13" xfId="0" applyFont="1" applyBorder="1" applyAlignment="1">
      <alignment horizontal="left"/>
    </xf>
    <xf numFmtId="2" fontId="14" fillId="0" borderId="0" xfId="0" applyNumberFormat="1" applyFont="1"/>
    <xf numFmtId="2" fontId="15" fillId="0" borderId="13" xfId="0" applyNumberFormat="1" applyFont="1" applyBorder="1" applyAlignment="1">
      <alignment horizontal="center"/>
    </xf>
    <xf numFmtId="2" fontId="16" fillId="0" borderId="13" xfId="0" applyNumberFormat="1" applyFont="1" applyBorder="1" applyAlignment="1">
      <alignment horizontal="center"/>
    </xf>
    <xf numFmtId="2" fontId="14" fillId="0" borderId="13" xfId="0" applyNumberFormat="1" applyFont="1" applyBorder="1" applyAlignment="1">
      <alignment horizontal="center"/>
    </xf>
    <xf numFmtId="2" fontId="14" fillId="0" borderId="25" xfId="0" applyNumberFormat="1" applyFont="1" applyBorder="1" applyAlignment="1">
      <alignment horizontal="center"/>
    </xf>
    <xf numFmtId="49" fontId="14" fillId="0" borderId="24" xfId="0" applyNumberFormat="1" applyFont="1" applyBorder="1" applyAlignment="1">
      <alignment horizontal="center"/>
    </xf>
    <xf numFmtId="165" fontId="14" fillId="0" borderId="0" xfId="2" applyNumberFormat="1" applyFont="1" applyBorder="1"/>
    <xf numFmtId="3" fontId="14" fillId="0" borderId="13" xfId="2" applyNumberFormat="1" applyFont="1" applyBorder="1" applyAlignment="1">
      <alignment horizontal="right"/>
    </xf>
    <xf numFmtId="165" fontId="14" fillId="0" borderId="13" xfId="2" applyNumberFormat="1" applyFont="1" applyFill="1" applyBorder="1" applyAlignment="1">
      <alignment horizontal="right"/>
    </xf>
    <xf numFmtId="0" fontId="14" fillId="0" borderId="14" xfId="0" applyFont="1" applyBorder="1" applyAlignment="1">
      <alignment horizontal="center" vertical="center" wrapText="1"/>
    </xf>
    <xf numFmtId="0" fontId="14" fillId="0" borderId="13" xfId="0" applyFont="1" applyBorder="1" applyAlignment="1">
      <alignment vertical="center" wrapText="1"/>
    </xf>
    <xf numFmtId="0" fontId="14" fillId="0" borderId="12" xfId="0" applyFont="1" applyBorder="1" applyAlignment="1">
      <alignment horizontal="center" vertical="center" wrapText="1"/>
    </xf>
    <xf numFmtId="0" fontId="14" fillId="0" borderId="13" xfId="0" applyFont="1" applyBorder="1" applyAlignment="1">
      <alignment horizontal="left" vertical="center" wrapText="1"/>
    </xf>
    <xf numFmtId="0" fontId="15" fillId="0" borderId="0" xfId="0" applyFont="1" applyAlignment="1">
      <alignment vertical="center" wrapText="1"/>
    </xf>
    <xf numFmtId="49" fontId="15" fillId="4" borderId="16" xfId="0" applyNumberFormat="1" applyFont="1" applyFill="1" applyBorder="1" applyAlignment="1">
      <alignment horizontal="center"/>
    </xf>
    <xf numFmtId="0" fontId="15" fillId="0" borderId="12" xfId="0" applyFont="1" applyBorder="1"/>
    <xf numFmtId="0" fontId="14" fillId="0" borderId="12" xfId="0" applyFont="1" applyBorder="1"/>
    <xf numFmtId="49" fontId="14" fillId="0" borderId="25" xfId="0" applyNumberFormat="1" applyFont="1" applyBorder="1" applyAlignment="1">
      <alignment horizontal="left"/>
    </xf>
    <xf numFmtId="3" fontId="14" fillId="0" borderId="25" xfId="0" applyNumberFormat="1" applyFont="1" applyBorder="1" applyAlignment="1">
      <alignment horizontal="center"/>
    </xf>
    <xf numFmtId="3" fontId="16" fillId="0" borderId="20" xfId="2" applyNumberFormat="1" applyFont="1" applyBorder="1" applyAlignment="1">
      <alignment horizontal="right"/>
    </xf>
    <xf numFmtId="3" fontId="14" fillId="0" borderId="20" xfId="2" applyNumberFormat="1" applyFont="1" applyBorder="1" applyAlignment="1">
      <alignment horizontal="right"/>
    </xf>
    <xf numFmtId="3" fontId="15" fillId="0" borderId="13" xfId="2" applyNumberFormat="1" applyFont="1" applyBorder="1" applyAlignment="1">
      <alignment horizontal="right"/>
    </xf>
    <xf numFmtId="3" fontId="15" fillId="0" borderId="20" xfId="2" applyNumberFormat="1" applyFont="1" applyBorder="1" applyAlignment="1">
      <alignment horizontal="right"/>
    </xf>
    <xf numFmtId="3" fontId="14" fillId="0" borderId="13" xfId="2" applyNumberFormat="1" applyFont="1" applyFill="1" applyBorder="1" applyAlignment="1">
      <alignment horizontal="right"/>
    </xf>
    <xf numFmtId="3" fontId="14" fillId="0" borderId="20" xfId="2" applyNumberFormat="1" applyFont="1" applyFill="1" applyBorder="1" applyAlignment="1">
      <alignment horizontal="right"/>
    </xf>
    <xf numFmtId="3" fontId="14" fillId="0" borderId="25" xfId="2" applyNumberFormat="1" applyFont="1" applyBorder="1" applyAlignment="1">
      <alignment horizontal="right"/>
    </xf>
    <xf numFmtId="3" fontId="14" fillId="0" borderId="26" xfId="2" applyNumberFormat="1" applyFont="1" applyBorder="1" applyAlignment="1">
      <alignment horizontal="right"/>
    </xf>
    <xf numFmtId="1" fontId="14" fillId="2" borderId="13" xfId="0" applyNumberFormat="1" applyFont="1" applyFill="1" applyBorder="1" applyAlignment="1">
      <alignment horizontal="center"/>
    </xf>
    <xf numFmtId="0" fontId="14" fillId="0" borderId="0" xfId="0" applyFont="1" applyAlignment="1">
      <alignment vertical="center" wrapText="1"/>
    </xf>
    <xf numFmtId="0" fontId="15" fillId="3" borderId="13" xfId="0" applyFont="1" applyFill="1" applyBorder="1" applyAlignment="1">
      <alignment horizontal="center" vertical="center"/>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49" fontId="15" fillId="0" borderId="6"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0" xfId="0" applyFont="1" applyAlignment="1">
      <alignment vertical="center"/>
    </xf>
    <xf numFmtId="0" fontId="15" fillId="4" borderId="16" xfId="94" applyFont="1" applyFill="1" applyBorder="1" applyAlignment="1">
      <alignment horizontal="center" vertical="center" wrapText="1"/>
    </xf>
    <xf numFmtId="0" fontId="15" fillId="4" borderId="17" xfId="94" applyFont="1" applyFill="1" applyBorder="1" applyAlignment="1">
      <alignment horizontal="center" vertical="center" wrapText="1"/>
    </xf>
    <xf numFmtId="0" fontId="14" fillId="0" borderId="0" xfId="94" applyFont="1" applyAlignment="1">
      <alignment vertical="center" wrapText="1"/>
    </xf>
    <xf numFmtId="0" fontId="15" fillId="0" borderId="0" xfId="94" applyFont="1" applyAlignment="1">
      <alignment horizontal="center" vertical="center" wrapText="1"/>
    </xf>
    <xf numFmtId="0" fontId="15" fillId="0" borderId="0" xfId="94" applyFont="1" applyAlignment="1">
      <alignment vertical="center" wrapText="1"/>
    </xf>
    <xf numFmtId="0" fontId="14" fillId="0" borderId="0" xfId="94" applyFont="1" applyAlignment="1">
      <alignment horizontal="center" vertical="center" wrapText="1"/>
    </xf>
    <xf numFmtId="0" fontId="15" fillId="0" borderId="18" xfId="94" applyFont="1" applyBorder="1" applyAlignment="1">
      <alignment horizontal="center" vertical="center" wrapText="1"/>
    </xf>
    <xf numFmtId="0" fontId="14" fillId="0" borderId="18" xfId="94" applyFont="1" applyBorder="1" applyAlignment="1">
      <alignment horizontal="center" vertical="center" wrapText="1"/>
    </xf>
    <xf numFmtId="0" fontId="15" fillId="0" borderId="19" xfId="94" applyFont="1" applyBorder="1" applyAlignment="1">
      <alignment horizontal="center" vertical="center" wrapText="1"/>
    </xf>
    <xf numFmtId="0" fontId="14" fillId="0" borderId="30" xfId="94" applyFont="1" applyBorder="1" applyAlignment="1">
      <alignment horizontal="center" vertical="center" wrapText="1"/>
    </xf>
    <xf numFmtId="0" fontId="14" fillId="0" borderId="33" xfId="94" applyFont="1" applyBorder="1" applyAlignment="1">
      <alignment horizontal="center" vertical="center" wrapText="1"/>
    </xf>
    <xf numFmtId="0" fontId="14" fillId="0" borderId="25" xfId="94" applyFont="1" applyBorder="1" applyAlignment="1">
      <alignment horizontal="center" vertical="center" wrapText="1"/>
    </xf>
    <xf numFmtId="17" fontId="14" fillId="0" borderId="0" xfId="94" applyNumberFormat="1" applyFont="1" applyAlignment="1">
      <alignment horizontal="center" vertical="center" wrapText="1"/>
    </xf>
    <xf numFmtId="0" fontId="14" fillId="0" borderId="15" xfId="94" applyFont="1" applyBorder="1" applyAlignment="1">
      <alignment vertical="center" wrapText="1"/>
    </xf>
    <xf numFmtId="0" fontId="14" fillId="0" borderId="16" xfId="94" applyFont="1" applyBorder="1" applyAlignment="1">
      <alignment horizontal="center" vertical="center" wrapText="1"/>
    </xf>
    <xf numFmtId="17" fontId="14" fillId="0" borderId="15" xfId="94" applyNumberFormat="1" applyFont="1" applyBorder="1" applyAlignment="1">
      <alignment vertical="center" wrapText="1"/>
    </xf>
    <xf numFmtId="0" fontId="14" fillId="0" borderId="48" xfId="94" applyFont="1" applyBorder="1" applyAlignment="1">
      <alignment vertical="center" wrapText="1"/>
    </xf>
    <xf numFmtId="0" fontId="14" fillId="0" borderId="49" xfId="94" applyFont="1" applyBorder="1" applyAlignment="1">
      <alignment horizontal="center" vertical="center" wrapText="1"/>
    </xf>
    <xf numFmtId="0" fontId="14" fillId="0" borderId="30" xfId="0" applyFont="1" applyBorder="1" applyAlignment="1">
      <alignment vertical="center" wrapText="1"/>
    </xf>
    <xf numFmtId="0" fontId="15" fillId="0" borderId="27" xfId="0" applyFont="1" applyBorder="1" applyAlignment="1">
      <alignment vertical="center" wrapText="1"/>
    </xf>
    <xf numFmtId="0" fontId="14" fillId="0" borderId="22" xfId="0" applyFont="1" applyBorder="1" applyAlignment="1">
      <alignment vertical="center" wrapText="1"/>
    </xf>
    <xf numFmtId="0" fontId="15" fillId="0" borderId="54" xfId="0" applyFont="1" applyBorder="1" applyAlignment="1">
      <alignment vertical="center" wrapText="1"/>
    </xf>
    <xf numFmtId="0" fontId="15" fillId="0" borderId="11" xfId="0" applyFont="1" applyBorder="1" applyAlignment="1">
      <alignment horizontal="center" vertical="center" wrapText="1"/>
    </xf>
    <xf numFmtId="0" fontId="15" fillId="0" borderId="13" xfId="0" applyFont="1" applyBorder="1" applyAlignment="1">
      <alignment horizontal="left" vertical="center"/>
    </xf>
    <xf numFmtId="0" fontId="22" fillId="0" borderId="13" xfId="0" applyFont="1" applyBorder="1"/>
    <xf numFmtId="49" fontId="22" fillId="0" borderId="13" xfId="0" applyNumberFormat="1" applyFont="1" applyBorder="1" applyAlignment="1">
      <alignment horizontal="left"/>
    </xf>
    <xf numFmtId="49" fontId="22" fillId="0" borderId="13" xfId="0" applyNumberFormat="1" applyFont="1" applyBorder="1" applyAlignment="1">
      <alignment horizontal="center"/>
    </xf>
    <xf numFmtId="2" fontId="22" fillId="0" borderId="13" xfId="0" applyNumberFormat="1" applyFont="1" applyBorder="1" applyAlignment="1">
      <alignment horizontal="center"/>
    </xf>
    <xf numFmtId="3" fontId="22" fillId="0" borderId="13" xfId="0" applyNumberFormat="1" applyFont="1" applyBorder="1" applyAlignment="1">
      <alignment horizontal="center"/>
    </xf>
    <xf numFmtId="165" fontId="22" fillId="0" borderId="13" xfId="2" applyNumberFormat="1" applyFont="1" applyBorder="1" applyAlignment="1">
      <alignment horizontal="right"/>
    </xf>
    <xf numFmtId="3" fontId="22" fillId="0" borderId="20" xfId="2" applyNumberFormat="1" applyFont="1" applyBorder="1" applyAlignment="1">
      <alignment horizontal="right"/>
    </xf>
    <xf numFmtId="49" fontId="15" fillId="5" borderId="0" xfId="0" applyNumberFormat="1" applyFont="1" applyFill="1"/>
    <xf numFmtId="0" fontId="14" fillId="0" borderId="27" xfId="0" applyFont="1" applyBorder="1" applyAlignment="1">
      <alignment vertical="center" wrapText="1"/>
    </xf>
    <xf numFmtId="0" fontId="14" fillId="0" borderId="21" xfId="0" applyFont="1" applyBorder="1" applyAlignment="1">
      <alignment horizontal="center" vertical="center" wrapText="1"/>
    </xf>
    <xf numFmtId="0" fontId="11" fillId="0" borderId="0" xfId="0" applyFont="1" applyAlignment="1">
      <alignment vertical="center" wrapText="1"/>
    </xf>
    <xf numFmtId="0" fontId="14" fillId="0" borderId="0" xfId="0" applyFont="1" applyAlignment="1">
      <alignment horizontal="center" vertical="center" wrapText="1"/>
    </xf>
    <xf numFmtId="2" fontId="14"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165" fontId="15" fillId="0" borderId="8" xfId="2" applyNumberFormat="1" applyFont="1" applyBorder="1" applyAlignment="1">
      <alignment horizontal="center" vertical="center" wrapText="1"/>
    </xf>
    <xf numFmtId="165" fontId="15" fillId="0" borderId="9" xfId="2" applyNumberFormat="1" applyFont="1" applyBorder="1" applyAlignment="1">
      <alignment horizontal="center" vertical="center" wrapText="1"/>
    </xf>
    <xf numFmtId="165" fontId="17" fillId="0" borderId="9" xfId="2" applyNumberFormat="1" applyFont="1" applyBorder="1" applyAlignment="1">
      <alignment horizontal="center" vertical="center" wrapText="1"/>
    </xf>
    <xf numFmtId="165" fontId="18" fillId="0" borderId="9" xfId="2" applyNumberFormat="1" applyFont="1" applyBorder="1" applyAlignment="1">
      <alignment horizontal="center" vertical="center" wrapText="1"/>
    </xf>
    <xf numFmtId="165" fontId="15" fillId="0" borderId="10" xfId="2" applyNumberFormat="1" applyFont="1" applyBorder="1" applyAlignment="1">
      <alignment horizontal="center" vertical="center" wrapText="1"/>
    </xf>
    <xf numFmtId="165" fontId="15" fillId="0" borderId="0" xfId="2" applyNumberFormat="1" applyFont="1" applyAlignment="1">
      <alignment horizontal="center" vertical="center" wrapText="1"/>
    </xf>
    <xf numFmtId="165" fontId="15" fillId="0" borderId="46" xfId="2" applyNumberFormat="1" applyFont="1" applyBorder="1" applyAlignment="1">
      <alignment horizontal="center" vertical="center" wrapText="1"/>
    </xf>
    <xf numFmtId="165" fontId="15" fillId="0" borderId="31" xfId="2" applyNumberFormat="1" applyFont="1" applyBorder="1" applyAlignment="1">
      <alignment horizontal="center" vertical="center" wrapText="1"/>
    </xf>
    <xf numFmtId="165" fontId="17" fillId="0" borderId="31" xfId="2" applyNumberFormat="1" applyFont="1" applyBorder="1" applyAlignment="1">
      <alignment horizontal="center" vertical="center" wrapText="1"/>
    </xf>
    <xf numFmtId="165" fontId="18" fillId="0" borderId="31" xfId="2" applyNumberFormat="1" applyFont="1" applyBorder="1" applyAlignment="1">
      <alignment horizontal="center" vertical="center" wrapText="1"/>
    </xf>
    <xf numFmtId="165" fontId="15" fillId="0" borderId="45" xfId="2" applyNumberFormat="1" applyFont="1" applyBorder="1" applyAlignment="1">
      <alignment horizontal="center" vertical="center" wrapText="1"/>
    </xf>
    <xf numFmtId="0" fontId="15" fillId="0" borderId="18" xfId="0" applyFont="1" applyBorder="1" applyAlignment="1">
      <alignment vertical="center" wrapText="1"/>
    </xf>
    <xf numFmtId="0" fontId="19" fillId="0" borderId="18" xfId="0" applyFont="1" applyBorder="1" applyAlignment="1">
      <alignment horizontal="center" vertical="center" wrapText="1"/>
    </xf>
    <xf numFmtId="0" fontId="14" fillId="0" borderId="18" xfId="0" applyFont="1" applyBorder="1" applyAlignment="1">
      <alignment horizontal="center" vertical="center" wrapText="1"/>
    </xf>
    <xf numFmtId="2" fontId="14" fillId="0" borderId="18" xfId="0" applyNumberFormat="1" applyFont="1" applyBorder="1" applyAlignment="1">
      <alignment horizontal="center" vertical="center" wrapText="1"/>
    </xf>
    <xf numFmtId="0" fontId="14" fillId="0" borderId="19" xfId="0" applyFont="1" applyBorder="1" applyAlignment="1">
      <alignment vertical="center" wrapText="1"/>
    </xf>
    <xf numFmtId="0" fontId="14" fillId="0" borderId="13" xfId="0" applyFont="1" applyBorder="1" applyAlignment="1">
      <alignment horizontal="center" vertical="center" wrapText="1"/>
    </xf>
    <xf numFmtId="1" fontId="14" fillId="0" borderId="13" xfId="0" applyNumberFormat="1" applyFont="1" applyBorder="1" applyAlignment="1">
      <alignment horizontal="center" vertical="center" wrapText="1"/>
    </xf>
    <xf numFmtId="165" fontId="14" fillId="0" borderId="20" xfId="2" applyNumberFormat="1" applyFont="1" applyBorder="1" applyAlignment="1">
      <alignment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2" fontId="14" fillId="0" borderId="30" xfId="0" applyNumberFormat="1" applyFont="1" applyBorder="1" applyAlignment="1">
      <alignment horizontal="center" vertical="center" wrapText="1"/>
    </xf>
    <xf numFmtId="0" fontId="14" fillId="0" borderId="33" xfId="0" applyFont="1" applyBorder="1" applyAlignment="1">
      <alignment vertical="center" wrapText="1"/>
    </xf>
    <xf numFmtId="0" fontId="15" fillId="0" borderId="12" xfId="0" applyFont="1" applyBorder="1" applyAlignment="1">
      <alignment horizontal="center" vertical="center" wrapText="1"/>
    </xf>
    <xf numFmtId="1" fontId="15" fillId="0" borderId="13" xfId="0" applyNumberFormat="1" applyFont="1" applyBorder="1" applyAlignment="1">
      <alignment horizontal="center" vertical="center" wrapText="1"/>
    </xf>
    <xf numFmtId="1" fontId="15" fillId="0" borderId="13" xfId="2" applyNumberFormat="1" applyFont="1" applyBorder="1" applyAlignment="1">
      <alignment horizontal="center" vertical="center" wrapText="1"/>
    </xf>
    <xf numFmtId="165" fontId="15" fillId="0" borderId="20" xfId="2" applyNumberFormat="1" applyFont="1" applyBorder="1" applyAlignment="1">
      <alignment vertical="center" wrapText="1"/>
    </xf>
    <xf numFmtId="0" fontId="16" fillId="0" borderId="12" xfId="0" applyFont="1" applyBorder="1" applyAlignment="1">
      <alignment horizontal="center" vertical="center" wrapText="1"/>
    </xf>
    <xf numFmtId="0" fontId="16" fillId="0" borderId="13" xfId="0" applyFont="1" applyBorder="1" applyAlignment="1">
      <alignment vertical="center" wrapText="1"/>
    </xf>
    <xf numFmtId="1" fontId="14" fillId="0" borderId="13" xfId="2" applyNumberFormat="1"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vertical="center" wrapText="1"/>
    </xf>
    <xf numFmtId="1" fontId="14" fillId="0" borderId="30" xfId="0" applyNumberFormat="1" applyFont="1" applyBorder="1" applyAlignment="1">
      <alignment horizontal="center" vertical="center" wrapText="1"/>
    </xf>
    <xf numFmtId="1" fontId="14" fillId="0" borderId="30" xfId="2" applyNumberFormat="1" applyFont="1" applyBorder="1" applyAlignment="1">
      <alignment horizontal="center" vertical="center" wrapText="1"/>
    </xf>
    <xf numFmtId="165" fontId="14" fillId="0" borderId="33" xfId="2" applyNumberFormat="1" applyFont="1" applyBorder="1" applyAlignment="1">
      <alignment vertical="center" wrapText="1"/>
    </xf>
    <xf numFmtId="0" fontId="15" fillId="0" borderId="21" xfId="0" applyFont="1" applyBorder="1" applyAlignment="1">
      <alignment horizontal="center" vertical="center" wrapText="1"/>
    </xf>
    <xf numFmtId="0" fontId="15" fillId="0" borderId="22" xfId="0" applyFont="1" applyBorder="1" applyAlignment="1">
      <alignment horizontal="left" vertical="center" wrapText="1"/>
    </xf>
    <xf numFmtId="1" fontId="14" fillId="0" borderId="56" xfId="0" applyNumberFormat="1" applyFont="1" applyBorder="1" applyAlignment="1">
      <alignment horizontal="center" vertical="center" wrapText="1"/>
    </xf>
    <xf numFmtId="1" fontId="14" fillId="0" borderId="22" xfId="2" applyNumberFormat="1" applyFont="1" applyBorder="1" applyAlignment="1">
      <alignment horizontal="center" vertical="center" wrapText="1"/>
    </xf>
    <xf numFmtId="1" fontId="14" fillId="0" borderId="22" xfId="0" applyNumberFormat="1" applyFont="1" applyBorder="1" applyAlignment="1">
      <alignment horizontal="center" vertical="center" wrapText="1"/>
    </xf>
    <xf numFmtId="0" fontId="15" fillId="0" borderId="14" xfId="0" applyFont="1" applyBorder="1" applyAlignment="1">
      <alignment horizontal="center" vertical="center" wrapText="1"/>
    </xf>
    <xf numFmtId="1" fontId="14" fillId="0" borderId="18" xfId="0" applyNumberFormat="1" applyFont="1" applyBorder="1" applyAlignment="1">
      <alignment horizontal="center" vertical="center" wrapText="1"/>
    </xf>
    <xf numFmtId="1" fontId="14" fillId="0" borderId="18" xfId="2" applyNumberFormat="1" applyFont="1" applyBorder="1" applyAlignment="1">
      <alignment horizontal="center" vertical="center" wrapText="1"/>
    </xf>
    <xf numFmtId="165" fontId="14" fillId="0" borderId="19" xfId="2" applyNumberFormat="1" applyFont="1" applyBorder="1" applyAlignment="1">
      <alignment vertical="center" wrapText="1"/>
    </xf>
    <xf numFmtId="0" fontId="27" fillId="0" borderId="0" xfId="0" applyFont="1" applyAlignment="1">
      <alignment vertical="center" wrapText="1"/>
    </xf>
    <xf numFmtId="0" fontId="13" fillId="0" borderId="0" xfId="0" applyFont="1" applyAlignment="1">
      <alignment vertical="center" wrapText="1"/>
    </xf>
    <xf numFmtId="0" fontId="14" fillId="0" borderId="51" xfId="0" applyFont="1" applyBorder="1" applyAlignment="1">
      <alignment horizontal="center" vertical="center" wrapText="1"/>
    </xf>
    <xf numFmtId="0" fontId="14" fillId="0" borderId="52" xfId="0" applyFont="1" applyBorder="1" applyAlignment="1">
      <alignment vertical="center" wrapText="1"/>
    </xf>
    <xf numFmtId="0" fontId="14" fillId="0" borderId="52" xfId="0" applyFont="1" applyBorder="1" applyAlignment="1">
      <alignment horizontal="center" vertical="center" wrapText="1"/>
    </xf>
    <xf numFmtId="2" fontId="14" fillId="0" borderId="52" xfId="0" applyNumberFormat="1" applyFont="1" applyBorder="1" applyAlignment="1">
      <alignment horizontal="center" vertical="center" wrapText="1"/>
    </xf>
    <xf numFmtId="0" fontId="14" fillId="0" borderId="53" xfId="0" applyFont="1" applyBorder="1" applyAlignment="1">
      <alignment vertical="center" wrapText="1"/>
    </xf>
    <xf numFmtId="0" fontId="14" fillId="0" borderId="13" xfId="0" applyFont="1" applyBorder="1" applyAlignment="1">
      <alignment vertical="center"/>
    </xf>
    <xf numFmtId="165" fontId="14" fillId="0" borderId="0" xfId="0" applyNumberFormat="1" applyFont="1" applyAlignment="1">
      <alignment vertical="center" wrapText="1"/>
    </xf>
    <xf numFmtId="1" fontId="14" fillId="0" borderId="0" xfId="0" applyNumberFormat="1" applyFont="1" applyAlignment="1">
      <alignment horizontal="center"/>
    </xf>
    <xf numFmtId="1" fontId="16" fillId="0" borderId="0" xfId="0" applyNumberFormat="1" applyFont="1" applyAlignment="1">
      <alignment horizontal="center"/>
    </xf>
    <xf numFmtId="0" fontId="15" fillId="4" borderId="20" xfId="0" applyFont="1" applyFill="1" applyBorder="1"/>
    <xf numFmtId="165" fontId="15" fillId="4" borderId="20" xfId="2" applyNumberFormat="1" applyFont="1" applyFill="1" applyBorder="1" applyAlignment="1">
      <alignment horizontal="center"/>
    </xf>
    <xf numFmtId="4" fontId="14" fillId="2" borderId="13" xfId="0" applyNumberFormat="1" applyFont="1" applyFill="1" applyBorder="1" applyAlignment="1">
      <alignment horizontal="left"/>
    </xf>
    <xf numFmtId="4" fontId="14" fillId="2" borderId="20" xfId="0" applyNumberFormat="1" applyFont="1" applyFill="1" applyBorder="1" applyAlignment="1">
      <alignment horizontal="left"/>
    </xf>
    <xf numFmtId="0" fontId="15" fillId="3" borderId="12" xfId="0" applyFont="1" applyFill="1" applyBorder="1" applyAlignment="1">
      <alignment vertical="center"/>
    </xf>
    <xf numFmtId="0" fontId="15" fillId="3" borderId="13" xfId="0" applyFont="1" applyFill="1" applyBorder="1" applyAlignment="1">
      <alignment vertical="center"/>
    </xf>
    <xf numFmtId="2" fontId="15" fillId="3" borderId="13" xfId="0" applyNumberFormat="1" applyFont="1" applyFill="1" applyBorder="1" applyAlignment="1">
      <alignment horizontal="center" vertical="center"/>
    </xf>
    <xf numFmtId="165" fontId="15" fillId="3" borderId="13" xfId="2" applyNumberFormat="1" applyFont="1" applyFill="1" applyBorder="1" applyAlignment="1">
      <alignment vertical="center"/>
    </xf>
    <xf numFmtId="165" fontId="15" fillId="3" borderId="13" xfId="2" applyNumberFormat="1" applyFont="1" applyFill="1" applyBorder="1" applyAlignment="1">
      <alignment horizontal="center" vertical="center"/>
    </xf>
    <xf numFmtId="165" fontId="15" fillId="3" borderId="20" xfId="2" applyNumberFormat="1" applyFont="1" applyFill="1" applyBorder="1" applyAlignment="1">
      <alignment horizontal="center" vertical="center"/>
    </xf>
    <xf numFmtId="0" fontId="15" fillId="3" borderId="12" xfId="0" applyFont="1" applyFill="1" applyBorder="1" applyAlignment="1">
      <alignment horizontal="center" vertical="center"/>
    </xf>
    <xf numFmtId="3" fontId="15" fillId="3" borderId="13" xfId="2" applyNumberFormat="1" applyFont="1" applyFill="1" applyBorder="1" applyAlignment="1">
      <alignment horizontal="right" vertical="center"/>
    </xf>
    <xf numFmtId="3" fontId="15" fillId="3" borderId="20" xfId="2" applyNumberFormat="1" applyFont="1" applyFill="1" applyBorder="1" applyAlignment="1">
      <alignment horizontal="right" vertical="center"/>
    </xf>
    <xf numFmtId="0" fontId="19" fillId="0" borderId="12" xfId="0" applyFont="1" applyBorder="1"/>
    <xf numFmtId="165" fontId="14" fillId="0" borderId="41" xfId="2" applyNumberFormat="1" applyFont="1" applyBorder="1"/>
    <xf numFmtId="0" fontId="14" fillId="2" borderId="14" xfId="0" applyFont="1" applyFill="1" applyBorder="1" applyAlignment="1">
      <alignment horizontal="center"/>
    </xf>
    <xf numFmtId="0" fontId="14" fillId="2" borderId="27" xfId="0" applyFont="1" applyFill="1" applyBorder="1"/>
    <xf numFmtId="0" fontId="14" fillId="2" borderId="27" xfId="0" applyFont="1" applyFill="1" applyBorder="1" applyAlignment="1">
      <alignment horizontal="center"/>
    </xf>
    <xf numFmtId="1" fontId="14" fillId="2" borderId="27" xfId="0" applyNumberFormat="1" applyFont="1" applyFill="1" applyBorder="1" applyAlignment="1">
      <alignment horizontal="center"/>
    </xf>
    <xf numFmtId="165" fontId="14" fillId="2" borderId="27" xfId="2" applyNumberFormat="1" applyFont="1" applyFill="1" applyBorder="1" applyAlignment="1"/>
    <xf numFmtId="4" fontId="14" fillId="2" borderId="27" xfId="0" applyNumberFormat="1" applyFont="1" applyFill="1" applyBorder="1" applyAlignment="1">
      <alignment horizontal="left"/>
    </xf>
    <xf numFmtId="165" fontId="15" fillId="4" borderId="16" xfId="2" applyNumberFormat="1" applyFont="1" applyFill="1" applyBorder="1" applyAlignment="1">
      <alignment horizontal="center"/>
    </xf>
    <xf numFmtId="0" fontId="12" fillId="0" borderId="38" xfId="0" applyFont="1" applyBorder="1" applyAlignment="1">
      <alignment horizontal="center"/>
    </xf>
    <xf numFmtId="0" fontId="15" fillId="3" borderId="13" xfId="0" applyFont="1" applyFill="1" applyBorder="1" applyAlignment="1">
      <alignment horizontal="left" vertical="center"/>
    </xf>
    <xf numFmtId="3" fontId="15" fillId="0" borderId="13" xfId="2" applyNumberFormat="1" applyFont="1" applyFill="1" applyBorder="1" applyAlignment="1">
      <alignment horizontal="right"/>
    </xf>
    <xf numFmtId="0" fontId="42" fillId="0" borderId="0" xfId="0" applyFont="1" applyAlignment="1">
      <alignment horizontal="center"/>
    </xf>
    <xf numFmtId="0" fontId="42" fillId="0" borderId="0" xfId="0" applyFont="1"/>
    <xf numFmtId="0" fontId="13" fillId="0" borderId="0" xfId="0" applyFont="1"/>
    <xf numFmtId="0" fontId="44" fillId="0" borderId="0" xfId="0" applyFont="1"/>
    <xf numFmtId="0" fontId="13" fillId="0" borderId="0" xfId="0" applyFont="1" applyAlignment="1">
      <alignment horizontal="center"/>
    </xf>
    <xf numFmtId="0" fontId="46" fillId="6" borderId="0" xfId="0" applyFont="1" applyFill="1"/>
    <xf numFmtId="0" fontId="47" fillId="6" borderId="0" xfId="0" applyFont="1" applyFill="1" applyAlignment="1">
      <alignment horizontal="left"/>
    </xf>
    <xf numFmtId="0" fontId="46" fillId="6" borderId="0" xfId="0" applyFont="1" applyFill="1" applyAlignment="1">
      <alignment horizontal="center"/>
    </xf>
    <xf numFmtId="0" fontId="45" fillId="6" borderId="16" xfId="0" applyFont="1" applyFill="1" applyBorder="1" applyAlignment="1">
      <alignment horizontal="center"/>
    </xf>
    <xf numFmtId="0" fontId="46" fillId="6" borderId="16" xfId="0" applyFont="1" applyFill="1" applyBorder="1" applyAlignment="1">
      <alignment horizontal="center"/>
    </xf>
    <xf numFmtId="0" fontId="48" fillId="6" borderId="16" xfId="0" applyFont="1" applyFill="1" applyBorder="1" applyAlignment="1">
      <alignment horizontal="center"/>
    </xf>
    <xf numFmtId="0" fontId="46" fillId="6" borderId="16" xfId="0" applyFont="1" applyFill="1" applyBorder="1"/>
    <xf numFmtId="0" fontId="49" fillId="6" borderId="16" xfId="0" applyFont="1" applyFill="1" applyBorder="1" applyAlignment="1">
      <alignment horizontal="left"/>
    </xf>
    <xf numFmtId="0" fontId="48" fillId="6" borderId="16" xfId="0" applyFont="1" applyFill="1" applyBorder="1" applyAlignment="1">
      <alignment horizontal="right"/>
    </xf>
    <xf numFmtId="174" fontId="46" fillId="6" borderId="16" xfId="0" applyNumberFormat="1" applyFont="1" applyFill="1" applyBorder="1"/>
    <xf numFmtId="165" fontId="46" fillId="6" borderId="16" xfId="0" applyNumberFormat="1" applyFont="1" applyFill="1" applyBorder="1" applyAlignment="1">
      <alignment horizontal="right"/>
    </xf>
    <xf numFmtId="165" fontId="46" fillId="6" borderId="16" xfId="2" applyNumberFormat="1" applyFont="1" applyFill="1" applyBorder="1" applyAlignment="1">
      <alignment horizontal="right"/>
    </xf>
    <xf numFmtId="2" fontId="46" fillId="6" borderId="16" xfId="0" applyNumberFormat="1" applyFont="1" applyFill="1" applyBorder="1" applyAlignment="1">
      <alignment horizontal="center"/>
    </xf>
    <xf numFmtId="43" fontId="46" fillId="6" borderId="16" xfId="2" applyFont="1" applyFill="1" applyBorder="1" applyAlignment="1">
      <alignment horizontal="right"/>
    </xf>
    <xf numFmtId="0" fontId="46" fillId="0" borderId="16" xfId="114" applyFont="1" applyBorder="1" applyAlignment="1">
      <alignment vertical="center"/>
    </xf>
    <xf numFmtId="165" fontId="46" fillId="0" borderId="16" xfId="5" applyNumberFormat="1" applyFont="1" applyBorder="1" applyAlignment="1">
      <alignment horizontal="center" vertical="center"/>
    </xf>
    <xf numFmtId="0" fontId="46" fillId="0" borderId="16" xfId="0" applyFont="1" applyBorder="1" applyAlignment="1">
      <alignment vertical="center"/>
    </xf>
    <xf numFmtId="0" fontId="46" fillId="6" borderId="0" xfId="0" applyFont="1" applyFill="1" applyAlignment="1">
      <alignment horizontal="left"/>
    </xf>
    <xf numFmtId="0" fontId="45" fillId="0" borderId="0" xfId="0" applyFont="1" applyAlignment="1">
      <alignment horizontal="center" vertical="center" wrapText="1"/>
    </xf>
    <xf numFmtId="0" fontId="45" fillId="0" borderId="0" xfId="0" applyFont="1" applyAlignment="1">
      <alignment vertical="center"/>
    </xf>
    <xf numFmtId="0" fontId="52" fillId="0" borderId="0" xfId="0" applyFont="1" applyAlignment="1">
      <alignment horizontal="left" vertical="center"/>
    </xf>
    <xf numFmtId="0" fontId="52" fillId="0" borderId="0" xfId="0" applyFont="1" applyAlignment="1">
      <alignment vertical="center"/>
    </xf>
    <xf numFmtId="0" fontId="46" fillId="0" borderId="0" xfId="0" applyFont="1" applyAlignment="1">
      <alignment horizontal="center" vertical="center"/>
    </xf>
    <xf numFmtId="0" fontId="46" fillId="0" borderId="0" xfId="0" applyFont="1" applyAlignment="1">
      <alignment vertical="center"/>
    </xf>
    <xf numFmtId="1" fontId="46" fillId="0" borderId="0" xfId="0" applyNumberFormat="1" applyFont="1" applyAlignment="1">
      <alignment vertical="center"/>
    </xf>
    <xf numFmtId="3" fontId="46" fillId="0" borderId="0" xfId="0" applyNumberFormat="1" applyFont="1" applyAlignment="1">
      <alignment vertical="center"/>
    </xf>
    <xf numFmtId="3" fontId="45" fillId="0" borderId="0" xfId="0" applyNumberFormat="1" applyFont="1" applyAlignment="1">
      <alignment vertical="center"/>
    </xf>
    <xf numFmtId="0" fontId="46" fillId="0" borderId="0" xfId="0" applyFont="1" applyAlignment="1">
      <alignment vertical="center" wrapText="1"/>
    </xf>
    <xf numFmtId="3" fontId="46" fillId="0" borderId="0" xfId="0" applyNumberFormat="1" applyFont="1" applyAlignment="1">
      <alignment vertical="center" wrapText="1"/>
    </xf>
    <xf numFmtId="0" fontId="45" fillId="0" borderId="16" xfId="0" applyFont="1" applyBorder="1" applyAlignment="1">
      <alignment horizontal="center" vertical="center"/>
    </xf>
    <xf numFmtId="0" fontId="46" fillId="0" borderId="16" xfId="0" applyFont="1" applyBorder="1" applyAlignment="1">
      <alignment horizontal="center" vertical="center"/>
    </xf>
    <xf numFmtId="0" fontId="45" fillId="6" borderId="0" xfId="0" applyFont="1" applyFill="1" applyAlignment="1">
      <alignment horizontal="center"/>
    </xf>
    <xf numFmtId="0" fontId="15" fillId="0" borderId="16" xfId="94" applyFont="1" applyBorder="1" applyAlignment="1">
      <alignment horizontal="center" vertical="center" wrapText="1"/>
    </xf>
    <xf numFmtId="0" fontId="15" fillId="0" borderId="49" xfId="94" applyFont="1" applyBorder="1" applyAlignment="1">
      <alignment horizontal="center" vertical="center" wrapText="1"/>
    </xf>
    <xf numFmtId="0" fontId="54" fillId="0" borderId="16" xfId="0" applyFont="1" applyBorder="1"/>
    <xf numFmtId="4" fontId="15" fillId="3" borderId="13" xfId="0" applyNumberFormat="1" applyFont="1" applyFill="1" applyBorder="1" applyAlignment="1">
      <alignment horizontal="right" vertical="center"/>
    </xf>
    <xf numFmtId="4" fontId="15" fillId="0" borderId="13" xfId="0" applyNumberFormat="1" applyFont="1" applyBorder="1" applyAlignment="1">
      <alignment horizontal="right"/>
    </xf>
    <xf numFmtId="4" fontId="16" fillId="0" borderId="13" xfId="0" applyNumberFormat="1" applyFont="1" applyBorder="1" applyAlignment="1">
      <alignment horizontal="right"/>
    </xf>
    <xf numFmtId="4" fontId="14" fillId="0" borderId="13" xfId="0" applyNumberFormat="1" applyFont="1" applyBorder="1" applyAlignment="1">
      <alignment horizontal="right"/>
    </xf>
    <xf numFmtId="4" fontId="14" fillId="0" borderId="13" xfId="2" applyNumberFormat="1" applyFont="1" applyBorder="1" applyAlignment="1">
      <alignment horizontal="right"/>
    </xf>
    <xf numFmtId="4" fontId="14" fillId="0" borderId="13" xfId="0" applyNumberFormat="1" applyFont="1" applyBorder="1" applyAlignment="1">
      <alignment horizontal="right" wrapText="1"/>
    </xf>
    <xf numFmtId="49" fontId="15" fillId="0" borderId="13" xfId="0" applyNumberFormat="1" applyFont="1" applyBorder="1" applyAlignment="1">
      <alignment horizontal="left" wrapText="1"/>
    </xf>
    <xf numFmtId="165" fontId="15" fillId="0" borderId="13" xfId="2" applyNumberFormat="1" applyFont="1" applyFill="1" applyBorder="1" applyAlignment="1">
      <alignment horizontal="right"/>
    </xf>
    <xf numFmtId="165" fontId="16" fillId="0" borderId="13" xfId="2" applyNumberFormat="1" applyFont="1" applyFill="1" applyBorder="1" applyAlignment="1">
      <alignment horizontal="right"/>
    </xf>
    <xf numFmtId="4" fontId="14" fillId="0" borderId="13" xfId="0" applyNumberFormat="1" applyFont="1" applyBorder="1" applyAlignment="1">
      <alignment horizontal="right" vertical="top" wrapText="1"/>
    </xf>
    <xf numFmtId="4" fontId="14" fillId="0" borderId="13" xfId="93" applyNumberFormat="1" applyFont="1" applyBorder="1" applyAlignment="1">
      <alignment horizontal="right"/>
    </xf>
    <xf numFmtId="4" fontId="15" fillId="0" borderId="13" xfId="93" applyNumberFormat="1" applyFont="1" applyBorder="1" applyAlignment="1">
      <alignment horizontal="right"/>
    </xf>
    <xf numFmtId="4" fontId="15" fillId="0" borderId="13" xfId="2" applyNumberFormat="1" applyFont="1" applyBorder="1" applyAlignment="1">
      <alignment horizontal="right"/>
    </xf>
    <xf numFmtId="4" fontId="22" fillId="0" borderId="13" xfId="0" applyNumberFormat="1" applyFont="1" applyBorder="1" applyAlignment="1">
      <alignment horizontal="right"/>
    </xf>
    <xf numFmtId="4" fontId="14" fillId="0" borderId="13" xfId="2" applyNumberFormat="1" applyFont="1" applyFill="1" applyBorder="1" applyAlignment="1">
      <alignment horizontal="right"/>
    </xf>
    <xf numFmtId="4" fontId="14" fillId="0" borderId="25" xfId="0" applyNumberFormat="1" applyFont="1" applyBorder="1" applyAlignment="1">
      <alignment horizontal="right"/>
    </xf>
    <xf numFmtId="0" fontId="44" fillId="0" borderId="0" xfId="0" applyFont="1" applyAlignment="1">
      <alignment vertical="center"/>
    </xf>
    <xf numFmtId="0" fontId="56" fillId="0" borderId="0" xfId="115" applyFont="1" applyBorder="1" applyAlignment="1">
      <alignment vertical="center"/>
    </xf>
    <xf numFmtId="0" fontId="44" fillId="0" borderId="0" xfId="0" applyFont="1" applyAlignment="1">
      <alignment vertical="center" wrapText="1"/>
    </xf>
    <xf numFmtId="0" fontId="45" fillId="0" borderId="16" xfId="0" applyFont="1" applyBorder="1" applyAlignment="1">
      <alignment horizontal="center"/>
    </xf>
    <xf numFmtId="9" fontId="45" fillId="0" borderId="16" xfId="0" applyNumberFormat="1" applyFont="1" applyBorder="1" applyAlignment="1">
      <alignment horizontal="center" vertical="center"/>
    </xf>
    <xf numFmtId="173" fontId="45" fillId="0" borderId="16" xfId="0" applyNumberFormat="1" applyFont="1" applyBorder="1" applyAlignment="1">
      <alignment horizontal="center" vertical="center"/>
    </xf>
    <xf numFmtId="0" fontId="46" fillId="0" borderId="16" xfId="0" applyFont="1" applyBorder="1" applyAlignment="1">
      <alignment horizontal="center"/>
    </xf>
    <xf numFmtId="3" fontId="46" fillId="0" borderId="16" xfId="0" applyNumberFormat="1" applyFont="1" applyBorder="1" applyAlignment="1">
      <alignment vertical="center"/>
    </xf>
    <xf numFmtId="3" fontId="45" fillId="0" borderId="16" xfId="0" applyNumberFormat="1" applyFont="1" applyBorder="1" applyAlignment="1">
      <alignment vertical="center"/>
    </xf>
    <xf numFmtId="0" fontId="48" fillId="0" borderId="16" xfId="0" applyFont="1" applyBorder="1" applyAlignment="1">
      <alignment vertical="center"/>
    </xf>
    <xf numFmtId="49" fontId="46" fillId="0" borderId="16" xfId="0" applyNumberFormat="1" applyFont="1" applyBorder="1" applyAlignment="1">
      <alignment horizontal="center" vertical="center"/>
    </xf>
    <xf numFmtId="49" fontId="45" fillId="0" borderId="16" xfId="0" applyNumberFormat="1" applyFont="1" applyBorder="1" applyAlignment="1">
      <alignment horizontal="center" vertical="center"/>
    </xf>
    <xf numFmtId="0" fontId="45" fillId="0" borderId="16" xfId="0" applyFont="1" applyBorder="1" applyAlignment="1">
      <alignment vertical="center"/>
    </xf>
    <xf numFmtId="0" fontId="52" fillId="0" borderId="16" xfId="0" applyFont="1" applyBorder="1" applyAlignment="1">
      <alignment horizontal="left" vertical="center"/>
    </xf>
    <xf numFmtId="1" fontId="46" fillId="0" borderId="16" xfId="0" applyNumberFormat="1" applyFont="1" applyBorder="1" applyAlignment="1">
      <alignment horizontal="center" vertical="center"/>
    </xf>
    <xf numFmtId="166" fontId="46" fillId="0" borderId="16" xfId="0" applyNumberFormat="1" applyFont="1" applyBorder="1" applyAlignment="1">
      <alignment horizontal="center" vertical="center"/>
    </xf>
    <xf numFmtId="49" fontId="46" fillId="0" borderId="16" xfId="0" applyNumberFormat="1" applyFont="1" applyBorder="1" applyAlignment="1">
      <alignment horizontal="left" vertical="center"/>
    </xf>
    <xf numFmtId="0" fontId="62" fillId="0" borderId="0" xfId="0" applyFont="1"/>
    <xf numFmtId="0" fontId="44" fillId="0" borderId="16" xfId="0" applyFont="1" applyBorder="1" applyAlignment="1">
      <alignment horizontal="center" vertical="center" wrapText="1"/>
    </xf>
    <xf numFmtId="0" fontId="44" fillId="0" borderId="16" xfId="0" applyFont="1" applyBorder="1" applyAlignment="1">
      <alignment vertical="center" wrapText="1"/>
    </xf>
    <xf numFmtId="0" fontId="44" fillId="0" borderId="16" xfId="0" applyFont="1" applyBorder="1" applyAlignment="1">
      <alignment horizontal="left" vertical="center" wrapText="1"/>
    </xf>
    <xf numFmtId="0" fontId="44" fillId="0" borderId="16" xfId="0" applyFont="1" applyBorder="1" applyAlignment="1">
      <alignment horizontal="justify" vertical="center" wrapText="1"/>
    </xf>
    <xf numFmtId="0" fontId="44" fillId="0" borderId="16" xfId="0" applyFont="1" applyBorder="1"/>
    <xf numFmtId="0" fontId="44" fillId="0" borderId="16" xfId="0" applyFont="1" applyBorder="1" applyAlignment="1">
      <alignment horizontal="center" vertical="center"/>
    </xf>
    <xf numFmtId="0" fontId="44" fillId="0" borderId="16" xfId="0" applyFont="1" applyBorder="1" applyAlignment="1">
      <alignment vertical="center"/>
    </xf>
    <xf numFmtId="0" fontId="43" fillId="0" borderId="16" xfId="0" applyFont="1" applyBorder="1" applyAlignment="1">
      <alignment horizontal="center" vertical="center" wrapText="1"/>
    </xf>
    <xf numFmtId="0" fontId="66" fillId="0" borderId="16" xfId="0" applyFont="1" applyBorder="1" applyAlignment="1">
      <alignment horizontal="center" vertical="center" wrapText="1"/>
    </xf>
    <xf numFmtId="0" fontId="13" fillId="0" borderId="16" xfId="0" applyFont="1" applyBorder="1"/>
    <xf numFmtId="0" fontId="44" fillId="0" borderId="16" xfId="0" applyFont="1" applyBorder="1" applyAlignment="1">
      <alignment horizontal="center"/>
    </xf>
    <xf numFmtId="0" fontId="62" fillId="0" borderId="16" xfId="0" applyFont="1" applyBorder="1"/>
    <xf numFmtId="0" fontId="62" fillId="0" borderId="16" xfId="0" applyFont="1" applyBorder="1" applyAlignment="1">
      <alignment horizontal="center"/>
    </xf>
    <xf numFmtId="0" fontId="44" fillId="0" borderId="16" xfId="0" applyFont="1" applyBorder="1" applyAlignment="1">
      <alignment horizontal="left"/>
    </xf>
    <xf numFmtId="3" fontId="44" fillId="7" borderId="16" xfId="0" applyNumberFormat="1" applyFont="1" applyFill="1" applyBorder="1"/>
    <xf numFmtId="0" fontId="44" fillId="7" borderId="16" xfId="0" applyFont="1" applyFill="1" applyBorder="1"/>
    <xf numFmtId="0" fontId="45" fillId="6" borderId="16" xfId="0" applyFont="1" applyFill="1" applyBorder="1" applyAlignment="1">
      <alignment horizontal="center" vertical="center"/>
    </xf>
    <xf numFmtId="0" fontId="46" fillId="6" borderId="16" xfId="0" applyFont="1" applyFill="1" applyBorder="1" applyAlignment="1">
      <alignment vertical="center"/>
    </xf>
    <xf numFmtId="0" fontId="46" fillId="6" borderId="16" xfId="0" applyFont="1" applyFill="1" applyBorder="1" applyAlignment="1">
      <alignment horizontal="center" vertical="center"/>
    </xf>
    <xf numFmtId="3" fontId="46" fillId="6" borderId="16" xfId="0" applyNumberFormat="1" applyFont="1" applyFill="1" applyBorder="1" applyAlignment="1">
      <alignment vertical="center"/>
    </xf>
    <xf numFmtId="4" fontId="45" fillId="6" borderId="16" xfId="0" applyNumberFormat="1" applyFont="1" applyFill="1" applyBorder="1" applyAlignment="1">
      <alignment vertical="center"/>
    </xf>
    <xf numFmtId="0" fontId="46" fillId="6" borderId="0" xfId="0" applyFont="1" applyFill="1" applyAlignment="1">
      <alignment vertical="center"/>
    </xf>
    <xf numFmtId="0" fontId="15" fillId="6" borderId="16" xfId="0" applyFont="1" applyFill="1" applyBorder="1" applyAlignment="1">
      <alignment vertical="center"/>
    </xf>
    <xf numFmtId="0" fontId="15" fillId="6" borderId="0" xfId="0" applyFont="1" applyFill="1" applyAlignment="1">
      <alignment vertical="center"/>
    </xf>
    <xf numFmtId="3" fontId="15" fillId="0" borderId="16" xfId="0" applyNumberFormat="1" applyFont="1" applyBorder="1" applyAlignment="1">
      <alignment vertical="center"/>
    </xf>
    <xf numFmtId="0" fontId="51" fillId="6" borderId="0" xfId="0" applyFont="1" applyFill="1" applyAlignment="1">
      <alignment vertical="center"/>
    </xf>
    <xf numFmtId="0" fontId="45" fillId="6" borderId="0" xfId="0" applyFont="1" applyFill="1" applyAlignment="1">
      <alignment vertical="center"/>
    </xf>
    <xf numFmtId="0" fontId="52" fillId="6" borderId="0" xfId="0" applyFont="1" applyFill="1" applyAlignment="1">
      <alignment horizontal="left" vertical="center"/>
    </xf>
    <xf numFmtId="0" fontId="52" fillId="6" borderId="0" xfId="0" applyFont="1" applyFill="1" applyAlignment="1">
      <alignment vertical="center"/>
    </xf>
    <xf numFmtId="0" fontId="46" fillId="6" borderId="0" xfId="0" applyFont="1" applyFill="1" applyAlignment="1">
      <alignment horizontal="center" vertical="center"/>
    </xf>
    <xf numFmtId="0" fontId="45" fillId="6" borderId="16" xfId="0" applyFont="1" applyFill="1" applyBorder="1" applyAlignment="1">
      <alignment horizontal="center" vertical="center" wrapText="1"/>
    </xf>
    <xf numFmtId="0" fontId="45" fillId="6" borderId="0" xfId="0" applyFont="1" applyFill="1" applyAlignment="1">
      <alignment horizontal="center" vertical="center" wrapText="1"/>
    </xf>
    <xf numFmtId="0" fontId="45" fillId="6" borderId="16" xfId="0" applyFont="1" applyFill="1" applyBorder="1" applyAlignment="1">
      <alignment horizontal="left" vertical="center"/>
    </xf>
    <xf numFmtId="3" fontId="45" fillId="6" borderId="16" xfId="0" applyNumberFormat="1" applyFont="1" applyFill="1" applyBorder="1" applyAlignment="1">
      <alignment vertical="center"/>
    </xf>
    <xf numFmtId="0" fontId="45" fillId="6" borderId="16" xfId="0" applyFont="1" applyFill="1" applyBorder="1" applyAlignment="1">
      <alignment vertical="center"/>
    </xf>
    <xf numFmtId="0" fontId="52" fillId="6" borderId="16" xfId="0" applyFont="1" applyFill="1" applyBorder="1" applyAlignment="1">
      <alignment vertical="center" wrapText="1"/>
    </xf>
    <xf numFmtId="16" fontId="45" fillId="6" borderId="16" xfId="0" applyNumberFormat="1" applyFont="1" applyFill="1" applyBorder="1" applyAlignment="1">
      <alignment horizontal="center" vertical="center"/>
    </xf>
    <xf numFmtId="49" fontId="46" fillId="6" borderId="16" xfId="0" applyNumberFormat="1" applyFont="1" applyFill="1" applyBorder="1" applyAlignment="1">
      <alignment horizontal="center" vertical="center"/>
    </xf>
    <xf numFmtId="3" fontId="46" fillId="6" borderId="16" xfId="2" applyNumberFormat="1" applyFont="1" applyFill="1" applyBorder="1" applyAlignment="1">
      <alignment vertical="center"/>
    </xf>
    <xf numFmtId="3" fontId="45" fillId="6" borderId="16" xfId="2" applyNumberFormat="1" applyFont="1" applyFill="1" applyBorder="1" applyAlignment="1">
      <alignment vertical="center"/>
    </xf>
    <xf numFmtId="0" fontId="46" fillId="6" borderId="16" xfId="0" applyFont="1" applyFill="1" applyBorder="1" applyAlignment="1">
      <alignment horizontal="justify" vertical="center" wrapText="1"/>
    </xf>
    <xf numFmtId="0" fontId="46" fillId="6" borderId="16" xfId="0" applyFont="1" applyFill="1" applyBorder="1" applyAlignment="1">
      <alignment horizontal="center" vertical="center" wrapText="1"/>
    </xf>
    <xf numFmtId="0" fontId="46" fillId="6" borderId="16" xfId="0" applyFont="1" applyFill="1" applyBorder="1" applyAlignment="1">
      <alignment vertical="center" wrapText="1"/>
    </xf>
    <xf numFmtId="3" fontId="46" fillId="6" borderId="16" xfId="0" applyNumberFormat="1" applyFont="1" applyFill="1" applyBorder="1" applyAlignment="1">
      <alignment horizontal="center" vertical="center"/>
    </xf>
    <xf numFmtId="4" fontId="45" fillId="6" borderId="16" xfId="2" applyNumberFormat="1" applyFont="1" applyFill="1" applyBorder="1" applyAlignment="1">
      <alignment vertical="center"/>
    </xf>
    <xf numFmtId="3" fontId="46" fillId="6" borderId="16" xfId="0" applyNumberFormat="1" applyFont="1" applyFill="1" applyBorder="1" applyAlignment="1">
      <alignment horizontal="left" vertical="center"/>
    </xf>
    <xf numFmtId="0" fontId="48" fillId="6" borderId="16" xfId="0" applyFont="1" applyFill="1" applyBorder="1" applyAlignment="1">
      <alignment vertical="center"/>
    </xf>
    <xf numFmtId="4" fontId="46" fillId="6" borderId="16" xfId="0" applyNumberFormat="1" applyFont="1" applyFill="1" applyBorder="1" applyAlignment="1">
      <alignment vertical="center"/>
    </xf>
    <xf numFmtId="175" fontId="46" fillId="6" borderId="16" xfId="0" applyNumberFormat="1" applyFont="1" applyFill="1" applyBorder="1" applyAlignment="1">
      <alignment vertical="center"/>
    </xf>
    <xf numFmtId="172" fontId="46" fillId="6" borderId="16" xfId="0" applyNumberFormat="1" applyFont="1" applyFill="1" applyBorder="1" applyAlignment="1">
      <alignment vertical="center"/>
    </xf>
    <xf numFmtId="4" fontId="46" fillId="6" borderId="16" xfId="2" applyNumberFormat="1" applyFont="1" applyFill="1" applyBorder="1" applyAlignment="1">
      <alignment vertical="center"/>
    </xf>
    <xf numFmtId="49" fontId="45" fillId="6" borderId="16" xfId="0" applyNumberFormat="1" applyFont="1" applyFill="1" applyBorder="1" applyAlignment="1">
      <alignment horizontal="center" vertical="center"/>
    </xf>
    <xf numFmtId="1" fontId="46" fillId="6" borderId="0" xfId="0" applyNumberFormat="1" applyFont="1" applyFill="1" applyAlignment="1">
      <alignment vertical="center"/>
    </xf>
    <xf numFmtId="3" fontId="46" fillId="6" borderId="0" xfId="0" applyNumberFormat="1" applyFont="1" applyFill="1" applyAlignment="1">
      <alignment vertical="center"/>
    </xf>
    <xf numFmtId="3" fontId="46" fillId="6" borderId="16" xfId="2" applyNumberFormat="1" applyFont="1" applyFill="1" applyBorder="1" applyAlignment="1">
      <alignment horizontal="center" vertical="center"/>
    </xf>
    <xf numFmtId="49" fontId="45" fillId="6" borderId="16" xfId="0" applyNumberFormat="1" applyFont="1" applyFill="1" applyBorder="1" applyAlignment="1">
      <alignment horizontal="left" vertical="center"/>
    </xf>
    <xf numFmtId="3" fontId="45" fillId="6" borderId="0" xfId="0" applyNumberFormat="1" applyFont="1" applyFill="1" applyAlignment="1">
      <alignment vertical="center"/>
    </xf>
    <xf numFmtId="2" fontId="45" fillId="6" borderId="16" xfId="0" applyNumberFormat="1" applyFont="1" applyFill="1" applyBorder="1" applyAlignment="1">
      <alignment horizontal="center" vertical="center"/>
    </xf>
    <xf numFmtId="0" fontId="52" fillId="6" borderId="16" xfId="0" applyFont="1" applyFill="1" applyBorder="1" applyAlignment="1">
      <alignment horizontal="left" vertical="center"/>
    </xf>
    <xf numFmtId="49" fontId="46" fillId="6" borderId="16" xfId="0" applyNumberFormat="1" applyFont="1" applyFill="1" applyBorder="1" applyAlignment="1">
      <alignment horizontal="center" vertical="center" wrapText="1"/>
    </xf>
    <xf numFmtId="3" fontId="46" fillId="6" borderId="16" xfId="0" applyNumberFormat="1" applyFont="1" applyFill="1" applyBorder="1" applyAlignment="1">
      <alignment vertical="center" wrapText="1"/>
    </xf>
    <xf numFmtId="3" fontId="46" fillId="6" borderId="16" xfId="2" applyNumberFormat="1" applyFont="1" applyFill="1" applyBorder="1" applyAlignment="1">
      <alignment vertical="center" wrapText="1"/>
    </xf>
    <xf numFmtId="3" fontId="45" fillId="6" borderId="16" xfId="2" applyNumberFormat="1" applyFont="1" applyFill="1" applyBorder="1" applyAlignment="1">
      <alignment vertical="center" wrapText="1"/>
    </xf>
    <xf numFmtId="0" fontId="46" fillId="6" borderId="0" xfId="0" applyFont="1" applyFill="1" applyAlignment="1">
      <alignment vertical="center" wrapText="1"/>
    </xf>
    <xf numFmtId="3" fontId="46" fillId="6" borderId="0" xfId="0" applyNumberFormat="1" applyFont="1" applyFill="1" applyAlignment="1">
      <alignment vertical="center" wrapText="1"/>
    </xf>
    <xf numFmtId="1" fontId="45" fillId="6" borderId="16" xfId="0" applyNumberFormat="1" applyFont="1" applyFill="1" applyBorder="1" applyAlignment="1">
      <alignment horizontal="center" vertical="center"/>
    </xf>
    <xf numFmtId="1" fontId="46" fillId="6" borderId="16" xfId="0" applyNumberFormat="1" applyFont="1" applyFill="1" applyBorder="1" applyAlignment="1">
      <alignment horizontal="center" vertical="center"/>
    </xf>
    <xf numFmtId="166" fontId="46" fillId="6" borderId="16" xfId="0" applyNumberFormat="1" applyFont="1" applyFill="1" applyBorder="1" applyAlignment="1">
      <alignment horizontal="center" vertical="center"/>
    </xf>
    <xf numFmtId="49" fontId="46" fillId="6" borderId="16" xfId="0" applyNumberFormat="1" applyFont="1" applyFill="1" applyBorder="1" applyAlignment="1">
      <alignment horizontal="left" vertical="center"/>
    </xf>
    <xf numFmtId="165" fontId="45" fillId="6" borderId="16" xfId="2" applyNumberFormat="1" applyFont="1" applyFill="1" applyBorder="1" applyAlignment="1">
      <alignment horizontal="right"/>
    </xf>
    <xf numFmtId="165" fontId="46" fillId="6" borderId="16" xfId="5" applyNumberFormat="1" applyFont="1" applyFill="1" applyBorder="1" applyAlignment="1">
      <alignment horizontal="center" vertical="center"/>
    </xf>
    <xf numFmtId="0" fontId="54" fillId="6" borderId="16" xfId="0" applyFont="1" applyFill="1" applyBorder="1"/>
    <xf numFmtId="165" fontId="45" fillId="6" borderId="16" xfId="5" applyNumberFormat="1" applyFont="1" applyFill="1" applyBorder="1" applyAlignment="1">
      <alignment horizontal="center" vertical="center"/>
    </xf>
    <xf numFmtId="0" fontId="12" fillId="6" borderId="0" xfId="0" applyFont="1" applyFill="1" applyAlignment="1">
      <alignment vertical="center" wrapText="1"/>
    </xf>
    <xf numFmtId="0" fontId="15" fillId="6" borderId="0" xfId="0" applyFont="1" applyFill="1" applyAlignment="1">
      <alignment vertical="center" wrapText="1"/>
    </xf>
    <xf numFmtId="0" fontId="14" fillId="6" borderId="0" xfId="0" applyFont="1" applyFill="1" applyAlignment="1">
      <alignment horizontal="center" vertical="center" wrapText="1"/>
    </xf>
    <xf numFmtId="4" fontId="14" fillId="6" borderId="0" xfId="0" applyNumberFormat="1" applyFont="1" applyFill="1" applyAlignment="1">
      <alignment horizontal="right" vertical="center" wrapText="1"/>
    </xf>
    <xf numFmtId="0" fontId="14" fillId="6" borderId="0" xfId="0" applyFont="1" applyFill="1" applyAlignment="1">
      <alignment vertical="center" wrapText="1"/>
    </xf>
    <xf numFmtId="3" fontId="39" fillId="6" borderId="0" xfId="2" applyNumberFormat="1" applyFont="1" applyFill="1" applyAlignment="1">
      <alignment vertical="center" wrapText="1"/>
    </xf>
    <xf numFmtId="3" fontId="14" fillId="6" borderId="0" xfId="2" applyNumberFormat="1" applyFont="1" applyFill="1" applyAlignment="1">
      <alignment horizontal="right" vertical="center" wrapText="1"/>
    </xf>
    <xf numFmtId="3" fontId="34" fillId="6" borderId="0" xfId="2" applyNumberFormat="1" applyFont="1" applyFill="1" applyAlignment="1">
      <alignment vertical="center" wrapText="1"/>
    </xf>
    <xf numFmtId="0" fontId="15" fillId="6" borderId="42" xfId="0" applyFont="1" applyFill="1" applyBorder="1" applyAlignment="1">
      <alignment horizontal="center" vertical="center" wrapText="1"/>
    </xf>
    <xf numFmtId="0" fontId="15" fillId="6" borderId="42" xfId="0" applyFont="1" applyFill="1" applyBorder="1" applyAlignment="1">
      <alignment horizontal="left" vertical="center" wrapText="1"/>
    </xf>
    <xf numFmtId="49" fontId="15" fillId="6" borderId="42" xfId="0" applyNumberFormat="1" applyFont="1" applyFill="1" applyBorder="1" applyAlignment="1">
      <alignment horizontal="center" vertical="center" wrapText="1"/>
    </xf>
    <xf numFmtId="3" fontId="15" fillId="6" borderId="42" xfId="0" applyNumberFormat="1" applyFont="1" applyFill="1" applyBorder="1" applyAlignment="1">
      <alignment horizontal="center" vertical="center" wrapText="1"/>
    </xf>
    <xf numFmtId="4" fontId="15" fillId="6" borderId="42" xfId="0" applyNumberFormat="1" applyFont="1" applyFill="1" applyBorder="1" applyAlignment="1">
      <alignment horizontal="center" vertical="center" wrapText="1"/>
    </xf>
    <xf numFmtId="3" fontId="37" fillId="6" borderId="42" xfId="0" applyNumberFormat="1"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66" xfId="0" applyFont="1" applyFill="1" applyBorder="1" applyAlignment="1">
      <alignment horizontal="center" vertical="center" wrapText="1"/>
    </xf>
    <xf numFmtId="3" fontId="15" fillId="6" borderId="66" xfId="0" applyNumberFormat="1" applyFont="1" applyFill="1" applyBorder="1" applyAlignment="1">
      <alignment horizontal="center" vertical="center" wrapText="1"/>
    </xf>
    <xf numFmtId="3" fontId="15" fillId="6" borderId="65" xfId="0" applyNumberFormat="1" applyFont="1" applyFill="1" applyBorder="1" applyAlignment="1">
      <alignment horizontal="center" vertical="center" wrapText="1"/>
    </xf>
    <xf numFmtId="3" fontId="15" fillId="6" borderId="89" xfId="0" applyNumberFormat="1" applyFont="1" applyFill="1" applyBorder="1" applyAlignment="1">
      <alignment horizontal="center" vertical="center" wrapText="1"/>
    </xf>
    <xf numFmtId="0" fontId="15" fillId="6" borderId="16" xfId="0" applyFont="1" applyFill="1" applyBorder="1" applyAlignment="1">
      <alignment horizontal="center" vertical="center" wrapText="1"/>
    </xf>
    <xf numFmtId="3" fontId="15" fillId="6" borderId="16" xfId="0" applyNumberFormat="1" applyFont="1" applyFill="1" applyBorder="1" applyAlignment="1">
      <alignment horizontal="center" vertical="center" wrapText="1"/>
    </xf>
    <xf numFmtId="4" fontId="15" fillId="6" borderId="16" xfId="0" applyNumberFormat="1" applyFont="1" applyFill="1" applyBorder="1" applyAlignment="1">
      <alignment horizontal="center" vertical="center" wrapText="1"/>
    </xf>
    <xf numFmtId="172" fontId="15" fillId="6" borderId="17" xfId="0" applyNumberFormat="1" applyFont="1" applyFill="1" applyBorder="1" applyAlignment="1">
      <alignment horizontal="center" vertical="center" wrapText="1"/>
    </xf>
    <xf numFmtId="3" fontId="15" fillId="6" borderId="73" xfId="0" applyNumberFormat="1" applyFont="1" applyFill="1" applyBorder="1" applyAlignment="1">
      <alignment horizontal="center" vertical="center" wrapText="1"/>
    </xf>
    <xf numFmtId="49" fontId="14" fillId="6" borderId="16" xfId="0" applyNumberFormat="1" applyFont="1" applyFill="1" applyBorder="1" applyAlignment="1">
      <alignment horizontal="center" vertical="center" wrapText="1"/>
    </xf>
    <xf numFmtId="1" fontId="14" fillId="6" borderId="16" xfId="2" applyNumberFormat="1" applyFont="1" applyFill="1" applyBorder="1" applyAlignment="1">
      <alignment horizontal="center" vertical="center" wrapText="1"/>
    </xf>
    <xf numFmtId="3" fontId="14" fillId="6" borderId="16" xfId="2" applyNumberFormat="1" applyFont="1" applyFill="1" applyBorder="1" applyAlignment="1">
      <alignment vertical="center" wrapText="1"/>
    </xf>
    <xf numFmtId="0" fontId="39" fillId="6" borderId="16" xfId="0" applyFont="1" applyFill="1" applyBorder="1" applyAlignment="1">
      <alignment horizontal="center" vertical="center" wrapText="1"/>
    </xf>
    <xf numFmtId="3" fontId="14" fillId="6" borderId="16" xfId="0" applyNumberFormat="1" applyFont="1" applyFill="1" applyBorder="1" applyAlignment="1">
      <alignment vertical="center" wrapText="1"/>
    </xf>
    <xf numFmtId="3" fontId="14" fillId="6" borderId="17" xfId="0" applyNumberFormat="1" applyFont="1" applyFill="1" applyBorder="1" applyAlignment="1">
      <alignment vertical="center" wrapText="1"/>
    </xf>
    <xf numFmtId="3" fontId="14" fillId="6" borderId="90" xfId="0" applyNumberFormat="1" applyFont="1" applyFill="1" applyBorder="1" applyAlignment="1">
      <alignment vertical="center" wrapText="1"/>
    </xf>
    <xf numFmtId="43" fontId="14" fillId="6" borderId="0" xfId="2" applyFont="1" applyFill="1" applyAlignment="1">
      <alignment vertical="center" wrapText="1"/>
    </xf>
    <xf numFmtId="0" fontId="16" fillId="6" borderId="0" xfId="0" applyFont="1" applyFill="1" applyAlignment="1">
      <alignment horizontal="center" vertical="center" wrapText="1"/>
    </xf>
    <xf numFmtId="1" fontId="16" fillId="6" borderId="0" xfId="0" applyNumberFormat="1" applyFont="1" applyFill="1" applyAlignment="1">
      <alignment horizontal="center" vertical="center" wrapText="1"/>
    </xf>
    <xf numFmtId="0" fontId="14" fillId="6" borderId="16" xfId="0" applyFont="1" applyFill="1" applyBorder="1" applyAlignment="1">
      <alignment horizontal="center" vertical="center" wrapText="1"/>
    </xf>
    <xf numFmtId="3" fontId="14" fillId="6" borderId="41" xfId="0" applyNumberFormat="1" applyFont="1" applyFill="1" applyBorder="1" applyAlignment="1">
      <alignment vertical="center" wrapText="1"/>
    </xf>
    <xf numFmtId="1" fontId="14" fillId="6" borderId="16" xfId="0" applyNumberFormat="1" applyFont="1" applyFill="1" applyBorder="1" applyAlignment="1">
      <alignment horizontal="center" vertical="center" wrapText="1"/>
    </xf>
    <xf numFmtId="2" fontId="39" fillId="6" borderId="16" xfId="0" applyNumberFormat="1"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16" xfId="0" applyFont="1" applyFill="1" applyBorder="1" applyAlignment="1">
      <alignment horizontal="justify" vertical="center" wrapText="1"/>
    </xf>
    <xf numFmtId="0" fontId="15" fillId="6" borderId="88" xfId="0" applyFont="1" applyFill="1" applyBorder="1" applyAlignment="1">
      <alignment vertical="center" wrapText="1"/>
    </xf>
    <xf numFmtId="43" fontId="14" fillId="6" borderId="0" xfId="2" applyFont="1" applyFill="1" applyBorder="1" applyAlignment="1">
      <alignment vertical="center" wrapText="1"/>
    </xf>
    <xf numFmtId="0" fontId="14" fillId="6" borderId="40" xfId="0" applyFont="1" applyFill="1" applyBorder="1" applyAlignment="1">
      <alignment vertical="center" wrapText="1"/>
    </xf>
    <xf numFmtId="0" fontId="14" fillId="6" borderId="40" xfId="0" applyFont="1" applyFill="1" applyBorder="1" applyAlignment="1">
      <alignment horizontal="left" vertical="center" wrapText="1"/>
    </xf>
    <xf numFmtId="3" fontId="14" fillId="6" borderId="0" xfId="0" applyNumberFormat="1" applyFont="1" applyFill="1" applyAlignment="1">
      <alignment vertical="center" wrapText="1"/>
    </xf>
    <xf numFmtId="0" fontId="15" fillId="6" borderId="42" xfId="0" applyFont="1" applyFill="1" applyBorder="1" applyAlignment="1">
      <alignment horizontal="left" vertical="center"/>
    </xf>
    <xf numFmtId="0" fontId="15" fillId="6" borderId="6" xfId="0" applyFont="1" applyFill="1" applyBorder="1" applyAlignment="1">
      <alignment horizontal="center" vertical="center" wrapText="1"/>
    </xf>
    <xf numFmtId="3" fontId="15" fillId="6" borderId="6" xfId="0" applyNumberFormat="1" applyFont="1" applyFill="1" applyBorder="1" applyAlignment="1">
      <alignment horizontal="center" vertical="center" wrapText="1"/>
    </xf>
    <xf numFmtId="3" fontId="15" fillId="6" borderId="5" xfId="0" applyNumberFormat="1" applyFont="1" applyFill="1" applyBorder="1" applyAlignment="1">
      <alignment horizontal="center" vertical="center" wrapText="1"/>
    </xf>
    <xf numFmtId="3" fontId="15" fillId="6" borderId="7" xfId="0" applyNumberFormat="1" applyFont="1" applyFill="1" applyBorder="1" applyAlignment="1">
      <alignment horizontal="center" vertical="center" wrapText="1"/>
    </xf>
    <xf numFmtId="0" fontId="15" fillId="6" borderId="31" xfId="0" applyFont="1" applyFill="1" applyBorder="1" applyAlignment="1">
      <alignment horizontal="center" vertical="center" wrapText="1"/>
    </xf>
    <xf numFmtId="3" fontId="15" fillId="6" borderId="31" xfId="0" applyNumberFormat="1" applyFont="1" applyFill="1" applyBorder="1" applyAlignment="1">
      <alignment horizontal="center" vertical="center" wrapText="1"/>
    </xf>
    <xf numFmtId="4" fontId="15" fillId="6" borderId="46" xfId="0" applyNumberFormat="1" applyFont="1" applyFill="1" applyBorder="1" applyAlignment="1">
      <alignment horizontal="center" vertical="center" wrapText="1"/>
    </xf>
    <xf numFmtId="172" fontId="15" fillId="6" borderId="31" xfId="0" applyNumberFormat="1" applyFont="1" applyFill="1" applyBorder="1" applyAlignment="1">
      <alignment horizontal="center" vertical="center" wrapText="1"/>
    </xf>
    <xf numFmtId="3" fontId="15" fillId="6" borderId="45" xfId="0" applyNumberFormat="1" applyFont="1" applyFill="1" applyBorder="1" applyAlignment="1">
      <alignment horizontal="center" vertical="center" wrapText="1"/>
    </xf>
    <xf numFmtId="4" fontId="15" fillId="6" borderId="31" xfId="0" applyNumberFormat="1"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6" borderId="27" xfId="0" applyFont="1" applyFill="1" applyBorder="1" applyAlignment="1">
      <alignment vertical="center" wrapText="1"/>
    </xf>
    <xf numFmtId="49" fontId="15" fillId="6" borderId="27" xfId="0" applyNumberFormat="1" applyFont="1" applyFill="1" applyBorder="1" applyAlignment="1">
      <alignment horizontal="center" vertical="center" wrapText="1"/>
    </xf>
    <xf numFmtId="0" fontId="15" fillId="6" borderId="27" xfId="0" applyFont="1" applyFill="1" applyBorder="1" applyAlignment="1">
      <alignment horizontal="center" vertical="center" wrapText="1"/>
    </xf>
    <xf numFmtId="3" fontId="15" fillId="6" borderId="27" xfId="0" applyNumberFormat="1" applyFont="1" applyFill="1" applyBorder="1" applyAlignment="1">
      <alignment vertical="center" wrapText="1"/>
    </xf>
    <xf numFmtId="1" fontId="14" fillId="6" borderId="13" xfId="2" applyNumberFormat="1" applyFont="1" applyFill="1" applyBorder="1" applyAlignment="1">
      <alignment horizontal="center" vertical="center" wrapText="1"/>
    </xf>
    <xf numFmtId="0" fontId="14" fillId="6" borderId="13" xfId="0" applyFont="1" applyFill="1" applyBorder="1" applyAlignment="1">
      <alignment horizontal="center" vertical="center" wrapText="1"/>
    </xf>
    <xf numFmtId="3" fontId="14" fillId="6" borderId="13" xfId="2" applyNumberFormat="1" applyFont="1" applyFill="1" applyBorder="1" applyAlignment="1">
      <alignment vertical="center" wrapText="1"/>
    </xf>
    <xf numFmtId="4" fontId="20" fillId="6" borderId="61" xfId="0" applyNumberFormat="1" applyFont="1" applyFill="1" applyBorder="1" applyAlignment="1">
      <alignment horizontal="right" vertical="center" wrapText="1"/>
    </xf>
    <xf numFmtId="3" fontId="14" fillId="6" borderId="18" xfId="0" applyNumberFormat="1" applyFont="1" applyFill="1" applyBorder="1" applyAlignment="1">
      <alignment vertical="center" wrapText="1"/>
    </xf>
    <xf numFmtId="4" fontId="20" fillId="6" borderId="59" xfId="0" applyNumberFormat="1" applyFont="1" applyFill="1" applyBorder="1" applyAlignment="1">
      <alignment horizontal="right" vertical="center" wrapText="1"/>
    </xf>
    <xf numFmtId="4" fontId="20" fillId="6" borderId="11" xfId="0" applyNumberFormat="1" applyFont="1" applyFill="1" applyBorder="1" applyAlignment="1">
      <alignment horizontal="right" vertical="center" wrapText="1"/>
    </xf>
    <xf numFmtId="0" fontId="14" fillId="6" borderId="13" xfId="2" applyNumberFormat="1" applyFont="1" applyFill="1" applyBorder="1" applyAlignment="1">
      <alignment horizontal="center" vertical="center" wrapText="1"/>
    </xf>
    <xf numFmtId="4" fontId="20" fillId="6" borderId="62" xfId="0" applyNumberFormat="1" applyFont="1" applyFill="1" applyBorder="1" applyAlignment="1">
      <alignment horizontal="right" vertical="center" wrapText="1"/>
    </xf>
    <xf numFmtId="3" fontId="14" fillId="6" borderId="13" xfId="0" applyNumberFormat="1" applyFont="1" applyFill="1" applyBorder="1" applyAlignment="1">
      <alignment vertical="center" wrapText="1"/>
    </xf>
    <xf numFmtId="4" fontId="20" fillId="6" borderId="60" xfId="0" applyNumberFormat="1" applyFont="1" applyFill="1" applyBorder="1" applyAlignment="1">
      <alignment horizontal="right" vertical="center" wrapText="1"/>
    </xf>
    <xf numFmtId="4" fontId="20" fillId="6" borderId="12" xfId="0" applyNumberFormat="1" applyFont="1" applyFill="1" applyBorder="1" applyAlignment="1">
      <alignment horizontal="right" vertical="center" wrapText="1"/>
    </xf>
    <xf numFmtId="1" fontId="14" fillId="6" borderId="13" xfId="0" applyNumberFormat="1" applyFont="1" applyFill="1" applyBorder="1" applyAlignment="1">
      <alignment horizontal="center" vertical="center" wrapText="1"/>
    </xf>
    <xf numFmtId="49" fontId="14" fillId="6" borderId="13" xfId="0" applyNumberFormat="1"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3" xfId="0" applyFont="1" applyFill="1" applyBorder="1" applyAlignment="1">
      <alignment vertical="center" wrapText="1"/>
    </xf>
    <xf numFmtId="0" fontId="15" fillId="6" borderId="12" xfId="0" applyFont="1" applyFill="1" applyBorder="1" applyAlignment="1">
      <alignment horizontal="center" vertical="center" wrapText="1"/>
    </xf>
    <xf numFmtId="0" fontId="15" fillId="6" borderId="13" xfId="0" applyFont="1" applyFill="1" applyBorder="1" applyAlignment="1">
      <alignment vertical="center" wrapText="1"/>
    </xf>
    <xf numFmtId="49" fontId="15" fillId="6" borderId="13" xfId="0" applyNumberFormat="1" applyFont="1" applyFill="1" applyBorder="1" applyAlignment="1">
      <alignment horizontal="center" vertical="center" wrapText="1"/>
    </xf>
    <xf numFmtId="0" fontId="30" fillId="6" borderId="13" xfId="0" applyFont="1" applyFill="1" applyBorder="1" applyAlignment="1">
      <alignment wrapText="1"/>
    </xf>
    <xf numFmtId="0" fontId="38" fillId="6" borderId="13" xfId="0" applyFont="1" applyFill="1" applyBorder="1" applyAlignment="1">
      <alignment wrapText="1"/>
    </xf>
    <xf numFmtId="0" fontId="14" fillId="6" borderId="13" xfId="0" applyFont="1" applyFill="1" applyBorder="1" applyAlignment="1">
      <alignment wrapText="1"/>
    </xf>
    <xf numFmtId="0" fontId="14" fillId="6" borderId="16" xfId="0" applyFont="1" applyFill="1" applyBorder="1" applyAlignment="1">
      <alignment horizontal="center" wrapText="1"/>
    </xf>
    <xf numFmtId="0" fontId="38" fillId="6" borderId="30" xfId="0" applyFont="1" applyFill="1" applyBorder="1" applyAlignment="1">
      <alignment wrapText="1"/>
    </xf>
    <xf numFmtId="49" fontId="14" fillId="6" borderId="30" xfId="0" applyNumberFormat="1" applyFont="1" applyFill="1" applyBorder="1" applyAlignment="1">
      <alignment horizontal="center" vertical="center" wrapText="1"/>
    </xf>
    <xf numFmtId="1" fontId="14" fillId="6" borderId="30" xfId="2" applyNumberFormat="1" applyFont="1" applyFill="1" applyBorder="1" applyAlignment="1">
      <alignment horizontal="center" vertical="center" wrapText="1"/>
    </xf>
    <xf numFmtId="3" fontId="14" fillId="6" borderId="30" xfId="2" applyNumberFormat="1" applyFont="1" applyFill="1" applyBorder="1" applyAlignment="1">
      <alignment vertical="center" wrapText="1"/>
    </xf>
    <xf numFmtId="4" fontId="20" fillId="6" borderId="29" xfId="0" applyNumberFormat="1" applyFont="1" applyFill="1" applyBorder="1" applyAlignment="1">
      <alignment horizontal="right" vertical="center" wrapText="1"/>
    </xf>
    <xf numFmtId="3" fontId="14" fillId="6" borderId="30" xfId="0" applyNumberFormat="1" applyFont="1" applyFill="1" applyBorder="1" applyAlignment="1">
      <alignment vertical="center" wrapText="1"/>
    </xf>
    <xf numFmtId="0" fontId="14" fillId="6" borderId="78" xfId="0" applyFont="1" applyFill="1" applyBorder="1" applyAlignment="1">
      <alignment vertical="center" wrapText="1"/>
    </xf>
    <xf numFmtId="4" fontId="20" fillId="6" borderId="51" xfId="0" applyNumberFormat="1" applyFont="1" applyFill="1" applyBorder="1" applyAlignment="1">
      <alignment horizontal="left" vertical="center" wrapText="1"/>
    </xf>
    <xf numFmtId="3" fontId="14" fillId="6" borderId="52" xfId="0" applyNumberFormat="1" applyFont="1" applyFill="1" applyBorder="1" applyAlignment="1">
      <alignment horizontal="left" vertical="center" wrapText="1"/>
    </xf>
    <xf numFmtId="3" fontId="14" fillId="6" borderId="53" xfId="0" applyNumberFormat="1" applyFont="1" applyFill="1" applyBorder="1" applyAlignment="1">
      <alignment horizontal="left" vertical="center" wrapText="1"/>
    </xf>
    <xf numFmtId="0" fontId="14" fillId="6" borderId="0" xfId="0" applyFont="1" applyFill="1" applyAlignment="1">
      <alignment horizontal="left" vertical="center" wrapText="1"/>
    </xf>
    <xf numFmtId="0" fontId="14" fillId="6" borderId="43" xfId="0" applyFont="1" applyFill="1" applyBorder="1" applyAlignment="1">
      <alignment horizontal="center" vertical="center" wrapText="1"/>
    </xf>
    <xf numFmtId="0" fontId="14" fillId="6" borderId="43" xfId="0" applyFont="1" applyFill="1" applyBorder="1" applyAlignment="1">
      <alignment vertical="center" wrapText="1"/>
    </xf>
    <xf numFmtId="49" fontId="14" fillId="6" borderId="43" xfId="0" applyNumberFormat="1" applyFont="1" applyFill="1" applyBorder="1" applyAlignment="1">
      <alignment horizontal="center" vertical="center" wrapText="1"/>
    </xf>
    <xf numFmtId="0" fontId="14" fillId="6" borderId="43" xfId="2" applyNumberFormat="1" applyFont="1" applyFill="1" applyBorder="1" applyAlignment="1">
      <alignment horizontal="center" vertical="center" wrapText="1"/>
    </xf>
    <xf numFmtId="4" fontId="14" fillId="6" borderId="43" xfId="0" applyNumberFormat="1" applyFont="1" applyFill="1" applyBorder="1" applyAlignment="1">
      <alignment horizontal="right" vertical="center" wrapText="1"/>
    </xf>
    <xf numFmtId="4" fontId="14" fillId="6" borderId="43" xfId="0" applyNumberFormat="1" applyFont="1" applyFill="1" applyBorder="1" applyAlignment="1">
      <alignment vertical="center" wrapText="1"/>
    </xf>
    <xf numFmtId="3" fontId="14" fillId="6" borderId="43" xfId="0" applyNumberFormat="1" applyFont="1" applyFill="1" applyBorder="1" applyAlignment="1">
      <alignment vertical="center" wrapText="1"/>
    </xf>
    <xf numFmtId="4" fontId="15" fillId="6" borderId="42" xfId="0" applyNumberFormat="1" applyFont="1" applyFill="1" applyBorder="1" applyAlignment="1">
      <alignment horizontal="right" vertical="center" wrapText="1"/>
    </xf>
    <xf numFmtId="3" fontId="15" fillId="6" borderId="42" xfId="0" applyNumberFormat="1" applyFont="1" applyFill="1" applyBorder="1" applyAlignment="1">
      <alignment vertical="center" wrapText="1"/>
    </xf>
    <xf numFmtId="0" fontId="15" fillId="6" borderId="42" xfId="0" applyFont="1" applyFill="1" applyBorder="1" applyAlignment="1">
      <alignment vertical="center" wrapText="1"/>
    </xf>
    <xf numFmtId="3" fontId="15" fillId="6" borderId="57" xfId="0" applyNumberFormat="1" applyFont="1" applyFill="1" applyBorder="1" applyAlignment="1">
      <alignment horizontal="center" vertical="center" wrapText="1"/>
    </xf>
    <xf numFmtId="4" fontId="15" fillId="6" borderId="64" xfId="0" applyNumberFormat="1" applyFont="1" applyFill="1" applyBorder="1" applyAlignment="1">
      <alignment horizontal="center" vertical="center" wrapText="1"/>
    </xf>
    <xf numFmtId="3" fontId="15" fillId="6" borderId="27" xfId="2" applyNumberFormat="1" applyFont="1" applyFill="1" applyBorder="1" applyAlignment="1">
      <alignment vertical="center" wrapText="1"/>
    </xf>
    <xf numFmtId="3" fontId="14" fillId="6" borderId="20" xfId="0" applyNumberFormat="1" applyFont="1" applyFill="1" applyBorder="1" applyAlignment="1">
      <alignment vertical="center" wrapText="1"/>
    </xf>
    <xf numFmtId="0" fontId="14" fillId="6" borderId="21" xfId="0" applyFont="1" applyFill="1" applyBorder="1" applyAlignment="1">
      <alignment horizontal="center" vertical="center" wrapText="1"/>
    </xf>
    <xf numFmtId="0" fontId="14" fillId="6" borderId="22" xfId="0" applyFont="1" applyFill="1" applyBorder="1" applyAlignment="1">
      <alignment vertical="center" wrapText="1"/>
    </xf>
    <xf numFmtId="49" fontId="14" fillId="6" borderId="22" xfId="0" applyNumberFormat="1" applyFont="1" applyFill="1" applyBorder="1" applyAlignment="1">
      <alignment vertical="center" wrapText="1"/>
    </xf>
    <xf numFmtId="49" fontId="14" fillId="6" borderId="22" xfId="0" applyNumberFormat="1" applyFont="1" applyFill="1" applyBorder="1" applyAlignment="1">
      <alignment horizontal="center" vertical="center" wrapText="1"/>
    </xf>
    <xf numFmtId="1" fontId="14" fillId="6" borderId="22" xfId="0" applyNumberFormat="1" applyFont="1" applyFill="1" applyBorder="1" applyAlignment="1">
      <alignment horizontal="center" vertical="center" wrapText="1"/>
    </xf>
    <xf numFmtId="3" fontId="14" fillId="6" borderId="22" xfId="0" applyNumberFormat="1" applyFont="1" applyFill="1" applyBorder="1" applyAlignment="1">
      <alignment vertical="center" wrapText="1"/>
    </xf>
    <xf numFmtId="4" fontId="20" fillId="6" borderId="63" xfId="0" applyNumberFormat="1" applyFont="1" applyFill="1" applyBorder="1" applyAlignment="1">
      <alignment horizontal="right" vertical="center" wrapText="1"/>
    </xf>
    <xf numFmtId="0" fontId="15" fillId="6" borderId="11" xfId="0" applyFont="1" applyFill="1" applyBorder="1" applyAlignment="1">
      <alignment horizontal="center" vertical="center" wrapText="1"/>
    </xf>
    <xf numFmtId="0" fontId="14" fillId="6" borderId="30" xfId="0" applyFont="1" applyFill="1" applyBorder="1" applyAlignment="1">
      <alignment vertical="center" wrapText="1"/>
    </xf>
    <xf numFmtId="1" fontId="14" fillId="6" borderId="30" xfId="0" applyNumberFormat="1" applyFont="1" applyFill="1" applyBorder="1" applyAlignment="1">
      <alignment horizontal="center" vertical="center" wrapText="1"/>
    </xf>
    <xf numFmtId="3" fontId="14" fillId="6" borderId="33" xfId="0" applyNumberFormat="1" applyFont="1" applyFill="1" applyBorder="1" applyAlignment="1">
      <alignment vertical="center" wrapText="1"/>
    </xf>
    <xf numFmtId="0" fontId="15" fillId="6" borderId="51" xfId="0" applyFont="1" applyFill="1" applyBorder="1" applyAlignment="1">
      <alignment horizontal="left" vertical="center"/>
    </xf>
    <xf numFmtId="0" fontId="14" fillId="6" borderId="52" xfId="0" applyFont="1" applyFill="1" applyBorder="1" applyAlignment="1">
      <alignment vertical="center" wrapText="1"/>
    </xf>
    <xf numFmtId="49" fontId="14" fillId="6" borderId="52" xfId="0" applyNumberFormat="1" applyFont="1" applyFill="1" applyBorder="1" applyAlignment="1">
      <alignment horizontal="center" vertical="center" wrapText="1"/>
    </xf>
    <xf numFmtId="0" fontId="14" fillId="6" borderId="52" xfId="0" applyFont="1" applyFill="1" applyBorder="1" applyAlignment="1">
      <alignment horizontal="center" vertical="center" wrapText="1"/>
    </xf>
    <xf numFmtId="3" fontId="14" fillId="6" borderId="53" xfId="0" applyNumberFormat="1" applyFont="1" applyFill="1" applyBorder="1" applyAlignment="1">
      <alignment vertical="center" wrapText="1"/>
    </xf>
    <xf numFmtId="4" fontId="20" fillId="6" borderId="51" xfId="0" applyNumberFormat="1" applyFont="1" applyFill="1" applyBorder="1" applyAlignment="1">
      <alignment horizontal="right" vertical="center" wrapText="1"/>
    </xf>
    <xf numFmtId="3" fontId="14" fillId="6" borderId="52" xfId="0" applyNumberFormat="1" applyFont="1" applyFill="1" applyBorder="1" applyAlignment="1">
      <alignment vertical="center" wrapText="1"/>
    </xf>
    <xf numFmtId="4" fontId="14" fillId="6" borderId="0" xfId="0" applyNumberFormat="1" applyFont="1" applyFill="1" applyAlignment="1">
      <alignment vertical="center" wrapText="1"/>
    </xf>
    <xf numFmtId="49" fontId="14" fillId="6" borderId="0" xfId="0" applyNumberFormat="1" applyFont="1" applyFill="1" applyAlignment="1">
      <alignment horizontal="center" vertical="center" wrapText="1"/>
    </xf>
    <xf numFmtId="0" fontId="26" fillId="6" borderId="42" xfId="0" applyFont="1" applyFill="1" applyBorder="1" applyAlignment="1">
      <alignment horizontal="left" vertical="center"/>
    </xf>
    <xf numFmtId="49" fontId="14" fillId="6" borderId="27" xfId="0" applyNumberFormat="1" applyFont="1" applyFill="1" applyBorder="1" applyAlignment="1">
      <alignment horizontal="center" vertical="center" wrapText="1"/>
    </xf>
    <xf numFmtId="0" fontId="14" fillId="6" borderId="27" xfId="0" applyFont="1" applyFill="1" applyBorder="1" applyAlignment="1">
      <alignment horizontal="center" vertical="center" wrapText="1"/>
    </xf>
    <xf numFmtId="3" fontId="14" fillId="6" borderId="27" xfId="0" applyNumberFormat="1" applyFont="1" applyFill="1" applyBorder="1" applyAlignment="1">
      <alignment vertical="center" wrapText="1"/>
    </xf>
    <xf numFmtId="4" fontId="15" fillId="6" borderId="28" xfId="0" applyNumberFormat="1" applyFont="1" applyFill="1" applyBorder="1" applyAlignment="1">
      <alignment horizontal="center" vertical="center" wrapText="1"/>
    </xf>
    <xf numFmtId="3" fontId="14" fillId="6" borderId="20" xfId="0" applyNumberFormat="1" applyFont="1" applyFill="1" applyBorder="1" applyAlignment="1">
      <alignment horizontal="center" vertical="center" wrapText="1"/>
    </xf>
    <xf numFmtId="4" fontId="20" fillId="6" borderId="13" xfId="0" applyNumberFormat="1" applyFont="1" applyFill="1" applyBorder="1" applyAlignment="1">
      <alignment horizontal="right" vertical="center" wrapText="1"/>
    </xf>
    <xf numFmtId="0" fontId="14" fillId="6" borderId="13" xfId="0" applyFont="1" applyFill="1" applyBorder="1" applyAlignment="1">
      <alignment horizontal="left" vertical="center" wrapText="1"/>
    </xf>
    <xf numFmtId="0" fontId="14" fillId="6" borderId="29" xfId="0" applyFont="1" applyFill="1" applyBorder="1" applyAlignment="1">
      <alignment horizontal="center" vertical="center" wrapText="1"/>
    </xf>
    <xf numFmtId="4" fontId="20" fillId="6" borderId="30" xfId="0" applyNumberFormat="1" applyFont="1" applyFill="1" applyBorder="1" applyAlignment="1">
      <alignment horizontal="right" vertical="center" wrapText="1"/>
    </xf>
    <xf numFmtId="4" fontId="21" fillId="6" borderId="27" xfId="0" applyNumberFormat="1" applyFont="1" applyFill="1" applyBorder="1" applyAlignment="1">
      <alignment horizontal="center" vertical="center" wrapText="1"/>
    </xf>
    <xf numFmtId="4" fontId="15" fillId="6" borderId="27" xfId="0" applyNumberFormat="1" applyFont="1" applyFill="1" applyBorder="1" applyAlignment="1">
      <alignment horizontal="center" vertical="center" wrapText="1"/>
    </xf>
    <xf numFmtId="4" fontId="21" fillId="6" borderId="36" xfId="0" applyNumberFormat="1" applyFont="1" applyFill="1" applyBorder="1" applyAlignment="1">
      <alignment horizontal="center" vertical="center" wrapText="1"/>
    </xf>
    <xf numFmtId="4" fontId="21" fillId="6" borderId="14" xfId="0" applyNumberFormat="1" applyFont="1" applyFill="1" applyBorder="1" applyAlignment="1">
      <alignment horizontal="center" vertical="center" wrapText="1"/>
    </xf>
    <xf numFmtId="0" fontId="14" fillId="6" borderId="30" xfId="0" applyFont="1" applyFill="1" applyBorder="1" applyAlignment="1">
      <alignment horizontal="left" vertical="center" wrapText="1"/>
    </xf>
    <xf numFmtId="0" fontId="15" fillId="6" borderId="28" xfId="0" applyFont="1" applyFill="1" applyBorder="1" applyAlignment="1">
      <alignment vertical="center" wrapText="1"/>
    </xf>
    <xf numFmtId="0" fontId="14" fillId="6" borderId="20" xfId="0" applyFont="1" applyFill="1" applyBorder="1" applyAlignment="1">
      <alignment vertical="center" wrapText="1"/>
    </xf>
    <xf numFmtId="0" fontId="14" fillId="6" borderId="24" xfId="0" applyFont="1" applyFill="1" applyBorder="1" applyAlignment="1">
      <alignment horizontal="center" vertical="center" wrapText="1"/>
    </xf>
    <xf numFmtId="0" fontId="14" fillId="6" borderId="26" xfId="0" applyFont="1" applyFill="1" applyBorder="1" applyAlignment="1">
      <alignment vertical="center" wrapText="1"/>
    </xf>
    <xf numFmtId="49" fontId="15" fillId="6" borderId="6" xfId="0" applyNumberFormat="1" applyFont="1" applyFill="1" applyBorder="1" applyAlignment="1">
      <alignment horizontal="center" vertical="center" wrapText="1"/>
    </xf>
    <xf numFmtId="0" fontId="15" fillId="6" borderId="52" xfId="0" applyFont="1" applyFill="1" applyBorder="1" applyAlignment="1">
      <alignment horizontal="center" vertical="center" wrapText="1"/>
    </xf>
    <xf numFmtId="49" fontId="15" fillId="6" borderId="52" xfId="0" applyNumberFormat="1" applyFont="1" applyFill="1" applyBorder="1" applyAlignment="1">
      <alignment horizontal="center" vertical="center" wrapText="1"/>
    </xf>
    <xf numFmtId="3" fontId="15" fillId="6" borderId="53" xfId="0" applyNumberFormat="1" applyFont="1" applyFill="1" applyBorder="1" applyAlignment="1">
      <alignment horizontal="center" vertical="center" wrapText="1"/>
    </xf>
    <xf numFmtId="4" fontId="15" fillId="6" borderId="58" xfId="0" applyNumberFormat="1" applyFont="1" applyFill="1" applyBorder="1" applyAlignment="1">
      <alignment horizontal="center" vertical="center" wrapText="1"/>
    </xf>
    <xf numFmtId="172" fontId="15" fillId="6" borderId="52" xfId="0" applyNumberFormat="1" applyFont="1" applyFill="1" applyBorder="1" applyAlignment="1">
      <alignment horizontal="center" vertical="center" wrapText="1"/>
    </xf>
    <xf numFmtId="0" fontId="15" fillId="6" borderId="34" xfId="0" applyFont="1" applyFill="1" applyBorder="1" applyAlignment="1">
      <alignment horizontal="center" vertical="center" wrapText="1"/>
    </xf>
    <xf numFmtId="0" fontId="15" fillId="6" borderId="35" xfId="0" applyFont="1" applyFill="1" applyBorder="1" applyAlignment="1">
      <alignment vertical="center" wrapText="1"/>
    </xf>
    <xf numFmtId="49" fontId="14" fillId="6" borderId="35" xfId="0" applyNumberFormat="1" applyFont="1" applyFill="1" applyBorder="1" applyAlignment="1">
      <alignment horizontal="center" vertical="center" wrapText="1"/>
    </xf>
    <xf numFmtId="0" fontId="14" fillId="6" borderId="35" xfId="0" applyFont="1" applyFill="1" applyBorder="1" applyAlignment="1">
      <alignment horizontal="center" vertical="center" wrapText="1"/>
    </xf>
    <xf numFmtId="3" fontId="14" fillId="6" borderId="50" xfId="0" applyNumberFormat="1" applyFont="1" applyFill="1" applyBorder="1" applyAlignment="1">
      <alignment vertical="center" wrapText="1"/>
    </xf>
    <xf numFmtId="4" fontId="15" fillId="6" borderId="34" xfId="0" applyNumberFormat="1" applyFont="1" applyFill="1" applyBorder="1" applyAlignment="1">
      <alignment horizontal="center" vertical="center" wrapText="1"/>
    </xf>
    <xf numFmtId="4" fontId="15" fillId="6" borderId="35" xfId="0" applyNumberFormat="1" applyFont="1" applyFill="1" applyBorder="1" applyAlignment="1">
      <alignment horizontal="center" vertical="center" wrapText="1"/>
    </xf>
    <xf numFmtId="4" fontId="15" fillId="6" borderId="50" xfId="0" applyNumberFormat="1" applyFont="1" applyFill="1" applyBorder="1" applyAlignment="1">
      <alignment horizontal="center" vertical="center" wrapText="1"/>
    </xf>
    <xf numFmtId="4" fontId="15" fillId="6" borderId="37" xfId="0" applyNumberFormat="1" applyFont="1" applyFill="1" applyBorder="1" applyAlignment="1">
      <alignment horizontal="center" vertical="center" wrapText="1"/>
    </xf>
    <xf numFmtId="4" fontId="21" fillId="6" borderId="12" xfId="0" applyNumberFormat="1" applyFont="1" applyFill="1" applyBorder="1" applyAlignment="1">
      <alignment horizontal="center" vertical="center" wrapText="1"/>
    </xf>
    <xf numFmtId="4" fontId="15" fillId="6" borderId="13" xfId="0" applyNumberFormat="1" applyFont="1" applyFill="1" applyBorder="1" applyAlignment="1">
      <alignment horizontal="center" vertical="center" wrapText="1"/>
    </xf>
    <xf numFmtId="4" fontId="21" fillId="6" borderId="13" xfId="0" applyNumberFormat="1" applyFont="1" applyFill="1" applyBorder="1" applyAlignment="1">
      <alignment horizontal="center" vertical="center" wrapText="1"/>
    </xf>
    <xf numFmtId="0" fontId="15" fillId="6" borderId="11" xfId="0" applyFont="1" applyFill="1" applyBorder="1" applyAlignment="1">
      <alignment horizontal="left" vertical="center"/>
    </xf>
    <xf numFmtId="0" fontId="14" fillId="6" borderId="18" xfId="0" applyFont="1" applyFill="1" applyBorder="1" applyAlignment="1">
      <alignment vertical="center" wrapText="1"/>
    </xf>
    <xf numFmtId="49" fontId="14" fillId="6" borderId="18" xfId="0" applyNumberFormat="1" applyFont="1" applyFill="1" applyBorder="1" applyAlignment="1">
      <alignment horizontal="center" vertical="center" wrapText="1"/>
    </xf>
    <xf numFmtId="0" fontId="14" fillId="6" borderId="18" xfId="0" applyFont="1" applyFill="1" applyBorder="1" applyAlignment="1">
      <alignment horizontal="center" vertical="center" wrapText="1"/>
    </xf>
    <xf numFmtId="4" fontId="14" fillId="6" borderId="18" xfId="0" applyNumberFormat="1" applyFont="1" applyFill="1" applyBorder="1" applyAlignment="1">
      <alignment horizontal="right" vertical="center" wrapText="1"/>
    </xf>
    <xf numFmtId="4" fontId="14" fillId="6" borderId="18" xfId="0" applyNumberFormat="1" applyFont="1" applyFill="1" applyBorder="1" applyAlignment="1">
      <alignment vertical="center" wrapText="1"/>
    </xf>
    <xf numFmtId="0" fontId="14" fillId="6" borderId="19" xfId="0" applyFont="1" applyFill="1" applyBorder="1" applyAlignment="1">
      <alignment vertical="center" wrapText="1"/>
    </xf>
    <xf numFmtId="0" fontId="15" fillId="6" borderId="15" xfId="0" applyFont="1" applyFill="1" applyBorder="1" applyAlignment="1">
      <alignment horizontal="center" vertical="center" wrapText="1"/>
    </xf>
    <xf numFmtId="0" fontId="15" fillId="6" borderId="48" xfId="0" applyFont="1" applyFill="1" applyBorder="1" applyAlignment="1">
      <alignment horizontal="center" vertical="center" wrapText="1"/>
    </xf>
    <xf numFmtId="0" fontId="14" fillId="6" borderId="16" xfId="0" applyFont="1" applyFill="1" applyBorder="1" applyAlignment="1">
      <alignment vertical="center" wrapText="1"/>
    </xf>
    <xf numFmtId="0" fontId="15" fillId="6" borderId="16" xfId="0" applyFont="1" applyFill="1" applyBorder="1" applyAlignment="1">
      <alignment vertical="center" wrapText="1"/>
    </xf>
    <xf numFmtId="0" fontId="15" fillId="6" borderId="17" xfId="0" applyFont="1" applyFill="1" applyBorder="1" applyAlignment="1">
      <alignment horizontal="center" vertical="center" wrapText="1"/>
    </xf>
    <xf numFmtId="0" fontId="14" fillId="6" borderId="14" xfId="0" applyFont="1" applyFill="1" applyBorder="1" applyAlignment="1">
      <alignment horizontal="center"/>
    </xf>
    <xf numFmtId="0" fontId="14" fillId="6" borderId="27" xfId="0" applyFont="1" applyFill="1" applyBorder="1"/>
    <xf numFmtId="0" fontId="14" fillId="6" borderId="27" xfId="0" applyFont="1" applyFill="1" applyBorder="1" applyAlignment="1">
      <alignment horizontal="center"/>
    </xf>
    <xf numFmtId="166" fontId="14" fillId="6" borderId="27" xfId="0" applyNumberFormat="1" applyFont="1" applyFill="1" applyBorder="1"/>
    <xf numFmtId="172" fontId="14" fillId="6" borderId="27" xfId="2" applyNumberFormat="1" applyFont="1" applyFill="1" applyBorder="1"/>
    <xf numFmtId="172" fontId="14" fillId="6" borderId="28" xfId="2" applyNumberFormat="1" applyFont="1" applyFill="1" applyBorder="1"/>
    <xf numFmtId="0" fontId="14" fillId="6" borderId="12" xfId="0" applyFont="1" applyFill="1" applyBorder="1" applyAlignment="1">
      <alignment horizontal="center"/>
    </xf>
    <xf numFmtId="0" fontId="14" fillId="6" borderId="13" xfId="0" applyFont="1" applyFill="1" applyBorder="1"/>
    <xf numFmtId="0" fontId="14" fillId="6" borderId="13" xfId="0" applyFont="1" applyFill="1" applyBorder="1" applyAlignment="1">
      <alignment horizontal="center"/>
    </xf>
    <xf numFmtId="166" fontId="14" fillId="6" borderId="13" xfId="0" applyNumberFormat="1" applyFont="1" applyFill="1" applyBorder="1"/>
    <xf numFmtId="172" fontId="14" fillId="6" borderId="13" xfId="2" applyNumberFormat="1" applyFont="1" applyFill="1" applyBorder="1"/>
    <xf numFmtId="172" fontId="14" fillId="6" borderId="20" xfId="2" applyNumberFormat="1" applyFont="1" applyFill="1" applyBorder="1"/>
    <xf numFmtId="0" fontId="14" fillId="6" borderId="13" xfId="95" applyFont="1" applyFill="1" applyBorder="1"/>
    <xf numFmtId="0" fontId="14" fillId="6" borderId="13" xfId="95" applyFont="1" applyFill="1" applyBorder="1" applyAlignment="1">
      <alignment horizontal="center"/>
    </xf>
    <xf numFmtId="0" fontId="15" fillId="6" borderId="12" xfId="0" applyFont="1" applyFill="1" applyBorder="1"/>
    <xf numFmtId="0" fontId="15" fillId="6" borderId="13" xfId="0" applyFont="1" applyFill="1" applyBorder="1"/>
    <xf numFmtId="0" fontId="15" fillId="6" borderId="13" xfId="0" applyFont="1" applyFill="1" applyBorder="1" applyAlignment="1">
      <alignment horizontal="center"/>
    </xf>
    <xf numFmtId="3" fontId="15" fillId="6" borderId="13" xfId="2" applyNumberFormat="1" applyFont="1" applyFill="1" applyBorder="1" applyAlignment="1"/>
    <xf numFmtId="0" fontId="15" fillId="6" borderId="13" xfId="0" applyFont="1" applyFill="1" applyBorder="1" applyAlignment="1">
      <alignment horizontal="right"/>
    </xf>
    <xf numFmtId="165" fontId="15" fillId="6" borderId="13" xfId="2" applyNumberFormat="1" applyFont="1" applyFill="1" applyBorder="1"/>
    <xf numFmtId="165" fontId="24" fillId="6" borderId="13" xfId="2" applyNumberFormat="1" applyFont="1" applyFill="1" applyBorder="1"/>
    <xf numFmtId="165" fontId="24" fillId="6" borderId="20" xfId="2" applyNumberFormat="1" applyFont="1" applyFill="1" applyBorder="1"/>
    <xf numFmtId="0" fontId="15" fillId="6" borderId="12" xfId="0" applyFont="1" applyFill="1" applyBorder="1" applyAlignment="1">
      <alignment horizontal="center"/>
    </xf>
    <xf numFmtId="0" fontId="15" fillId="6" borderId="13"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5" fillId="6" borderId="12" xfId="0" applyFont="1" applyFill="1" applyBorder="1" applyAlignment="1">
      <alignment horizontal="center" vertical="top"/>
    </xf>
    <xf numFmtId="0" fontId="15" fillId="6" borderId="13" xfId="0" applyFont="1" applyFill="1" applyBorder="1" applyAlignment="1">
      <alignment horizontal="left" vertical="top" wrapText="1"/>
    </xf>
    <xf numFmtId="0" fontId="15" fillId="6" borderId="24" xfId="0" applyFont="1" applyFill="1" applyBorder="1" applyAlignment="1">
      <alignment horizontal="center" vertical="top" wrapText="1"/>
    </xf>
    <xf numFmtId="0" fontId="15" fillId="6" borderId="15" xfId="0" applyFont="1" applyFill="1" applyBorder="1" applyAlignment="1">
      <alignment horizontal="center"/>
    </xf>
    <xf numFmtId="3" fontId="14" fillId="6" borderId="27" xfId="2" applyNumberFormat="1" applyFont="1" applyFill="1" applyBorder="1" applyAlignment="1"/>
    <xf numFmtId="0" fontId="14" fillId="6" borderId="27" xfId="95" applyFont="1" applyFill="1" applyBorder="1"/>
    <xf numFmtId="0" fontId="14" fillId="6" borderId="27" xfId="95" applyFont="1" applyFill="1" applyBorder="1" applyAlignment="1">
      <alignment horizontal="right"/>
    </xf>
    <xf numFmtId="0" fontId="14" fillId="6" borderId="13" xfId="95" applyFont="1" applyFill="1" applyBorder="1" applyAlignment="1">
      <alignment horizontal="right"/>
    </xf>
    <xf numFmtId="2" fontId="14" fillId="6" borderId="13" xfId="95" applyNumberFormat="1" applyFont="1" applyFill="1" applyBorder="1"/>
    <xf numFmtId="2" fontId="14" fillId="6" borderId="13" xfId="95" applyNumberFormat="1" applyFont="1" applyFill="1" applyBorder="1" applyAlignment="1">
      <alignment horizontal="right"/>
    </xf>
    <xf numFmtId="165" fontId="15" fillId="6" borderId="20" xfId="2" applyNumberFormat="1" applyFont="1" applyFill="1" applyBorder="1"/>
    <xf numFmtId="0" fontId="21" fillId="6" borderId="0" xfId="0" applyFont="1" applyFill="1" applyAlignment="1">
      <alignment horizontal="center"/>
    </xf>
    <xf numFmtId="0" fontId="12" fillId="6" borderId="0" xfId="0" applyFont="1" applyFill="1"/>
    <xf numFmtId="0" fontId="11" fillId="6" borderId="0" xfId="0" applyFont="1" applyFill="1"/>
    <xf numFmtId="0" fontId="21" fillId="6" borderId="0" xfId="0" applyFont="1" applyFill="1"/>
    <xf numFmtId="0" fontId="14" fillId="6" borderId="0" xfId="0" applyFont="1" applyFill="1"/>
    <xf numFmtId="0" fontId="20" fillId="6" borderId="0" xfId="0" applyFont="1" applyFill="1" applyAlignment="1">
      <alignment horizontal="center"/>
    </xf>
    <xf numFmtId="0" fontId="21" fillId="6" borderId="0" xfId="0" applyFont="1" applyFill="1" applyAlignment="1">
      <alignment wrapText="1"/>
    </xf>
    <xf numFmtId="0" fontId="15" fillId="6" borderId="0" xfId="0" applyFont="1" applyFill="1"/>
    <xf numFmtId="0" fontId="15" fillId="6" borderId="0" xfId="0" applyFont="1" applyFill="1" applyAlignment="1">
      <alignment horizontal="center"/>
    </xf>
    <xf numFmtId="3" fontId="15" fillId="6" borderId="0" xfId="2" applyNumberFormat="1" applyFont="1" applyFill="1" applyBorder="1" applyAlignment="1"/>
    <xf numFmtId="0" fontId="15" fillId="6" borderId="0" xfId="0" applyFont="1" applyFill="1" applyAlignment="1">
      <alignment horizontal="right"/>
    </xf>
    <xf numFmtId="0" fontId="15" fillId="6" borderId="32" xfId="0" applyFont="1" applyFill="1" applyBorder="1"/>
    <xf numFmtId="0" fontId="21" fillId="6" borderId="0" xfId="0" applyFont="1" applyFill="1" applyAlignment="1">
      <alignment horizontal="center" vertical="center"/>
    </xf>
    <xf numFmtId="0" fontId="21" fillId="6" borderId="0" xfId="0" applyFont="1" applyFill="1" applyAlignment="1">
      <alignment vertical="center"/>
    </xf>
    <xf numFmtId="0" fontId="35" fillId="6" borderId="0" xfId="0" applyFont="1" applyFill="1" applyAlignment="1">
      <alignment horizontal="center"/>
    </xf>
    <xf numFmtId="0" fontId="35" fillId="6" borderId="0" xfId="0" applyFont="1" applyFill="1" applyAlignment="1">
      <alignment horizontal="right"/>
    </xf>
    <xf numFmtId="0" fontId="35" fillId="6" borderId="0" xfId="0" applyFont="1" applyFill="1" applyAlignment="1">
      <alignment vertical="center" wrapText="1"/>
    </xf>
    <xf numFmtId="0" fontId="35" fillId="6" borderId="0" xfId="0" applyFont="1" applyFill="1" applyAlignment="1">
      <alignment horizontal="center" vertical="center" wrapText="1"/>
    </xf>
    <xf numFmtId="0" fontId="14" fillId="6" borderId="16" xfId="0" applyFont="1" applyFill="1" applyBorder="1" applyAlignment="1">
      <alignment horizontal="center"/>
    </xf>
    <xf numFmtId="0" fontId="14" fillId="6" borderId="16" xfId="0" applyFont="1" applyFill="1" applyBorder="1"/>
    <xf numFmtId="3" fontId="40" fillId="6" borderId="16" xfId="2" applyNumberFormat="1" applyFont="1" applyFill="1" applyBorder="1" applyAlignment="1"/>
    <xf numFmtId="166" fontId="14" fillId="6" borderId="16" xfId="0" applyNumberFormat="1" applyFont="1" applyFill="1" applyBorder="1"/>
    <xf numFmtId="0" fontId="20" fillId="6" borderId="16" xfId="95" applyFont="1" applyFill="1" applyBorder="1"/>
    <xf numFmtId="172" fontId="14" fillId="6" borderId="16" xfId="2" applyNumberFormat="1" applyFont="1" applyFill="1" applyBorder="1"/>
    <xf numFmtId="0" fontId="36" fillId="6" borderId="0" xfId="95" applyFont="1" applyFill="1"/>
    <xf numFmtId="0" fontId="36" fillId="6" borderId="0" xfId="95" applyFont="1" applyFill="1" applyAlignment="1">
      <alignment horizontal="right"/>
    </xf>
    <xf numFmtId="0" fontId="36" fillId="6" borderId="0" xfId="0" applyFont="1" applyFill="1"/>
    <xf numFmtId="172" fontId="36" fillId="6" borderId="0" xfId="2" applyNumberFormat="1" applyFont="1" applyFill="1" applyBorder="1"/>
    <xf numFmtId="0" fontId="15" fillId="6" borderId="27" xfId="0" applyFont="1" applyFill="1" applyBorder="1"/>
    <xf numFmtId="165" fontId="35" fillId="6" borderId="0" xfId="2" applyNumberFormat="1" applyFont="1" applyFill="1" applyBorder="1"/>
    <xf numFmtId="0" fontId="23" fillId="6" borderId="0" xfId="0" applyFont="1" applyFill="1" applyAlignment="1">
      <alignment horizontal="left" vertical="center"/>
    </xf>
    <xf numFmtId="0" fontId="21" fillId="6" borderId="16" xfId="0" applyFont="1" applyFill="1" applyBorder="1" applyAlignment="1">
      <alignment horizontal="center"/>
    </xf>
    <xf numFmtId="0" fontId="15" fillId="6" borderId="16" xfId="0" applyFont="1" applyFill="1" applyBorder="1" applyAlignment="1">
      <alignment horizontal="center"/>
    </xf>
    <xf numFmtId="0" fontId="15" fillId="6" borderId="17" xfId="0" applyFont="1" applyFill="1" applyBorder="1" applyAlignment="1">
      <alignment horizontal="center"/>
    </xf>
    <xf numFmtId="0" fontId="15" fillId="6" borderId="11" xfId="0" applyFont="1" applyFill="1" applyBorder="1" applyAlignment="1">
      <alignment horizontal="center"/>
    </xf>
    <xf numFmtId="0" fontId="15" fillId="6" borderId="18" xfId="0" applyFont="1" applyFill="1" applyBorder="1" applyAlignment="1">
      <alignment horizontal="left"/>
    </xf>
    <xf numFmtId="0" fontId="15" fillId="6" borderId="18" xfId="0" applyFont="1" applyFill="1" applyBorder="1" applyAlignment="1">
      <alignment horizontal="center"/>
    </xf>
    <xf numFmtId="3" fontId="15" fillId="6" borderId="18" xfId="2" applyNumberFormat="1" applyFont="1" applyFill="1" applyBorder="1" applyAlignment="1"/>
    <xf numFmtId="0" fontId="21" fillId="6" borderId="18" xfId="0" applyFont="1" applyFill="1" applyBorder="1" applyAlignment="1">
      <alignment horizontal="center"/>
    </xf>
    <xf numFmtId="2" fontId="20" fillId="6" borderId="18" xfId="2" applyNumberFormat="1" applyFont="1" applyFill="1" applyBorder="1" applyAlignment="1">
      <alignment horizontal="left"/>
    </xf>
    <xf numFmtId="2" fontId="20" fillId="6" borderId="18" xfId="0" applyNumberFormat="1" applyFont="1" applyFill="1" applyBorder="1"/>
    <xf numFmtId="0" fontId="15" fillId="6" borderId="27" xfId="0" applyFont="1" applyFill="1" applyBorder="1" applyAlignment="1">
      <alignment horizontal="center"/>
    </xf>
    <xf numFmtId="165" fontId="14" fillId="6" borderId="27" xfId="2" applyNumberFormat="1" applyFont="1" applyFill="1" applyBorder="1"/>
    <xf numFmtId="165" fontId="14" fillId="6" borderId="27" xfId="2" applyNumberFormat="1" applyFont="1" applyFill="1" applyBorder="1" applyAlignment="1">
      <alignment horizontal="right"/>
    </xf>
    <xf numFmtId="0" fontId="15" fillId="6" borderId="28" xfId="0" applyFont="1" applyFill="1" applyBorder="1" applyAlignment="1">
      <alignment horizontal="center"/>
    </xf>
    <xf numFmtId="0" fontId="21" fillId="6" borderId="13" xfId="0" applyFont="1" applyFill="1" applyBorder="1" applyAlignment="1">
      <alignment horizontal="center"/>
    </xf>
    <xf numFmtId="0" fontId="21" fillId="6" borderId="13" xfId="0" applyFont="1" applyFill="1" applyBorder="1" applyAlignment="1">
      <alignment horizontal="right"/>
    </xf>
    <xf numFmtId="172" fontId="15" fillId="6" borderId="13" xfId="0" applyNumberFormat="1" applyFont="1" applyFill="1" applyBorder="1" applyAlignment="1">
      <alignment horizontal="center"/>
    </xf>
    <xf numFmtId="172" fontId="14" fillId="6" borderId="13" xfId="0" applyNumberFormat="1" applyFont="1" applyFill="1" applyBorder="1" applyAlignment="1">
      <alignment horizontal="center"/>
    </xf>
    <xf numFmtId="0" fontId="15" fillId="6" borderId="20" xfId="0" applyFont="1" applyFill="1" applyBorder="1" applyAlignment="1">
      <alignment horizontal="center"/>
    </xf>
    <xf numFmtId="3" fontId="40" fillId="6" borderId="13" xfId="2" applyNumberFormat="1" applyFont="1" applyFill="1" applyBorder="1" applyAlignment="1"/>
    <xf numFmtId="2" fontId="20" fillId="6" borderId="13" xfId="0" applyNumberFormat="1" applyFont="1" applyFill="1" applyBorder="1"/>
    <xf numFmtId="172" fontId="14" fillId="6" borderId="13" xfId="0" applyNumberFormat="1" applyFont="1" applyFill="1" applyBorder="1"/>
    <xf numFmtId="172" fontId="14" fillId="6" borderId="20" xfId="0" applyNumberFormat="1" applyFont="1" applyFill="1" applyBorder="1"/>
    <xf numFmtId="0" fontId="15" fillId="6" borderId="14" xfId="0" applyFont="1" applyFill="1" applyBorder="1"/>
    <xf numFmtId="3" fontId="15" fillId="6" borderId="27" xfId="2" applyNumberFormat="1" applyFont="1" applyFill="1" applyBorder="1" applyAlignment="1"/>
    <xf numFmtId="0" fontId="15" fillId="6" borderId="27" xfId="0" applyFont="1" applyFill="1" applyBorder="1" applyAlignment="1">
      <alignment horizontal="right"/>
    </xf>
    <xf numFmtId="165" fontId="15" fillId="6" borderId="13" xfId="2" applyNumberFormat="1" applyFont="1" applyFill="1" applyBorder="1" applyAlignment="1">
      <alignment horizontal="right"/>
    </xf>
    <xf numFmtId="165" fontId="15" fillId="6" borderId="20" xfId="2" applyNumberFormat="1" applyFont="1" applyFill="1" applyBorder="1" applyAlignment="1">
      <alignment horizontal="right"/>
    </xf>
    <xf numFmtId="2" fontId="20" fillId="6" borderId="13" xfId="0" applyNumberFormat="1" applyFont="1" applyFill="1" applyBorder="1" applyAlignment="1">
      <alignment horizontal="right"/>
    </xf>
    <xf numFmtId="0" fontId="24" fillId="6" borderId="0" xfId="0" applyFont="1" applyFill="1"/>
    <xf numFmtId="0" fontId="20" fillId="6" borderId="13" xfId="0" applyFont="1" applyFill="1" applyBorder="1"/>
    <xf numFmtId="1" fontId="20" fillId="6" borderId="13" xfId="0" applyNumberFormat="1" applyFont="1" applyFill="1" applyBorder="1"/>
    <xf numFmtId="1" fontId="20" fillId="6" borderId="13" xfId="0" applyNumberFormat="1" applyFont="1" applyFill="1" applyBorder="1" applyAlignment="1">
      <alignment horizontal="right"/>
    </xf>
    <xf numFmtId="165" fontId="14" fillId="6" borderId="13" xfId="2" applyNumberFormat="1" applyFont="1" applyFill="1" applyBorder="1" applyAlignment="1">
      <alignment horizontal="right"/>
    </xf>
    <xf numFmtId="49" fontId="15" fillId="6" borderId="13" xfId="0" applyNumberFormat="1" applyFont="1" applyFill="1" applyBorder="1"/>
    <xf numFmtId="2" fontId="21" fillId="6" borderId="13" xfId="0" applyNumberFormat="1" applyFont="1" applyFill="1" applyBorder="1"/>
    <xf numFmtId="2" fontId="21" fillId="6" borderId="13" xfId="0" applyNumberFormat="1" applyFont="1" applyFill="1" applyBorder="1" applyAlignment="1">
      <alignment horizontal="right"/>
    </xf>
    <xf numFmtId="0" fontId="15" fillId="6" borderId="13" xfId="0" applyFont="1" applyFill="1" applyBorder="1" applyAlignment="1">
      <alignment horizontal="left"/>
    </xf>
    <xf numFmtId="2" fontId="20" fillId="6" borderId="13" xfId="2" applyNumberFormat="1" applyFont="1" applyFill="1" applyBorder="1" applyAlignment="1">
      <alignment horizontal="left"/>
    </xf>
    <xf numFmtId="165" fontId="14" fillId="6" borderId="13" xfId="2" applyNumberFormat="1" applyFont="1" applyFill="1" applyBorder="1"/>
    <xf numFmtId="0" fontId="14" fillId="6" borderId="13" xfId="0" applyFont="1" applyFill="1" applyBorder="1" applyAlignment="1">
      <alignment horizontal="left"/>
    </xf>
    <xf numFmtId="2" fontId="20" fillId="6" borderId="13" xfId="2" applyNumberFormat="1" applyFont="1" applyFill="1" applyBorder="1" applyAlignment="1">
      <alignment horizontal="right"/>
    </xf>
    <xf numFmtId="165" fontId="14" fillId="6" borderId="20" xfId="2" applyNumberFormat="1" applyFont="1" applyFill="1" applyBorder="1"/>
    <xf numFmtId="4" fontId="16" fillId="6" borderId="13" xfId="0" applyNumberFormat="1" applyFont="1" applyFill="1" applyBorder="1" applyAlignment="1">
      <alignment horizontal="center"/>
    </xf>
    <xf numFmtId="165" fontId="16" fillId="6" borderId="13" xfId="2" applyNumberFormat="1" applyFont="1" applyFill="1" applyBorder="1" applyAlignment="1">
      <alignment horizontal="right"/>
    </xf>
    <xf numFmtId="0" fontId="21" fillId="6" borderId="13" xfId="0" applyFont="1" applyFill="1" applyBorder="1"/>
    <xf numFmtId="165" fontId="24" fillId="6" borderId="13" xfId="2" applyNumberFormat="1" applyFont="1" applyFill="1" applyBorder="1" applyAlignment="1"/>
    <xf numFmtId="165" fontId="24" fillId="6" borderId="20" xfId="2" applyNumberFormat="1" applyFont="1" applyFill="1" applyBorder="1" applyAlignment="1"/>
    <xf numFmtId="0" fontId="24" fillId="6" borderId="0" xfId="0" applyFont="1" applyFill="1" applyAlignment="1">
      <alignment horizontal="center"/>
    </xf>
    <xf numFmtId="0" fontId="15" fillId="6" borderId="13" xfId="0" applyFont="1" applyFill="1" applyBorder="1" applyAlignment="1">
      <alignment wrapText="1"/>
    </xf>
    <xf numFmtId="165" fontId="21" fillId="6" borderId="13" xfId="2" applyNumberFormat="1" applyFont="1" applyFill="1" applyBorder="1"/>
    <xf numFmtId="0" fontId="24" fillId="6" borderId="20" xfId="0" applyFont="1" applyFill="1" applyBorder="1"/>
    <xf numFmtId="165" fontId="20" fillId="6" borderId="13" xfId="2" applyNumberFormat="1" applyFont="1" applyFill="1" applyBorder="1"/>
    <xf numFmtId="2" fontId="14" fillId="6" borderId="13" xfId="0" applyNumberFormat="1" applyFont="1" applyFill="1" applyBorder="1"/>
    <xf numFmtId="165" fontId="15" fillId="6" borderId="13" xfId="2" applyNumberFormat="1" applyFont="1" applyFill="1" applyBorder="1" applyAlignment="1">
      <alignment horizontal="left" vertical="center"/>
    </xf>
    <xf numFmtId="165" fontId="15" fillId="6" borderId="13" xfId="2" applyNumberFormat="1" applyFont="1" applyFill="1" applyBorder="1" applyAlignment="1">
      <alignment horizontal="center"/>
    </xf>
    <xf numFmtId="43" fontId="21" fillId="6" borderId="13" xfId="2" applyFont="1" applyFill="1" applyBorder="1"/>
    <xf numFmtId="0" fontId="15" fillId="6" borderId="24" xfId="0" applyFont="1" applyFill="1" applyBorder="1"/>
    <xf numFmtId="165" fontId="15" fillId="6" borderId="25" xfId="2" applyNumberFormat="1" applyFont="1" applyFill="1" applyBorder="1"/>
    <xf numFmtId="165" fontId="15" fillId="6" borderId="25" xfId="2" applyNumberFormat="1" applyFont="1" applyFill="1" applyBorder="1" applyAlignment="1">
      <alignment horizontal="center"/>
    </xf>
    <xf numFmtId="3" fontId="15" fillId="6" borderId="25" xfId="2" applyNumberFormat="1" applyFont="1" applyFill="1" applyBorder="1" applyAlignment="1"/>
    <xf numFmtId="165" fontId="21" fillId="6" borderId="25" xfId="2" applyNumberFormat="1" applyFont="1" applyFill="1" applyBorder="1"/>
    <xf numFmtId="165" fontId="15" fillId="6" borderId="26" xfId="2" applyNumberFormat="1" applyFont="1" applyFill="1" applyBorder="1"/>
    <xf numFmtId="165" fontId="15" fillId="6" borderId="0" xfId="2" applyNumberFormat="1" applyFont="1" applyFill="1" applyBorder="1"/>
    <xf numFmtId="165" fontId="15" fillId="6" borderId="0" xfId="2" applyNumberFormat="1" applyFont="1" applyFill="1" applyBorder="1" applyAlignment="1">
      <alignment horizontal="center"/>
    </xf>
    <xf numFmtId="165" fontId="21" fillId="6" borderId="0" xfId="2" applyNumberFormat="1" applyFont="1" applyFill="1" applyBorder="1"/>
    <xf numFmtId="165" fontId="15" fillId="6" borderId="0" xfId="2" applyNumberFormat="1" applyFont="1" applyFill="1" applyBorder="1" applyAlignment="1"/>
    <xf numFmtId="0" fontId="23" fillId="6" borderId="0" xfId="0" applyFont="1" applyFill="1" applyAlignment="1">
      <alignment horizontal="left"/>
    </xf>
    <xf numFmtId="49" fontId="21" fillId="6" borderId="16" xfId="0" applyNumberFormat="1" applyFont="1" applyFill="1" applyBorder="1" applyAlignment="1">
      <alignment horizontal="center"/>
    </xf>
    <xf numFmtId="49" fontId="15" fillId="6" borderId="16" xfId="0" applyNumberFormat="1" applyFont="1" applyFill="1" applyBorder="1" applyAlignment="1">
      <alignment horizontal="center"/>
    </xf>
    <xf numFmtId="49" fontId="15" fillId="6" borderId="17" xfId="0" applyNumberFormat="1" applyFont="1" applyFill="1" applyBorder="1" applyAlignment="1">
      <alignment horizontal="center"/>
    </xf>
    <xf numFmtId="0" fontId="14" fillId="6" borderId="11" xfId="0" applyFont="1" applyFill="1" applyBorder="1" applyAlignment="1">
      <alignment horizontal="center"/>
    </xf>
    <xf numFmtId="0" fontId="14" fillId="6" borderId="18" xfId="0" applyFont="1" applyFill="1" applyBorder="1" applyAlignment="1">
      <alignment horizontal="left"/>
    </xf>
    <xf numFmtId="0" fontId="14" fillId="6" borderId="18" xfId="0" applyFont="1" applyFill="1" applyBorder="1" applyAlignment="1">
      <alignment horizontal="center"/>
    </xf>
    <xf numFmtId="166" fontId="14" fillId="6" borderId="18" xfId="0" applyNumberFormat="1" applyFont="1" applyFill="1" applyBorder="1"/>
    <xf numFmtId="2" fontId="20" fillId="6" borderId="18" xfId="0" applyNumberFormat="1" applyFont="1" applyFill="1" applyBorder="1" applyAlignment="1">
      <alignment horizontal="right"/>
    </xf>
    <xf numFmtId="2" fontId="20" fillId="6" borderId="18" xfId="0" applyNumberFormat="1" applyFont="1" applyFill="1" applyBorder="1" applyAlignment="1" applyProtection="1">
      <alignment horizontal="right"/>
      <protection locked="0"/>
    </xf>
    <xf numFmtId="166" fontId="14" fillId="6" borderId="18" xfId="0" applyNumberFormat="1" applyFont="1" applyFill="1" applyBorder="1" applyAlignment="1">
      <alignment horizontal="right"/>
    </xf>
    <xf numFmtId="166" fontId="14" fillId="6" borderId="18" xfId="2" applyNumberFormat="1" applyFont="1" applyFill="1" applyBorder="1" applyAlignment="1">
      <alignment horizontal="right"/>
    </xf>
    <xf numFmtId="166" fontId="14" fillId="6" borderId="19" xfId="0" applyNumberFormat="1" applyFont="1" applyFill="1" applyBorder="1" applyAlignment="1">
      <alignment horizontal="right"/>
    </xf>
    <xf numFmtId="2" fontId="20" fillId="6" borderId="13" xfId="0" applyNumberFormat="1" applyFont="1" applyFill="1" applyBorder="1" applyAlignment="1" applyProtection="1">
      <alignment horizontal="right"/>
      <protection locked="0"/>
    </xf>
    <xf numFmtId="166" fontId="14" fillId="6" borderId="13" xfId="0" applyNumberFormat="1" applyFont="1" applyFill="1" applyBorder="1" applyAlignment="1">
      <alignment horizontal="right"/>
    </xf>
    <xf numFmtId="166" fontId="14" fillId="6" borderId="13" xfId="2" applyNumberFormat="1" applyFont="1" applyFill="1" applyBorder="1" applyAlignment="1">
      <alignment horizontal="right"/>
    </xf>
    <xf numFmtId="166" fontId="14" fillId="6" borderId="20" xfId="0" applyNumberFormat="1" applyFont="1" applyFill="1" applyBorder="1" applyAlignment="1">
      <alignment horizontal="right"/>
    </xf>
    <xf numFmtId="0" fontId="14" fillId="6" borderId="30" xfId="0" applyFont="1" applyFill="1" applyBorder="1" applyAlignment="1">
      <alignment horizontal="center"/>
    </xf>
    <xf numFmtId="4" fontId="16" fillId="6" borderId="30" xfId="0" applyNumberFormat="1" applyFont="1" applyFill="1" applyBorder="1" applyAlignment="1">
      <alignment horizontal="center"/>
    </xf>
    <xf numFmtId="165" fontId="16" fillId="6" borderId="30" xfId="2" applyNumberFormat="1" applyFont="1" applyFill="1" applyBorder="1" applyAlignment="1">
      <alignment horizontal="right"/>
    </xf>
    <xf numFmtId="2" fontId="20" fillId="6" borderId="30" xfId="0" applyNumberFormat="1" applyFont="1" applyFill="1" applyBorder="1" applyAlignment="1">
      <alignment horizontal="right"/>
    </xf>
    <xf numFmtId="2" fontId="20" fillId="6" borderId="30" xfId="0" applyNumberFormat="1" applyFont="1" applyFill="1" applyBorder="1"/>
    <xf numFmtId="166" fontId="14" fillId="6" borderId="30" xfId="0" applyNumberFormat="1" applyFont="1" applyFill="1" applyBorder="1" applyAlignment="1">
      <alignment horizontal="right"/>
    </xf>
    <xf numFmtId="166" fontId="14" fillId="6" borderId="30" xfId="2" applyNumberFormat="1" applyFont="1" applyFill="1" applyBorder="1" applyAlignment="1">
      <alignment horizontal="right"/>
    </xf>
    <xf numFmtId="166" fontId="14" fillId="6" borderId="33" xfId="0" applyNumberFormat="1" applyFont="1" applyFill="1" applyBorder="1" applyAlignment="1">
      <alignment horizontal="right"/>
    </xf>
    <xf numFmtId="0" fontId="15" fillId="6" borderId="15" xfId="0" applyFont="1" applyFill="1" applyBorder="1"/>
    <xf numFmtId="0" fontId="15" fillId="6" borderId="16" xfId="0" applyFont="1" applyFill="1" applyBorder="1"/>
    <xf numFmtId="3" fontId="15" fillId="6" borderId="16" xfId="2" applyNumberFormat="1" applyFont="1" applyFill="1" applyBorder="1" applyAlignment="1"/>
    <xf numFmtId="0" fontId="21" fillId="6" borderId="16" xfId="0" applyFont="1" applyFill="1" applyBorder="1"/>
    <xf numFmtId="0" fontId="21" fillId="6" borderId="16" xfId="0" applyFont="1" applyFill="1" applyBorder="1" applyAlignment="1">
      <alignment horizontal="right"/>
    </xf>
    <xf numFmtId="165" fontId="15" fillId="6" borderId="16" xfId="2" applyNumberFormat="1" applyFont="1" applyFill="1" applyBorder="1"/>
    <xf numFmtId="165" fontId="15" fillId="6" borderId="17" xfId="2" applyNumberFormat="1" applyFont="1" applyFill="1" applyBorder="1"/>
    <xf numFmtId="0" fontId="15" fillId="6" borderId="18" xfId="0" applyFont="1" applyFill="1" applyBorder="1"/>
    <xf numFmtId="49" fontId="20" fillId="6" borderId="18" xfId="0" applyNumberFormat="1" applyFont="1" applyFill="1" applyBorder="1" applyAlignment="1">
      <alignment horizontal="right"/>
    </xf>
    <xf numFmtId="165" fontId="15" fillId="6" borderId="18" xfId="2" applyNumberFormat="1" applyFont="1" applyFill="1" applyBorder="1" applyAlignment="1"/>
    <xf numFmtId="165" fontId="15" fillId="6" borderId="19" xfId="2" applyNumberFormat="1" applyFont="1" applyFill="1" applyBorder="1" applyAlignment="1"/>
    <xf numFmtId="49" fontId="20" fillId="6" borderId="13" xfId="0" applyNumberFormat="1" applyFont="1" applyFill="1" applyBorder="1" applyAlignment="1">
      <alignment horizontal="right"/>
    </xf>
    <xf numFmtId="165" fontId="15" fillId="6" borderId="13" xfId="2" applyNumberFormat="1" applyFont="1" applyFill="1" applyBorder="1" applyAlignment="1"/>
    <xf numFmtId="165" fontId="15" fillId="6" borderId="20" xfId="2" applyNumberFormat="1" applyFont="1" applyFill="1" applyBorder="1" applyAlignment="1"/>
    <xf numFmtId="0" fontId="15" fillId="6" borderId="21" xfId="0" applyFont="1" applyFill="1" applyBorder="1" applyAlignment="1">
      <alignment horizontal="center"/>
    </xf>
    <xf numFmtId="0" fontId="15" fillId="6" borderId="22" xfId="0" applyFont="1" applyFill="1" applyBorder="1"/>
    <xf numFmtId="0" fontId="15" fillId="6" borderId="22" xfId="0" applyFont="1" applyFill="1" applyBorder="1" applyAlignment="1">
      <alignment horizontal="center"/>
    </xf>
    <xf numFmtId="3" fontId="15" fillId="6" borderId="22" xfId="2" applyNumberFormat="1" applyFont="1" applyFill="1" applyBorder="1" applyAlignment="1"/>
    <xf numFmtId="0" fontId="21" fillId="6" borderId="22" xfId="0" applyFont="1" applyFill="1" applyBorder="1"/>
    <xf numFmtId="2" fontId="21" fillId="6" borderId="22" xfId="0" applyNumberFormat="1" applyFont="1" applyFill="1" applyBorder="1" applyAlignment="1">
      <alignment horizontal="right"/>
    </xf>
    <xf numFmtId="165" fontId="15" fillId="6" borderId="22" xfId="2" applyNumberFormat="1" applyFont="1" applyFill="1" applyBorder="1"/>
    <xf numFmtId="165" fontId="15" fillId="6" borderId="22" xfId="2" applyNumberFormat="1" applyFont="1" applyFill="1" applyBorder="1" applyAlignment="1"/>
    <xf numFmtId="0" fontId="15" fillId="6" borderId="23" xfId="0" applyFont="1" applyFill="1" applyBorder="1"/>
    <xf numFmtId="0" fontId="14" fillId="6" borderId="43" xfId="0" applyFont="1" applyFill="1" applyBorder="1"/>
    <xf numFmtId="0" fontId="14" fillId="6" borderId="43" xfId="0" applyFont="1" applyFill="1" applyBorder="1" applyAlignment="1">
      <alignment horizontal="center"/>
    </xf>
    <xf numFmtId="3" fontId="14" fillId="6" borderId="43" xfId="2" applyNumberFormat="1" applyFont="1" applyFill="1" applyBorder="1" applyAlignment="1"/>
    <xf numFmtId="0" fontId="14" fillId="6" borderId="43" xfId="0" applyFont="1" applyFill="1" applyBorder="1" applyAlignment="1">
      <alignment horizontal="right"/>
    </xf>
    <xf numFmtId="0" fontId="15" fillId="6" borderId="14" xfId="0" applyFont="1" applyFill="1" applyBorder="1" applyAlignment="1">
      <alignment horizontal="center"/>
    </xf>
    <xf numFmtId="0" fontId="21" fillId="6" borderId="27" xfId="0" applyFont="1" applyFill="1" applyBorder="1" applyAlignment="1">
      <alignment horizontal="center"/>
    </xf>
    <xf numFmtId="0" fontId="21" fillId="6" borderId="27" xfId="0" applyFont="1" applyFill="1" applyBorder="1" applyAlignment="1">
      <alignment horizontal="right"/>
    </xf>
    <xf numFmtId="166" fontId="14" fillId="6" borderId="20" xfId="0" applyNumberFormat="1" applyFont="1" applyFill="1" applyBorder="1"/>
    <xf numFmtId="2" fontId="14" fillId="6" borderId="13" xfId="0" applyNumberFormat="1" applyFont="1" applyFill="1" applyBorder="1" applyAlignment="1">
      <alignment horizontal="right"/>
    </xf>
    <xf numFmtId="0" fontId="15" fillId="6" borderId="20" xfId="0" applyFont="1" applyFill="1" applyBorder="1"/>
    <xf numFmtId="0" fontId="15" fillId="6" borderId="12" xfId="0" applyFont="1" applyFill="1" applyBorder="1" applyAlignment="1">
      <alignment horizontal="center" vertical="center"/>
    </xf>
    <xf numFmtId="0" fontId="15" fillId="6" borderId="0" xfId="0" applyFont="1" applyFill="1" applyAlignment="1">
      <alignment horizontal="left" vertical="center"/>
    </xf>
    <xf numFmtId="0" fontId="14" fillId="6" borderId="13" xfId="0" applyFont="1" applyFill="1" applyBorder="1" applyAlignment="1">
      <alignment horizontal="left" vertical="top" wrapText="1"/>
    </xf>
    <xf numFmtId="0" fontId="14" fillId="6" borderId="20" xfId="0" applyFont="1" applyFill="1" applyBorder="1" applyAlignment="1">
      <alignment horizontal="left" vertical="top" wrapText="1"/>
    </xf>
    <xf numFmtId="0" fontId="15" fillId="6" borderId="25" xfId="0" applyFont="1" applyFill="1" applyBorder="1"/>
    <xf numFmtId="0" fontId="15" fillId="6" borderId="25" xfId="0" applyFont="1" applyFill="1" applyBorder="1" applyAlignment="1">
      <alignment horizontal="center"/>
    </xf>
    <xf numFmtId="0" fontId="14" fillId="6" borderId="0" xfId="0" applyFont="1" applyFill="1" applyAlignment="1">
      <alignment horizontal="center"/>
    </xf>
    <xf numFmtId="3" fontId="14" fillId="6" borderId="0" xfId="0" applyNumberFormat="1" applyFont="1" applyFill="1"/>
    <xf numFmtId="0" fontId="14" fillId="6" borderId="0" xfId="0" applyFont="1" applyFill="1" applyAlignment="1">
      <alignment horizontal="right"/>
    </xf>
    <xf numFmtId="0" fontId="15" fillId="6" borderId="0" xfId="0" applyFont="1" applyFill="1" applyAlignment="1">
      <alignment horizontal="center" vertical="center"/>
    </xf>
    <xf numFmtId="0" fontId="15" fillId="6" borderId="0" xfId="0" applyFont="1" applyFill="1" applyAlignment="1">
      <alignment horizontal="right" vertical="center"/>
    </xf>
    <xf numFmtId="0" fontId="14" fillId="6" borderId="27" xfId="0" applyFont="1" applyFill="1" applyBorder="1" applyAlignment="1">
      <alignment horizontal="right"/>
    </xf>
    <xf numFmtId="3" fontId="14" fillId="6" borderId="27" xfId="0" applyNumberFormat="1" applyFont="1" applyFill="1" applyBorder="1"/>
    <xf numFmtId="3" fontId="14" fillId="6" borderId="27" xfId="0" applyNumberFormat="1" applyFont="1" applyFill="1" applyBorder="1" applyAlignment="1">
      <alignment horizontal="right"/>
    </xf>
    <xf numFmtId="3" fontId="14" fillId="6" borderId="28" xfId="0" applyNumberFormat="1" applyFont="1" applyFill="1" applyBorder="1"/>
    <xf numFmtId="0" fontId="14" fillId="6" borderId="13" xfId="0" applyFont="1" applyFill="1" applyBorder="1" applyAlignment="1">
      <alignment horizontal="right"/>
    </xf>
    <xf numFmtId="3" fontId="14" fillId="6" borderId="13" xfId="0" applyNumberFormat="1" applyFont="1" applyFill="1" applyBorder="1"/>
    <xf numFmtId="3" fontId="14" fillId="6" borderId="20" xfId="0" applyNumberFormat="1" applyFont="1" applyFill="1" applyBorder="1"/>
    <xf numFmtId="3" fontId="15" fillId="6" borderId="13" xfId="2" applyNumberFormat="1" applyFont="1" applyFill="1" applyBorder="1"/>
    <xf numFmtId="3" fontId="15" fillId="6" borderId="20" xfId="2" applyNumberFormat="1" applyFont="1" applyFill="1" applyBorder="1"/>
    <xf numFmtId="0" fontId="16" fillId="6" borderId="12" xfId="0" applyFont="1" applyFill="1" applyBorder="1" applyAlignment="1">
      <alignment horizontal="center"/>
    </xf>
    <xf numFmtId="0" fontId="16" fillId="6" borderId="13" xfId="0" applyFont="1" applyFill="1" applyBorder="1"/>
    <xf numFmtId="0" fontId="16" fillId="6" borderId="13" xfId="0" applyFont="1" applyFill="1" applyBorder="1" applyAlignment="1">
      <alignment horizontal="center"/>
    </xf>
    <xf numFmtId="0" fontId="16" fillId="6" borderId="13" xfId="0" applyFont="1" applyFill="1" applyBorder="1" applyAlignment="1">
      <alignment horizontal="right"/>
    </xf>
    <xf numFmtId="3" fontId="16" fillId="6" borderId="13" xfId="2" applyNumberFormat="1" applyFont="1" applyFill="1" applyBorder="1"/>
    <xf numFmtId="3" fontId="16" fillId="6" borderId="20" xfId="2" applyNumberFormat="1" applyFont="1" applyFill="1" applyBorder="1"/>
    <xf numFmtId="2" fontId="16" fillId="6" borderId="13" xfId="0" applyNumberFormat="1" applyFont="1" applyFill="1" applyBorder="1"/>
    <xf numFmtId="2" fontId="16" fillId="6" borderId="13" xfId="0" applyNumberFormat="1" applyFont="1" applyFill="1" applyBorder="1" applyAlignment="1">
      <alignment horizontal="right"/>
    </xf>
    <xf numFmtId="0" fontId="22" fillId="6" borderId="24" xfId="0" applyFont="1" applyFill="1" applyBorder="1"/>
    <xf numFmtId="0" fontId="22" fillId="6" borderId="25" xfId="0" applyFont="1" applyFill="1" applyBorder="1"/>
    <xf numFmtId="0" fontId="22" fillId="6" borderId="25" xfId="0" applyFont="1" applyFill="1" applyBorder="1" applyAlignment="1">
      <alignment horizontal="center"/>
    </xf>
    <xf numFmtId="0" fontId="22" fillId="6" borderId="25" xfId="0" applyFont="1" applyFill="1" applyBorder="1" applyAlignment="1">
      <alignment horizontal="right"/>
    </xf>
    <xf numFmtId="3" fontId="22" fillId="6" borderId="25" xfId="0" applyNumberFormat="1" applyFont="1" applyFill="1" applyBorder="1"/>
    <xf numFmtId="3" fontId="22" fillId="6" borderId="26" xfId="0" applyNumberFormat="1" applyFont="1" applyFill="1" applyBorder="1"/>
    <xf numFmtId="0" fontId="15" fillId="6" borderId="9" xfId="0" applyFont="1" applyFill="1" applyBorder="1" applyAlignment="1">
      <alignment horizontal="center"/>
    </xf>
    <xf numFmtId="165" fontId="14" fillId="6" borderId="16" xfId="0" applyNumberFormat="1" applyFont="1" applyFill="1" applyBorder="1"/>
    <xf numFmtId="3" fontId="15" fillId="6" borderId="16" xfId="2" applyNumberFormat="1" applyFont="1" applyFill="1" applyBorder="1"/>
    <xf numFmtId="3" fontId="15" fillId="6" borderId="0" xfId="2" applyNumberFormat="1" applyFont="1" applyFill="1" applyBorder="1"/>
    <xf numFmtId="0" fontId="14" fillId="6" borderId="0" xfId="0" applyFont="1" applyFill="1" applyAlignment="1">
      <alignment horizontal="left"/>
    </xf>
    <xf numFmtId="166" fontId="14" fillId="6" borderId="9" xfId="0" applyNumberFormat="1" applyFont="1" applyFill="1" applyBorder="1"/>
    <xf numFmtId="2" fontId="14" fillId="6" borderId="0" xfId="0" applyNumberFormat="1" applyFont="1" applyFill="1"/>
    <xf numFmtId="166" fontId="14" fillId="6" borderId="0" xfId="0" applyNumberFormat="1" applyFont="1" applyFill="1"/>
    <xf numFmtId="165" fontId="14" fillId="6" borderId="0" xfId="2" applyNumberFormat="1" applyFont="1" applyFill="1" applyBorder="1" applyAlignment="1">
      <alignment horizontal="left"/>
    </xf>
    <xf numFmtId="165" fontId="14" fillId="6" borderId="0" xfId="2" applyNumberFormat="1" applyFont="1" applyFill="1" applyBorder="1"/>
    <xf numFmtId="0" fontId="15" fillId="6" borderId="27" xfId="0" applyFont="1" applyFill="1" applyBorder="1" applyAlignment="1">
      <alignment horizontal="left"/>
    </xf>
    <xf numFmtId="165" fontId="15" fillId="6" borderId="27" xfId="2" applyNumberFormat="1" applyFont="1" applyFill="1" applyBorder="1"/>
    <xf numFmtId="2" fontId="15" fillId="6" borderId="27" xfId="0" applyNumberFormat="1" applyFont="1" applyFill="1" applyBorder="1"/>
    <xf numFmtId="2" fontId="15" fillId="6" borderId="27" xfId="0" applyNumberFormat="1" applyFont="1" applyFill="1" applyBorder="1" applyAlignment="1">
      <alignment horizontal="right"/>
    </xf>
    <xf numFmtId="3" fontId="15" fillId="6" borderId="27" xfId="0" applyNumberFormat="1" applyFont="1" applyFill="1" applyBorder="1" applyAlignment="1">
      <alignment horizontal="right"/>
    </xf>
    <xf numFmtId="3" fontId="15" fillId="6" borderId="27" xfId="2" applyNumberFormat="1" applyFont="1" applyFill="1" applyBorder="1" applyAlignment="1">
      <alignment horizontal="right"/>
    </xf>
    <xf numFmtId="0" fontId="15" fillId="6" borderId="28" xfId="0" applyFont="1" applyFill="1" applyBorder="1"/>
    <xf numFmtId="3" fontId="14" fillId="6" borderId="13" xfId="0" applyNumberFormat="1" applyFont="1" applyFill="1" applyBorder="1" applyAlignment="1">
      <alignment horizontal="right"/>
    </xf>
    <xf numFmtId="3" fontId="14" fillId="6" borderId="13" xfId="2" applyNumberFormat="1" applyFont="1" applyFill="1" applyBorder="1" applyAlignment="1">
      <alignment horizontal="right"/>
    </xf>
    <xf numFmtId="3" fontId="14" fillId="6" borderId="20" xfId="0" applyNumberFormat="1" applyFont="1" applyFill="1" applyBorder="1" applyAlignment="1">
      <alignment horizontal="right"/>
    </xf>
    <xf numFmtId="0" fontId="14" fillId="6" borderId="20" xfId="0" applyFont="1" applyFill="1" applyBorder="1" applyAlignment="1">
      <alignment horizontal="right"/>
    </xf>
    <xf numFmtId="3" fontId="15" fillId="6" borderId="13" xfId="2" applyNumberFormat="1" applyFont="1" applyFill="1" applyBorder="1" applyAlignment="1">
      <alignment horizontal="right"/>
    </xf>
    <xf numFmtId="3" fontId="15" fillId="6" borderId="20" xfId="2" applyNumberFormat="1" applyFont="1" applyFill="1" applyBorder="1" applyAlignment="1">
      <alignment horizontal="right"/>
    </xf>
    <xf numFmtId="2" fontId="15" fillId="6" borderId="13" xfId="0" applyNumberFormat="1" applyFont="1" applyFill="1" applyBorder="1"/>
    <xf numFmtId="2" fontId="15" fillId="6" borderId="13" xfId="0" applyNumberFormat="1" applyFont="1" applyFill="1" applyBorder="1" applyAlignment="1">
      <alignment horizontal="right"/>
    </xf>
    <xf numFmtId="3" fontId="15" fillId="6" borderId="13" xfId="0" applyNumberFormat="1" applyFont="1" applyFill="1" applyBorder="1" applyAlignment="1">
      <alignment horizontal="right"/>
    </xf>
    <xf numFmtId="0" fontId="15" fillId="6" borderId="13" xfId="0" applyFont="1" applyFill="1" applyBorder="1" applyAlignment="1">
      <alignment vertical="center"/>
    </xf>
    <xf numFmtId="0" fontId="15" fillId="6" borderId="13" xfId="0" applyFont="1" applyFill="1" applyBorder="1" applyAlignment="1">
      <alignment horizontal="left" vertical="center"/>
    </xf>
    <xf numFmtId="0" fontId="15" fillId="6" borderId="13" xfId="0" applyFont="1" applyFill="1" applyBorder="1" applyAlignment="1">
      <alignment horizontal="center" vertical="center"/>
    </xf>
    <xf numFmtId="165" fontId="15" fillId="6" borderId="13" xfId="2" applyNumberFormat="1" applyFont="1" applyFill="1" applyBorder="1" applyAlignment="1">
      <alignment horizontal="center" vertical="center"/>
    </xf>
    <xf numFmtId="0" fontId="15" fillId="6" borderId="13" xfId="0" applyFont="1" applyFill="1" applyBorder="1" applyAlignment="1">
      <alignment horizontal="right" vertical="center"/>
    </xf>
    <xf numFmtId="0" fontId="15" fillId="6" borderId="20" xfId="0" applyFont="1" applyFill="1" applyBorder="1" applyAlignment="1">
      <alignment horizontal="center" vertical="center"/>
    </xf>
    <xf numFmtId="49" fontId="15" fillId="6" borderId="13" xfId="0" applyNumberFormat="1" applyFont="1" applyFill="1" applyBorder="1" applyAlignment="1">
      <alignment horizontal="center"/>
    </xf>
    <xf numFmtId="49" fontId="15" fillId="6" borderId="20" xfId="0" applyNumberFormat="1" applyFont="1" applyFill="1" applyBorder="1" applyAlignment="1">
      <alignment horizontal="center"/>
    </xf>
    <xf numFmtId="49" fontId="14" fillId="6" borderId="13" xfId="0" applyNumberFormat="1" applyFont="1" applyFill="1" applyBorder="1" applyAlignment="1">
      <alignment horizontal="center"/>
    </xf>
    <xf numFmtId="49" fontId="14" fillId="6" borderId="13" xfId="0" applyNumberFormat="1" applyFont="1" applyFill="1" applyBorder="1" applyAlignment="1">
      <alignment horizontal="right"/>
    </xf>
    <xf numFmtId="3" fontId="14" fillId="6" borderId="13" xfId="2" applyNumberFormat="1" applyFont="1" applyFill="1" applyBorder="1"/>
    <xf numFmtId="3" fontId="14" fillId="6" borderId="20" xfId="2" applyNumberFormat="1" applyFont="1" applyFill="1" applyBorder="1"/>
    <xf numFmtId="49" fontId="14" fillId="6" borderId="13" xfId="0" applyNumberFormat="1" applyFont="1" applyFill="1" applyBorder="1"/>
    <xf numFmtId="0" fontId="15" fillId="6" borderId="12" xfId="0" applyFont="1" applyFill="1" applyBorder="1" applyAlignment="1">
      <alignment vertical="center"/>
    </xf>
    <xf numFmtId="165" fontId="15" fillId="6" borderId="13" xfId="2" applyNumberFormat="1" applyFont="1" applyFill="1" applyBorder="1" applyAlignment="1">
      <alignment vertical="center"/>
    </xf>
    <xf numFmtId="164" fontId="14" fillId="6" borderId="13" xfId="2" applyNumberFormat="1" applyFont="1" applyFill="1" applyBorder="1" applyAlignment="1">
      <alignment vertical="center"/>
    </xf>
    <xf numFmtId="165" fontId="15" fillId="6" borderId="20" xfId="2" applyNumberFormat="1" applyFont="1" applyFill="1" applyBorder="1" applyAlignment="1">
      <alignment vertical="center"/>
    </xf>
    <xf numFmtId="0" fontId="14" fillId="6" borderId="12" xfId="0" applyFont="1" applyFill="1" applyBorder="1"/>
    <xf numFmtId="0" fontId="14" fillId="6" borderId="20" xfId="0" applyFont="1" applyFill="1" applyBorder="1"/>
    <xf numFmtId="0" fontId="19" fillId="6" borderId="13" xfId="0" applyFont="1" applyFill="1" applyBorder="1" applyAlignment="1">
      <alignment horizontal="left"/>
    </xf>
    <xf numFmtId="0" fontId="15" fillId="6" borderId="13" xfId="0" applyFont="1" applyFill="1" applyBorder="1" applyAlignment="1">
      <alignment horizontal="left" vertical="center" wrapText="1"/>
    </xf>
    <xf numFmtId="0" fontId="15" fillId="6" borderId="25" xfId="0" applyFont="1" applyFill="1" applyBorder="1" applyAlignment="1">
      <alignment horizontal="right"/>
    </xf>
    <xf numFmtId="3" fontId="15" fillId="6" borderId="25" xfId="2" applyNumberFormat="1" applyFont="1" applyFill="1" applyBorder="1" applyAlignment="1">
      <alignment horizontal="right"/>
    </xf>
    <xf numFmtId="3" fontId="15" fillId="6" borderId="26" xfId="2" applyNumberFormat="1" applyFont="1" applyFill="1" applyBorder="1" applyAlignment="1">
      <alignment horizontal="right"/>
    </xf>
    <xf numFmtId="3" fontId="45" fillId="6" borderId="16" xfId="0" applyNumberFormat="1" applyFont="1" applyFill="1" applyBorder="1" applyAlignment="1">
      <alignment horizontal="right" vertical="center"/>
    </xf>
    <xf numFmtId="0" fontId="15" fillId="7" borderId="18" xfId="94" applyFont="1" applyFill="1" applyBorder="1" applyAlignment="1">
      <alignment horizontal="center" vertical="center" wrapText="1"/>
    </xf>
    <xf numFmtId="0" fontId="14" fillId="7" borderId="30" xfId="94" applyFont="1" applyFill="1" applyBorder="1" applyAlignment="1">
      <alignment horizontal="center" vertical="center" wrapText="1"/>
    </xf>
    <xf numFmtId="0" fontId="14" fillId="7" borderId="18" xfId="94" applyFont="1" applyFill="1" applyBorder="1" applyAlignment="1">
      <alignment horizontal="center" vertical="center" wrapText="1"/>
    </xf>
    <xf numFmtId="0" fontId="62" fillId="0" borderId="16" xfId="0" applyFont="1" applyBorder="1" applyAlignment="1">
      <alignment vertical="center" wrapText="1"/>
    </xf>
    <xf numFmtId="0" fontId="14" fillId="6" borderId="13" xfId="0" applyFont="1" applyFill="1" applyBorder="1" applyAlignment="1">
      <alignment vertical="center"/>
    </xf>
    <xf numFmtId="3" fontId="67" fillId="7" borderId="16" xfId="0" applyNumberFormat="1" applyFont="1" applyFill="1" applyBorder="1"/>
    <xf numFmtId="0" fontId="39" fillId="0" borderId="12" xfId="0" applyFont="1" applyBorder="1" applyAlignment="1">
      <alignment horizontal="center" vertical="center" wrapText="1"/>
    </xf>
    <xf numFmtId="0" fontId="39" fillId="0" borderId="13" xfId="0" applyFont="1" applyBorder="1" applyAlignment="1">
      <alignment vertical="center" wrapText="1"/>
    </xf>
    <xf numFmtId="1" fontId="39" fillId="0" borderId="13" xfId="0" applyNumberFormat="1" applyFont="1" applyBorder="1" applyAlignment="1">
      <alignment horizontal="center" vertical="center" wrapText="1"/>
    </xf>
    <xf numFmtId="1" fontId="39" fillId="0" borderId="13" xfId="2" applyNumberFormat="1" applyFont="1" applyBorder="1" applyAlignment="1">
      <alignment horizontal="center" vertical="center" wrapText="1"/>
    </xf>
    <xf numFmtId="165" fontId="39" fillId="0" borderId="20" xfId="2" applyNumberFormat="1" applyFont="1" applyBorder="1" applyAlignment="1">
      <alignment vertical="center" wrapText="1"/>
    </xf>
    <xf numFmtId="0" fontId="39" fillId="0" borderId="0" xfId="0" applyFont="1" applyAlignment="1">
      <alignment vertical="center" wrapText="1"/>
    </xf>
    <xf numFmtId="0" fontId="39" fillId="0" borderId="14" xfId="0" applyFont="1" applyBorder="1" applyAlignment="1">
      <alignment horizontal="center" vertical="center" wrapText="1"/>
    </xf>
    <xf numFmtId="0" fontId="39" fillId="0" borderId="16" xfId="0" applyFont="1" applyBorder="1" applyAlignment="1">
      <alignment vertical="center" wrapText="1"/>
    </xf>
    <xf numFmtId="1" fontId="39" fillId="0" borderId="13" xfId="2" applyNumberFormat="1" applyFont="1" applyFill="1" applyBorder="1" applyAlignment="1">
      <alignment horizontal="center" vertical="center" wrapText="1"/>
    </xf>
    <xf numFmtId="165" fontId="39" fillId="0" borderId="20" xfId="2" applyNumberFormat="1" applyFont="1" applyFill="1" applyBorder="1" applyAlignment="1">
      <alignment vertical="center" wrapText="1"/>
    </xf>
    <xf numFmtId="0" fontId="39" fillId="0" borderId="8" xfId="0" applyFont="1" applyBorder="1" applyAlignment="1">
      <alignment horizontal="center" vertical="center" wrapText="1"/>
    </xf>
    <xf numFmtId="0" fontId="39" fillId="0" borderId="9" xfId="0" applyFont="1" applyBorder="1" applyAlignment="1">
      <alignment vertical="center" wrapText="1"/>
    </xf>
    <xf numFmtId="0" fontId="14" fillId="7" borderId="0" xfId="0" applyFont="1" applyFill="1"/>
    <xf numFmtId="0" fontId="14" fillId="7" borderId="12" xfId="0" applyFont="1" applyFill="1" applyBorder="1" applyAlignment="1">
      <alignment horizontal="center"/>
    </xf>
    <xf numFmtId="0" fontId="14" fillId="7" borderId="13" xfId="0" applyFont="1" applyFill="1" applyBorder="1" applyAlignment="1">
      <alignment vertical="center" wrapText="1"/>
    </xf>
    <xf numFmtId="0" fontId="14" fillId="7" borderId="13" xfId="0" applyFont="1" applyFill="1" applyBorder="1" applyAlignment="1">
      <alignment horizontal="center"/>
    </xf>
    <xf numFmtId="0" fontId="14" fillId="7" borderId="13" xfId="0" applyFont="1" applyFill="1" applyBorder="1"/>
    <xf numFmtId="3" fontId="40" fillId="0" borderId="13" xfId="2" applyNumberFormat="1" applyFont="1" applyFill="1" applyBorder="1" applyAlignment="1"/>
    <xf numFmtId="166" fontId="14" fillId="0" borderId="13" xfId="0" applyNumberFormat="1" applyFont="1" applyBorder="1"/>
    <xf numFmtId="2" fontId="20" fillId="0" borderId="13" xfId="0" applyNumberFormat="1" applyFont="1" applyBorder="1" applyAlignment="1">
      <alignment horizontal="right"/>
    </xf>
    <xf numFmtId="2" fontId="20" fillId="0" borderId="13" xfId="0" applyNumberFormat="1" applyFont="1" applyBorder="1"/>
    <xf numFmtId="166" fontId="14" fillId="0" borderId="13" xfId="0" applyNumberFormat="1" applyFont="1" applyBorder="1" applyAlignment="1">
      <alignment horizontal="right"/>
    </xf>
    <xf numFmtId="166" fontId="14" fillId="0" borderId="13" xfId="2" applyNumberFormat="1" applyFont="1" applyFill="1" applyBorder="1" applyAlignment="1">
      <alignment horizontal="right"/>
    </xf>
    <xf numFmtId="166" fontId="14" fillId="0" borderId="20" xfId="0" applyNumberFormat="1" applyFont="1" applyBorder="1" applyAlignment="1">
      <alignment horizontal="right"/>
    </xf>
    <xf numFmtId="0" fontId="15" fillId="7" borderId="13" xfId="0" applyFont="1" applyFill="1" applyBorder="1"/>
    <xf numFmtId="0" fontId="14" fillId="7" borderId="13" xfId="0" applyFont="1" applyFill="1" applyBorder="1" applyAlignment="1">
      <alignment horizontal="left"/>
    </xf>
    <xf numFmtId="2" fontId="14" fillId="7" borderId="13" xfId="0" applyNumberFormat="1" applyFont="1" applyFill="1" applyBorder="1" applyAlignment="1">
      <alignment horizontal="center"/>
    </xf>
    <xf numFmtId="165" fontId="14" fillId="7" borderId="13" xfId="2" applyNumberFormat="1" applyFont="1" applyFill="1" applyBorder="1" applyAlignment="1">
      <alignment horizontal="right"/>
    </xf>
    <xf numFmtId="4" fontId="14" fillId="7" borderId="13" xfId="0" applyNumberFormat="1" applyFont="1" applyFill="1" applyBorder="1" applyAlignment="1">
      <alignment horizontal="right"/>
    </xf>
    <xf numFmtId="3" fontId="14" fillId="7" borderId="13" xfId="2" applyNumberFormat="1" applyFont="1" applyFill="1" applyBorder="1" applyAlignment="1">
      <alignment horizontal="right"/>
    </xf>
    <xf numFmtId="3" fontId="14" fillId="7" borderId="20" xfId="2" applyNumberFormat="1" applyFont="1" applyFill="1" applyBorder="1" applyAlignment="1">
      <alignment horizontal="right"/>
    </xf>
    <xf numFmtId="0" fontId="15" fillId="7" borderId="12" xfId="0" applyFont="1" applyFill="1" applyBorder="1" applyAlignment="1">
      <alignment horizontal="center"/>
    </xf>
    <xf numFmtId="0" fontId="15" fillId="7" borderId="13" xfId="0" applyFont="1" applyFill="1" applyBorder="1" applyAlignment="1">
      <alignment horizontal="center"/>
    </xf>
    <xf numFmtId="2" fontId="15" fillId="7" borderId="13" xfId="0" applyNumberFormat="1" applyFont="1" applyFill="1" applyBorder="1" applyAlignment="1">
      <alignment horizontal="center"/>
    </xf>
    <xf numFmtId="165" fontId="15" fillId="7" borderId="13" xfId="2" applyNumberFormat="1" applyFont="1" applyFill="1" applyBorder="1" applyAlignment="1">
      <alignment horizontal="right"/>
    </xf>
    <xf numFmtId="4" fontId="15" fillId="7" borderId="13" xfId="0" applyNumberFormat="1" applyFont="1" applyFill="1" applyBorder="1" applyAlignment="1">
      <alignment horizontal="right"/>
    </xf>
    <xf numFmtId="3" fontId="15" fillId="7" borderId="13" xfId="2" applyNumberFormat="1" applyFont="1" applyFill="1" applyBorder="1" applyAlignment="1">
      <alignment horizontal="right"/>
    </xf>
    <xf numFmtId="3" fontId="15" fillId="7" borderId="20" xfId="2" applyNumberFormat="1" applyFont="1" applyFill="1" applyBorder="1" applyAlignment="1">
      <alignment horizontal="right"/>
    </xf>
    <xf numFmtId="0" fontId="15" fillId="7" borderId="0" xfId="0" applyFont="1" applyFill="1"/>
    <xf numFmtId="49" fontId="14" fillId="7" borderId="13" xfId="0" applyNumberFormat="1" applyFont="1" applyFill="1" applyBorder="1" applyAlignment="1">
      <alignment horizontal="center"/>
    </xf>
    <xf numFmtId="0" fontId="14" fillId="7" borderId="13" xfId="0" applyFont="1" applyFill="1" applyBorder="1" applyAlignment="1">
      <alignment horizontal="right"/>
    </xf>
    <xf numFmtId="2" fontId="14" fillId="7" borderId="13" xfId="0" applyNumberFormat="1" applyFont="1" applyFill="1" applyBorder="1"/>
    <xf numFmtId="2" fontId="14" fillId="7" borderId="13" xfId="0" applyNumberFormat="1" applyFont="1" applyFill="1" applyBorder="1" applyAlignment="1">
      <alignment horizontal="right"/>
    </xf>
    <xf numFmtId="165" fontId="14" fillId="6" borderId="16" xfId="2" applyNumberFormat="1" applyFont="1" applyFill="1" applyBorder="1"/>
    <xf numFmtId="0" fontId="15" fillId="7" borderId="0" xfId="0" applyFont="1" applyFill="1" applyAlignment="1">
      <alignment horizontal="center" vertical="center" wrapText="1"/>
    </xf>
    <xf numFmtId="2" fontId="14" fillId="6" borderId="16" xfId="0" applyNumberFormat="1" applyFont="1" applyFill="1" applyBorder="1"/>
    <xf numFmtId="3" fontId="14" fillId="7" borderId="13" xfId="0" applyNumberFormat="1" applyFont="1" applyFill="1" applyBorder="1" applyAlignment="1">
      <alignment horizontal="right"/>
    </xf>
    <xf numFmtId="49" fontId="14" fillId="7" borderId="13" xfId="0" applyNumberFormat="1" applyFont="1" applyFill="1" applyBorder="1" applyAlignment="1">
      <alignment horizontal="right"/>
    </xf>
    <xf numFmtId="0" fontId="14" fillId="7" borderId="12" xfId="0" applyFont="1" applyFill="1" applyBorder="1" applyAlignment="1">
      <alignment horizontal="center" vertical="center" wrapText="1"/>
    </xf>
    <xf numFmtId="0" fontId="14" fillId="7" borderId="13" xfId="0" applyFont="1" applyFill="1" applyBorder="1" applyAlignment="1">
      <alignment horizontal="left" vertical="center" wrapText="1"/>
    </xf>
    <xf numFmtId="0" fontId="14" fillId="7" borderId="13" xfId="0" applyFont="1" applyFill="1" applyBorder="1" applyAlignment="1">
      <alignment horizontal="center" vertical="center" wrapText="1"/>
    </xf>
    <xf numFmtId="3" fontId="15" fillId="7" borderId="13" xfId="0" applyNumberFormat="1" applyFont="1" applyFill="1" applyBorder="1" applyAlignment="1">
      <alignment horizontal="right"/>
    </xf>
    <xf numFmtId="0" fontId="15" fillId="7" borderId="13" xfId="0" applyFont="1" applyFill="1" applyBorder="1" applyAlignment="1">
      <alignment horizontal="center" vertical="center" wrapText="1"/>
    </xf>
    <xf numFmtId="0" fontId="15" fillId="7" borderId="20" xfId="0" applyFont="1" applyFill="1" applyBorder="1" applyAlignment="1">
      <alignment horizontal="center" vertical="center" wrapText="1"/>
    </xf>
    <xf numFmtId="4" fontId="14" fillId="6" borderId="13" xfId="0" applyNumberFormat="1" applyFont="1" applyFill="1" applyBorder="1"/>
    <xf numFmtId="49" fontId="14" fillId="7" borderId="13" xfId="0" applyNumberFormat="1" applyFont="1" applyFill="1" applyBorder="1"/>
    <xf numFmtId="0" fontId="14" fillId="7" borderId="20" xfId="0" applyFont="1" applyFill="1" applyBorder="1"/>
    <xf numFmtId="0" fontId="14" fillId="0" borderId="16" xfId="0" applyFont="1" applyBorder="1" applyAlignment="1">
      <alignment horizontal="center"/>
    </xf>
    <xf numFmtId="0" fontId="14" fillId="0" borderId="16" xfId="0" applyFont="1" applyBorder="1" applyAlignment="1">
      <alignment vertical="center" wrapText="1"/>
    </xf>
    <xf numFmtId="3" fontId="40" fillId="0" borderId="16" xfId="2" applyNumberFormat="1" applyFont="1" applyFill="1" applyBorder="1" applyAlignment="1"/>
    <xf numFmtId="166" fontId="14" fillId="0" borderId="16" xfId="0" applyNumberFormat="1" applyFont="1" applyBorder="1"/>
    <xf numFmtId="0" fontId="20" fillId="0" borderId="16" xfId="95" applyFont="1" applyBorder="1"/>
    <xf numFmtId="172" fontId="14" fillId="0" borderId="16" xfId="2" applyNumberFormat="1" applyFont="1" applyFill="1" applyBorder="1"/>
    <xf numFmtId="0" fontId="36" fillId="0" borderId="0" xfId="95" applyFont="1"/>
    <xf numFmtId="0" fontId="36" fillId="0" borderId="0" xfId="95" applyFont="1" applyAlignment="1">
      <alignment horizontal="right"/>
    </xf>
    <xf numFmtId="0" fontId="36" fillId="0" borderId="0" xfId="0" applyFont="1"/>
    <xf numFmtId="172" fontId="36" fillId="0" borderId="0" xfId="2" applyNumberFormat="1" applyFont="1" applyFill="1" applyBorder="1"/>
    <xf numFmtId="0" fontId="14" fillId="0" borderId="14" xfId="0" applyFont="1" applyBorder="1" applyAlignment="1">
      <alignment horizontal="center"/>
    </xf>
    <xf numFmtId="0" fontId="14" fillId="0" borderId="27" xfId="0" applyFont="1" applyBorder="1" applyAlignment="1">
      <alignment horizontal="center"/>
    </xf>
    <xf numFmtId="2" fontId="20" fillId="0" borderId="27" xfId="0" applyNumberFormat="1" applyFont="1" applyBorder="1"/>
    <xf numFmtId="172" fontId="14" fillId="0" borderId="13" xfId="0" applyNumberFormat="1" applyFont="1" applyBorder="1"/>
    <xf numFmtId="172" fontId="14" fillId="0" borderId="20" xfId="0" applyNumberFormat="1" applyFont="1" applyBorder="1"/>
    <xf numFmtId="2" fontId="20" fillId="0" borderId="13" xfId="2" applyNumberFormat="1" applyFont="1" applyFill="1" applyBorder="1" applyAlignment="1">
      <alignment horizontal="right"/>
    </xf>
    <xf numFmtId="165" fontId="14" fillId="0" borderId="13" xfId="2" applyNumberFormat="1" applyFont="1" applyFill="1" applyBorder="1"/>
    <xf numFmtId="165" fontId="14" fillId="0" borderId="20" xfId="2" applyNumberFormat="1" applyFont="1" applyFill="1" applyBorder="1"/>
    <xf numFmtId="166" fontId="14" fillId="0" borderId="20" xfId="0" applyNumberFormat="1" applyFont="1" applyBorder="1"/>
    <xf numFmtId="0" fontId="42" fillId="0" borderId="13" xfId="0" applyFont="1" applyBorder="1"/>
    <xf numFmtId="165" fontId="14" fillId="0" borderId="27" xfId="2" applyNumberFormat="1" applyFont="1" applyFill="1" applyBorder="1"/>
    <xf numFmtId="49" fontId="14" fillId="0" borderId="13" xfId="0" applyNumberFormat="1" applyFont="1" applyBorder="1" applyAlignment="1">
      <alignment horizontal="right"/>
    </xf>
    <xf numFmtId="3" fontId="14" fillId="0" borderId="13" xfId="2" applyNumberFormat="1" applyFont="1" applyFill="1" applyBorder="1"/>
    <xf numFmtId="4" fontId="72" fillId="6" borderId="62" xfId="0" applyNumberFormat="1" applyFont="1" applyFill="1" applyBorder="1" applyAlignment="1">
      <alignment horizontal="right" vertical="center" wrapText="1"/>
    </xf>
    <xf numFmtId="0" fontId="13" fillId="7" borderId="16" xfId="0" applyFont="1" applyFill="1" applyBorder="1"/>
    <xf numFmtId="0" fontId="13" fillId="0" borderId="16" xfId="0" applyFont="1" applyBorder="1" applyAlignment="1">
      <alignment horizontal="center"/>
    </xf>
    <xf numFmtId="0" fontId="71" fillId="7" borderId="16" xfId="0" applyFont="1" applyFill="1" applyBorder="1"/>
    <xf numFmtId="165" fontId="69" fillId="7" borderId="16" xfId="2" applyNumberFormat="1" applyFont="1" applyFill="1" applyBorder="1" applyAlignment="1">
      <alignment horizontal="right"/>
    </xf>
    <xf numFmtId="165" fontId="69" fillId="7" borderId="16" xfId="2" applyNumberFormat="1" applyFont="1" applyFill="1" applyBorder="1" applyAlignment="1">
      <alignment horizontal="center" vertical="center"/>
    </xf>
    <xf numFmtId="0" fontId="73" fillId="0" borderId="11" xfId="0" applyFont="1" applyBorder="1" applyAlignment="1">
      <alignment horizontal="center" vertical="center" wrapText="1"/>
    </xf>
    <xf numFmtId="0" fontId="73" fillId="0" borderId="18" xfId="0" applyFont="1" applyBorder="1" applyAlignment="1">
      <alignment vertical="center" wrapText="1"/>
    </xf>
    <xf numFmtId="0" fontId="73" fillId="0" borderId="13" xfId="0" applyFont="1" applyBorder="1" applyAlignment="1">
      <alignment horizontal="left" vertical="center" wrapText="1"/>
    </xf>
    <xf numFmtId="3" fontId="46" fillId="0" borderId="16" xfId="2" applyNumberFormat="1" applyFont="1" applyFill="1" applyBorder="1" applyAlignment="1">
      <alignment vertical="center"/>
    </xf>
    <xf numFmtId="3" fontId="45" fillId="0" borderId="16" xfId="2" applyNumberFormat="1" applyFont="1" applyFill="1" applyBorder="1" applyAlignment="1">
      <alignment vertical="center"/>
    </xf>
    <xf numFmtId="3" fontId="15" fillId="0" borderId="42" xfId="0" applyNumberFormat="1" applyFont="1" applyBorder="1" applyAlignment="1">
      <alignment horizontal="center" vertical="center" wrapText="1"/>
    </xf>
    <xf numFmtId="49" fontId="15" fillId="0" borderId="66"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49" fontId="14" fillId="0" borderId="16"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45" xfId="0" applyNumberFormat="1" applyFont="1" applyBorder="1" applyAlignment="1">
      <alignment horizontal="center" vertical="center" wrapText="1"/>
    </xf>
    <xf numFmtId="49" fontId="15" fillId="0" borderId="28" xfId="0" applyNumberFormat="1" applyFont="1" applyBorder="1" applyAlignment="1">
      <alignment horizontal="center" vertical="center" wrapText="1"/>
    </xf>
    <xf numFmtId="49" fontId="14" fillId="0" borderId="20" xfId="0" applyNumberFormat="1" applyFont="1" applyBorder="1" applyAlignment="1">
      <alignment horizontal="center" vertical="center" wrapText="1"/>
    </xf>
    <xf numFmtId="49" fontId="14" fillId="0" borderId="33" xfId="0" applyNumberFormat="1" applyFont="1" applyBorder="1" applyAlignment="1">
      <alignment horizontal="center" vertical="center" wrapText="1"/>
    </xf>
    <xf numFmtId="3" fontId="14" fillId="0" borderId="43" xfId="2" applyNumberFormat="1" applyFont="1" applyFill="1" applyBorder="1" applyAlignment="1">
      <alignment vertical="center" wrapText="1"/>
    </xf>
    <xf numFmtId="0" fontId="15" fillId="0" borderId="42" xfId="0" applyFont="1" applyBorder="1" applyAlignment="1">
      <alignment horizontal="left" vertical="center" wrapText="1"/>
    </xf>
    <xf numFmtId="49" fontId="14" fillId="0" borderId="23" xfId="0" applyNumberFormat="1" applyFont="1" applyBorder="1" applyAlignment="1">
      <alignment horizontal="center" vertical="center" wrapText="1"/>
    </xf>
    <xf numFmtId="49" fontId="14" fillId="0" borderId="52" xfId="0" applyNumberFormat="1" applyFont="1" applyBorder="1" applyAlignment="1">
      <alignment horizontal="center" vertical="center" wrapText="1"/>
    </xf>
    <xf numFmtId="3" fontId="15" fillId="0" borderId="7" xfId="0" applyNumberFormat="1" applyFont="1" applyBorder="1" applyAlignment="1">
      <alignment horizontal="center" vertical="center" wrapText="1"/>
    </xf>
    <xf numFmtId="3" fontId="15" fillId="0" borderId="45" xfId="0" applyNumberFormat="1" applyFont="1" applyBorder="1" applyAlignment="1">
      <alignment horizontal="center" vertical="center" wrapText="1"/>
    </xf>
    <xf numFmtId="4" fontId="15" fillId="0" borderId="28" xfId="0" applyNumberFormat="1" applyFont="1" applyBorder="1" applyAlignment="1">
      <alignment horizontal="center" vertical="center" wrapText="1"/>
    </xf>
    <xf numFmtId="3" fontId="14" fillId="0" borderId="20" xfId="0" applyNumberFormat="1" applyFont="1" applyBorder="1" applyAlignment="1">
      <alignment horizontal="center" vertical="center" wrapText="1"/>
    </xf>
    <xf numFmtId="3" fontId="14" fillId="0" borderId="20" xfId="0" quotePrefix="1" applyNumberFormat="1" applyFont="1" applyBorder="1" applyAlignment="1">
      <alignment horizontal="center" vertical="center" wrapText="1"/>
    </xf>
    <xf numFmtId="3" fontId="14" fillId="0" borderId="0" xfId="2" applyNumberFormat="1" applyFont="1" applyFill="1" applyBorder="1" applyAlignment="1">
      <alignment vertical="center" wrapText="1"/>
    </xf>
    <xf numFmtId="3" fontId="37" fillId="0" borderId="42" xfId="0" applyNumberFormat="1" applyFont="1" applyBorder="1" applyAlignment="1">
      <alignment horizontal="center" vertical="center" wrapText="1"/>
    </xf>
    <xf numFmtId="49" fontId="15" fillId="0" borderId="52" xfId="0" applyNumberFormat="1" applyFont="1" applyBorder="1" applyAlignment="1">
      <alignment horizontal="center" vertical="center" wrapText="1"/>
    </xf>
    <xf numFmtId="49" fontId="14" fillId="0" borderId="35" xfId="0" applyNumberFormat="1" applyFont="1" applyBorder="1" applyAlignment="1">
      <alignment horizontal="center" vertical="center" wrapText="1"/>
    </xf>
    <xf numFmtId="49" fontId="14" fillId="0" borderId="13" xfId="0" applyNumberFormat="1" applyFont="1" applyBorder="1" applyAlignment="1">
      <alignment horizontal="center" vertical="center" wrapText="1"/>
    </xf>
    <xf numFmtId="3" fontId="14" fillId="0" borderId="18" xfId="0" applyNumberFormat="1" applyFont="1" applyBorder="1" applyAlignment="1">
      <alignment vertical="center" wrapText="1"/>
    </xf>
    <xf numFmtId="3" fontId="14" fillId="0" borderId="0" xfId="0" applyNumberFormat="1" applyFont="1" applyAlignment="1">
      <alignment vertical="center" wrapText="1"/>
    </xf>
    <xf numFmtId="0" fontId="40" fillId="0" borderId="27" xfId="0" applyFont="1" applyBorder="1"/>
    <xf numFmtId="0" fontId="70" fillId="0" borderId="16" xfId="0" applyFont="1" applyBorder="1" applyAlignment="1">
      <alignment horizontal="center"/>
    </xf>
    <xf numFmtId="0" fontId="70" fillId="0" borderId="16" xfId="0" applyFont="1" applyBorder="1"/>
    <xf numFmtId="0" fontId="70" fillId="0" borderId="0" xfId="0" applyFont="1"/>
    <xf numFmtId="0" fontId="40" fillId="0" borderId="14" xfId="0" applyFont="1" applyBorder="1" applyAlignment="1">
      <alignment horizontal="center"/>
    </xf>
    <xf numFmtId="0" fontId="40" fillId="0" borderId="13" xfId="0" applyFont="1" applyBorder="1"/>
    <xf numFmtId="0" fontId="40" fillId="0" borderId="13" xfId="0" applyFont="1" applyBorder="1" applyAlignment="1">
      <alignment horizontal="center"/>
    </xf>
    <xf numFmtId="165" fontId="40" fillId="0" borderId="27" xfId="2" applyNumberFormat="1" applyFont="1" applyFill="1" applyBorder="1"/>
    <xf numFmtId="2" fontId="40" fillId="0" borderId="13" xfId="0" applyNumberFormat="1" applyFont="1" applyBorder="1"/>
    <xf numFmtId="0" fontId="40" fillId="0" borderId="13" xfId="0" applyFont="1" applyBorder="1" applyAlignment="1">
      <alignment horizontal="right"/>
    </xf>
    <xf numFmtId="3" fontId="40" fillId="0" borderId="13" xfId="0" applyNumberFormat="1" applyFont="1" applyBorder="1"/>
    <xf numFmtId="3" fontId="40" fillId="0" borderId="20" xfId="0" applyNumberFormat="1" applyFont="1" applyBorder="1"/>
    <xf numFmtId="0" fontId="40" fillId="0" borderId="0" xfId="0" applyFont="1"/>
    <xf numFmtId="0" fontId="14" fillId="0" borderId="13" xfId="0" applyFont="1" applyBorder="1" applyAlignment="1">
      <alignment horizontal="right"/>
    </xf>
    <xf numFmtId="3" fontId="14" fillId="0" borderId="20" xfId="0" applyNumberFormat="1" applyFont="1" applyBorder="1"/>
    <xf numFmtId="2" fontId="14" fillId="0" borderId="13" xfId="0" applyNumberFormat="1" applyFont="1" applyBorder="1" applyAlignment="1">
      <alignment horizontal="right"/>
    </xf>
    <xf numFmtId="0" fontId="14" fillId="7" borderId="13" xfId="0" applyFont="1" applyFill="1" applyBorder="1" applyAlignment="1">
      <alignment horizontal="left" vertical="center"/>
    </xf>
    <xf numFmtId="3" fontId="15" fillId="0" borderId="20" xfId="2" applyNumberFormat="1" applyFont="1" applyFill="1" applyBorder="1" applyAlignment="1">
      <alignment horizontal="right"/>
    </xf>
    <xf numFmtId="0" fontId="14" fillId="0" borderId="13" xfId="0" applyFont="1" applyBorder="1" applyAlignment="1">
      <alignment horizontal="left"/>
    </xf>
    <xf numFmtId="4" fontId="16" fillId="0" borderId="13" xfId="0" applyNumberFormat="1" applyFont="1" applyBorder="1" applyAlignment="1">
      <alignment horizontal="center"/>
    </xf>
    <xf numFmtId="0" fontId="15" fillId="0" borderId="24" xfId="0" applyFont="1" applyBorder="1"/>
    <xf numFmtId="0" fontId="15" fillId="0" borderId="25" xfId="0" applyFont="1" applyBorder="1"/>
    <xf numFmtId="0" fontId="15" fillId="0" borderId="25" xfId="0" applyFont="1" applyBorder="1" applyAlignment="1">
      <alignment horizontal="center"/>
    </xf>
    <xf numFmtId="3" fontId="15" fillId="0" borderId="25" xfId="2" applyNumberFormat="1" applyFont="1" applyFill="1" applyBorder="1" applyAlignment="1"/>
    <xf numFmtId="0" fontId="21" fillId="0" borderId="25" xfId="0" applyFont="1" applyBorder="1"/>
    <xf numFmtId="0" fontId="21" fillId="0" borderId="25" xfId="0" applyFont="1" applyBorder="1" applyAlignment="1">
      <alignment horizontal="right"/>
    </xf>
    <xf numFmtId="165" fontId="15" fillId="0" borderId="25" xfId="2" applyNumberFormat="1" applyFont="1" applyFill="1" applyBorder="1"/>
    <xf numFmtId="165" fontId="15" fillId="0" borderId="26" xfId="2" applyNumberFormat="1" applyFont="1" applyFill="1" applyBorder="1"/>
    <xf numFmtId="0" fontId="15" fillId="0" borderId="12" xfId="0" applyFont="1" applyBorder="1" applyAlignment="1">
      <alignment horizontal="center" vertical="center"/>
    </xf>
    <xf numFmtId="0" fontId="15" fillId="0" borderId="20" xfId="0" applyFont="1" applyBorder="1" applyAlignment="1">
      <alignment horizontal="left" vertical="center"/>
    </xf>
    <xf numFmtId="0" fontId="15" fillId="0" borderId="0" xfId="0" applyFont="1" applyAlignment="1">
      <alignment horizontal="left" vertical="center"/>
    </xf>
    <xf numFmtId="0" fontId="51" fillId="0" borderId="0" xfId="0" applyFont="1" applyAlignment="1">
      <alignment vertical="center"/>
    </xf>
    <xf numFmtId="0" fontId="45" fillId="0" borderId="16" xfId="0" applyFont="1" applyBorder="1" applyAlignment="1">
      <alignment horizontal="center" vertical="center" wrapText="1"/>
    </xf>
    <xf numFmtId="0" fontId="45" fillId="0" borderId="16" xfId="0" applyFont="1" applyBorder="1" applyAlignment="1">
      <alignment horizontal="left" vertical="center"/>
    </xf>
    <xf numFmtId="0" fontId="52" fillId="0" borderId="16" xfId="0" applyFont="1" applyBorder="1" applyAlignment="1">
      <alignment vertical="center" wrapText="1"/>
    </xf>
    <xf numFmtId="16" fontId="45" fillId="0" borderId="16" xfId="0" applyNumberFormat="1" applyFont="1" applyBorder="1" applyAlignment="1">
      <alignment horizontal="center" vertical="center"/>
    </xf>
    <xf numFmtId="0" fontId="46" fillId="0" borderId="16" xfId="0" applyFont="1" applyBorder="1" applyAlignment="1">
      <alignment horizontal="justify" vertical="center" wrapText="1"/>
    </xf>
    <xf numFmtId="0" fontId="46" fillId="0" borderId="16" xfId="0" applyFont="1" applyBorder="1" applyAlignment="1">
      <alignment horizontal="center" vertical="center" wrapText="1"/>
    </xf>
    <xf numFmtId="0" fontId="46" fillId="0" borderId="16" xfId="0" applyFont="1" applyBorder="1" applyAlignment="1">
      <alignment vertical="center" wrapText="1"/>
    </xf>
    <xf numFmtId="4" fontId="45" fillId="0" borderId="16" xfId="0" applyNumberFormat="1" applyFont="1" applyBorder="1" applyAlignment="1">
      <alignment vertical="center"/>
    </xf>
    <xf numFmtId="3" fontId="46" fillId="0" borderId="16" xfId="0" applyNumberFormat="1" applyFont="1" applyBorder="1" applyAlignment="1">
      <alignment horizontal="center" vertical="center"/>
    </xf>
    <xf numFmtId="4" fontId="45" fillId="0" borderId="16" xfId="2" applyNumberFormat="1" applyFont="1" applyFill="1" applyBorder="1" applyAlignment="1">
      <alignment vertical="center"/>
    </xf>
    <xf numFmtId="3" fontId="46" fillId="0" borderId="16" xfId="0" applyNumberFormat="1" applyFont="1" applyBorder="1" applyAlignment="1">
      <alignment horizontal="left" vertical="center"/>
    </xf>
    <xf numFmtId="3" fontId="45" fillId="0" borderId="16" xfId="0" applyNumberFormat="1" applyFont="1" applyBorder="1" applyAlignment="1">
      <alignment horizontal="right" vertical="center"/>
    </xf>
    <xf numFmtId="4" fontId="46" fillId="0" borderId="16" xfId="0" applyNumberFormat="1" applyFont="1" applyBorder="1" applyAlignment="1">
      <alignment vertical="center"/>
    </xf>
    <xf numFmtId="175" fontId="46" fillId="0" borderId="16" xfId="0" applyNumberFormat="1" applyFont="1" applyBorder="1" applyAlignment="1">
      <alignment vertical="center"/>
    </xf>
    <xf numFmtId="172" fontId="46" fillId="0" borderId="16" xfId="0" applyNumberFormat="1" applyFont="1" applyBorder="1" applyAlignment="1">
      <alignment vertical="center"/>
    </xf>
    <xf numFmtId="4" fontId="46" fillId="0" borderId="16" xfId="2" applyNumberFormat="1" applyFont="1" applyFill="1" applyBorder="1" applyAlignment="1">
      <alignment vertical="center"/>
    </xf>
    <xf numFmtId="3" fontId="46" fillId="0" borderId="16" xfId="2" applyNumberFormat="1" applyFont="1" applyFill="1" applyBorder="1" applyAlignment="1">
      <alignment horizontal="center" vertical="center"/>
    </xf>
    <xf numFmtId="49" fontId="45" fillId="0" borderId="16" xfId="0" applyNumberFormat="1" applyFont="1" applyBorder="1" applyAlignment="1">
      <alignment horizontal="left" vertical="center"/>
    </xf>
    <xf numFmtId="2" fontId="45" fillId="0" borderId="16" xfId="0" applyNumberFormat="1" applyFont="1" applyBorder="1" applyAlignment="1">
      <alignment horizontal="center" vertical="center"/>
    </xf>
    <xf numFmtId="49" fontId="46" fillId="0" borderId="16" xfId="0" applyNumberFormat="1" applyFont="1" applyBorder="1" applyAlignment="1">
      <alignment horizontal="center" vertical="center" wrapText="1"/>
    </xf>
    <xf numFmtId="3" fontId="46" fillId="0" borderId="16" xfId="0" applyNumberFormat="1" applyFont="1" applyBorder="1" applyAlignment="1">
      <alignment vertical="center" wrapText="1"/>
    </xf>
    <xf numFmtId="3" fontId="46" fillId="0" borderId="16" xfId="2" applyNumberFormat="1" applyFont="1" applyFill="1" applyBorder="1" applyAlignment="1">
      <alignment vertical="center" wrapText="1"/>
    </xf>
    <xf numFmtId="3" fontId="45" fillId="0" borderId="16" xfId="2" applyNumberFormat="1" applyFont="1" applyFill="1" applyBorder="1" applyAlignment="1">
      <alignment vertical="center" wrapText="1"/>
    </xf>
    <xf numFmtId="1" fontId="45" fillId="0" borderId="16" xfId="0" applyNumberFormat="1" applyFont="1" applyBorder="1" applyAlignment="1">
      <alignment horizontal="center" vertical="center"/>
    </xf>
    <xf numFmtId="0" fontId="75" fillId="0" borderId="0" xfId="0" applyFont="1"/>
    <xf numFmtId="0" fontId="55" fillId="0" borderId="16" xfId="0" applyFont="1" applyBorder="1" applyAlignment="1">
      <alignment horizontal="center" vertical="center" wrapText="1"/>
    </xf>
    <xf numFmtId="0" fontId="55" fillId="0" borderId="16" xfId="0" applyFont="1" applyBorder="1" applyAlignment="1">
      <alignment vertical="center" wrapText="1"/>
    </xf>
    <xf numFmtId="0" fontId="55" fillId="0" borderId="16" xfId="0" applyFont="1" applyBorder="1" applyAlignment="1">
      <alignment horizontal="right" vertical="center" wrapText="1"/>
    </xf>
    <xf numFmtId="0" fontId="13" fillId="0" borderId="16" xfId="0" applyFont="1" applyBorder="1" applyAlignment="1">
      <alignment horizontal="center" vertical="center" wrapText="1"/>
    </xf>
    <xf numFmtId="0" fontId="13" fillId="0" borderId="16" xfId="0" applyFont="1" applyBorder="1" applyAlignment="1">
      <alignment vertical="center" wrapText="1"/>
    </xf>
    <xf numFmtId="176" fontId="13" fillId="0" borderId="16" xfId="0" applyNumberFormat="1" applyFont="1" applyBorder="1" applyAlignment="1">
      <alignment horizontal="right" vertical="center" wrapText="1"/>
    </xf>
    <xf numFmtId="0" fontId="77" fillId="0" borderId="0" xfId="0" applyFont="1"/>
    <xf numFmtId="0" fontId="78" fillId="0" borderId="16" xfId="0" applyFont="1" applyBorder="1" applyAlignment="1">
      <alignment horizontal="center" vertical="center" wrapText="1"/>
    </xf>
    <xf numFmtId="0" fontId="79" fillId="0" borderId="16" xfId="0" applyFont="1" applyBorder="1" applyAlignment="1">
      <alignment horizontal="center" vertical="center" wrapText="1"/>
    </xf>
    <xf numFmtId="0" fontId="44" fillId="0" borderId="16" xfId="0" applyFont="1" applyFill="1" applyBorder="1" applyAlignment="1">
      <alignment horizontal="center"/>
    </xf>
    <xf numFmtId="0" fontId="44" fillId="0" borderId="16" xfId="0" applyFont="1" applyFill="1" applyBorder="1" applyAlignment="1">
      <alignment vertical="center" wrapText="1"/>
    </xf>
    <xf numFmtId="0" fontId="44" fillId="0" borderId="0" xfId="0" applyFont="1" applyFill="1"/>
    <xf numFmtId="0" fontId="80" fillId="0" borderId="16" xfId="0" applyFont="1" applyBorder="1" applyAlignment="1">
      <alignment horizontal="center" vertical="center" wrapText="1"/>
    </xf>
    <xf numFmtId="0" fontId="62" fillId="0" borderId="16" xfId="0" applyFont="1" applyBorder="1" applyAlignment="1">
      <alignment horizontal="left" vertical="center" wrapText="1"/>
    </xf>
    <xf numFmtId="0" fontId="62" fillId="0" borderId="16" xfId="0" applyFont="1" applyBorder="1" applyAlignment="1">
      <alignment horizontal="left"/>
    </xf>
    <xf numFmtId="0" fontId="62" fillId="0" borderId="16" xfId="0" applyFont="1" applyBorder="1" applyAlignment="1">
      <alignment vertical="center"/>
    </xf>
    <xf numFmtId="0" fontId="45" fillId="0" borderId="16" xfId="0" applyFont="1" applyBorder="1" applyAlignment="1">
      <alignment horizontal="center" vertical="center"/>
    </xf>
    <xf numFmtId="0" fontId="52" fillId="0" borderId="16" xfId="0" applyFont="1" applyBorder="1" applyAlignment="1">
      <alignment horizontal="left" vertical="center" wrapText="1"/>
    </xf>
    <xf numFmtId="0" fontId="45" fillId="0" borderId="16" xfId="0" applyFont="1" applyBorder="1" applyAlignment="1">
      <alignment horizontal="center" vertical="center" wrapText="1"/>
    </xf>
    <xf numFmtId="0" fontId="50" fillId="0" borderId="0" xfId="0" applyFont="1" applyAlignment="1">
      <alignment horizontal="center" vertical="center"/>
    </xf>
    <xf numFmtId="0" fontId="74" fillId="0" borderId="0" xfId="0" applyFont="1" applyAlignment="1">
      <alignment horizontal="center" vertical="center" wrapText="1"/>
    </xf>
    <xf numFmtId="0" fontId="46" fillId="0" borderId="16" xfId="0" applyFont="1" applyBorder="1" applyAlignment="1">
      <alignment horizontal="center" vertical="center"/>
    </xf>
    <xf numFmtId="0" fontId="46" fillId="0" borderId="16" xfId="0" applyFont="1" applyBorder="1" applyAlignment="1">
      <alignment horizontal="left" vertical="center" wrapText="1"/>
    </xf>
    <xf numFmtId="0" fontId="46" fillId="0" borderId="16" xfId="0" applyFont="1" applyBorder="1" applyAlignment="1">
      <alignment horizontal="center" vertical="center" wrapText="1"/>
    </xf>
    <xf numFmtId="49" fontId="46" fillId="0" borderId="16" xfId="0" applyNumberFormat="1" applyFont="1" applyBorder="1" applyAlignment="1">
      <alignment horizontal="center" vertical="center"/>
    </xf>
    <xf numFmtId="0" fontId="52" fillId="0" borderId="16" xfId="0" applyFont="1" applyBorder="1" applyAlignment="1">
      <alignment horizontal="left" vertical="center"/>
    </xf>
    <xf numFmtId="49" fontId="46" fillId="0" borderId="16" xfId="0" applyNumberFormat="1" applyFont="1" applyBorder="1" applyAlignment="1">
      <alignment horizontal="center" vertical="center" wrapText="1"/>
    </xf>
    <xf numFmtId="0" fontId="45" fillId="0" borderId="47" xfId="0" applyFont="1" applyBorder="1" applyAlignment="1">
      <alignment horizontal="center" vertical="center"/>
    </xf>
    <xf numFmtId="0" fontId="45" fillId="0" borderId="9" xfId="0" applyFont="1" applyBorder="1" applyAlignment="1">
      <alignment horizontal="center" vertical="center"/>
    </xf>
    <xf numFmtId="0" fontId="45" fillId="0" borderId="31" xfId="0" applyFont="1" applyBorder="1" applyAlignment="1">
      <alignment horizontal="center" vertical="center"/>
    </xf>
    <xf numFmtId="0" fontId="46" fillId="0" borderId="16" xfId="0" applyFont="1" applyBorder="1" applyAlignment="1">
      <alignment vertical="center" wrapText="1"/>
    </xf>
    <xf numFmtId="0" fontId="53" fillId="0" borderId="16" xfId="0" applyFont="1" applyBorder="1" applyAlignment="1">
      <alignment vertical="center" wrapText="1"/>
    </xf>
    <xf numFmtId="0" fontId="45" fillId="0" borderId="16" xfId="0" applyFont="1" applyBorder="1" applyAlignment="1">
      <alignment vertical="center" wrapText="1"/>
    </xf>
    <xf numFmtId="0" fontId="1" fillId="0" borderId="16" xfId="0" applyFont="1" applyBorder="1" applyAlignment="1">
      <alignment vertical="center" wrapText="1"/>
    </xf>
    <xf numFmtId="0" fontId="45" fillId="0" borderId="16" xfId="0" applyFont="1" applyBorder="1" applyAlignment="1">
      <alignment horizontal="left" vertical="center" wrapText="1"/>
    </xf>
    <xf numFmtId="0" fontId="45" fillId="0" borderId="76" xfId="0" applyFont="1" applyBorder="1" applyAlignment="1">
      <alignment horizontal="center" vertical="center" wrapText="1"/>
    </xf>
    <xf numFmtId="0" fontId="0" fillId="0" borderId="2" xfId="0" applyBorder="1" applyAlignment="1">
      <alignment horizontal="center" vertical="center" wrapText="1"/>
    </xf>
    <xf numFmtId="0" fontId="0" fillId="0" borderId="79" xfId="0" applyBorder="1" applyAlignment="1">
      <alignment horizontal="center" vertical="center" wrapText="1"/>
    </xf>
    <xf numFmtId="0" fontId="45" fillId="6" borderId="16" xfId="0" applyFont="1" applyFill="1" applyBorder="1" applyAlignment="1">
      <alignment vertical="center" wrapText="1"/>
    </xf>
    <xf numFmtId="0" fontId="1" fillId="6" borderId="16" xfId="0" applyFont="1" applyFill="1" applyBorder="1" applyAlignment="1">
      <alignment vertical="center" wrapText="1"/>
    </xf>
    <xf numFmtId="0" fontId="45" fillId="6" borderId="47" xfId="0" applyFont="1" applyFill="1" applyBorder="1" applyAlignment="1">
      <alignment horizontal="center" vertical="center"/>
    </xf>
    <xf numFmtId="0" fontId="45" fillId="6" borderId="9" xfId="0" applyFont="1" applyFill="1" applyBorder="1" applyAlignment="1">
      <alignment horizontal="center" vertical="center"/>
    </xf>
    <xf numFmtId="0" fontId="45" fillId="6" borderId="31" xfId="0" applyFont="1" applyFill="1" applyBorder="1" applyAlignment="1">
      <alignment horizontal="center" vertical="center"/>
    </xf>
    <xf numFmtId="0" fontId="46" fillId="6" borderId="16" xfId="0" applyFont="1" applyFill="1" applyBorder="1" applyAlignment="1">
      <alignment vertical="center" wrapText="1"/>
    </xf>
    <xf numFmtId="0" fontId="53" fillId="6" borderId="16" xfId="0" applyFont="1" applyFill="1" applyBorder="1" applyAlignment="1">
      <alignment vertical="center" wrapText="1"/>
    </xf>
    <xf numFmtId="0" fontId="45" fillId="6" borderId="16" xfId="0" applyFont="1" applyFill="1" applyBorder="1" applyAlignment="1">
      <alignment horizontal="left" vertical="center" wrapText="1"/>
    </xf>
    <xf numFmtId="0" fontId="52" fillId="6" borderId="16" xfId="0" applyFont="1" applyFill="1" applyBorder="1" applyAlignment="1">
      <alignment horizontal="left" vertical="center"/>
    </xf>
    <xf numFmtId="0" fontId="45" fillId="6" borderId="16" xfId="0" applyFont="1" applyFill="1" applyBorder="1" applyAlignment="1">
      <alignment horizontal="center" vertical="center"/>
    </xf>
    <xf numFmtId="0" fontId="52" fillId="6" borderId="16" xfId="0" applyFont="1" applyFill="1" applyBorder="1" applyAlignment="1">
      <alignment horizontal="left" vertical="center" wrapText="1"/>
    </xf>
    <xf numFmtId="0" fontId="46" fillId="6" borderId="16" xfId="0" applyFont="1" applyFill="1" applyBorder="1" applyAlignment="1">
      <alignment horizontal="left" vertical="center" wrapText="1"/>
    </xf>
    <xf numFmtId="49" fontId="46" fillId="6" borderId="16" xfId="0" applyNumberFormat="1" applyFont="1" applyFill="1" applyBorder="1" applyAlignment="1">
      <alignment horizontal="center" vertical="center"/>
    </xf>
    <xf numFmtId="49" fontId="46" fillId="6" borderId="16" xfId="0" applyNumberFormat="1" applyFont="1" applyFill="1" applyBorder="1" applyAlignment="1">
      <alignment horizontal="center" vertical="center" wrapText="1"/>
    </xf>
    <xf numFmtId="0" fontId="46" fillId="6" borderId="16" xfId="0" applyFont="1" applyFill="1" applyBorder="1" applyAlignment="1">
      <alignment horizontal="center" vertical="center" wrapText="1"/>
    </xf>
    <xf numFmtId="0" fontId="45" fillId="6" borderId="16" xfId="0" applyFont="1" applyFill="1" applyBorder="1" applyAlignment="1">
      <alignment horizontal="center" vertical="center" wrapText="1"/>
    </xf>
    <xf numFmtId="0" fontId="46" fillId="6" borderId="16" xfId="0" applyFont="1" applyFill="1" applyBorder="1" applyAlignment="1">
      <alignment horizontal="center" vertical="center"/>
    </xf>
    <xf numFmtId="0" fontId="50" fillId="6" borderId="0" xfId="0" applyFont="1" applyFill="1" applyAlignment="1">
      <alignment horizontal="center" vertical="center"/>
    </xf>
    <xf numFmtId="0" fontId="45" fillId="6" borderId="0" xfId="0" applyFont="1" applyFill="1" applyAlignment="1">
      <alignment horizontal="center" vertical="center" wrapText="1"/>
    </xf>
    <xf numFmtId="0" fontId="14" fillId="6" borderId="16" xfId="0" applyFont="1" applyFill="1" applyBorder="1" applyAlignment="1">
      <alignment vertical="center" wrapText="1"/>
    </xf>
    <xf numFmtId="0" fontId="15" fillId="6" borderId="16" xfId="0" applyFont="1" applyFill="1" applyBorder="1" applyAlignment="1">
      <alignment vertical="center" wrapText="1"/>
    </xf>
    <xf numFmtId="0" fontId="14" fillId="6" borderId="60" xfId="0" applyFont="1" applyFill="1" applyBorder="1" applyAlignment="1">
      <alignment horizontal="left" vertical="center" wrapText="1"/>
    </xf>
    <xf numFmtId="0" fontId="14" fillId="6" borderId="40" xfId="0" applyFont="1" applyFill="1" applyBorder="1" applyAlignment="1">
      <alignment horizontal="left" vertical="center" wrapText="1"/>
    </xf>
    <xf numFmtId="0" fontId="14" fillId="6" borderId="62" xfId="0" applyFont="1" applyFill="1" applyBorder="1" applyAlignment="1">
      <alignment horizontal="left" vertical="center" wrapText="1"/>
    </xf>
    <xf numFmtId="0" fontId="14" fillId="6" borderId="99" xfId="0" applyFont="1" applyFill="1" applyBorder="1" applyAlignment="1">
      <alignment horizontal="left" vertical="center" wrapText="1"/>
    </xf>
    <xf numFmtId="0" fontId="14" fillId="6" borderId="100" xfId="0" applyFont="1" applyFill="1" applyBorder="1" applyAlignment="1">
      <alignment horizontal="left" vertical="center" wrapText="1"/>
    </xf>
    <xf numFmtId="0" fontId="14" fillId="6" borderId="56" xfId="0" applyFont="1" applyFill="1" applyBorder="1" applyAlignment="1">
      <alignment horizontal="left" vertical="center" wrapText="1"/>
    </xf>
    <xf numFmtId="0" fontId="15" fillId="6" borderId="16" xfId="0" applyFont="1" applyFill="1" applyBorder="1" applyAlignment="1">
      <alignment vertical="center"/>
    </xf>
    <xf numFmtId="3" fontId="15" fillId="6" borderId="6" xfId="0" applyNumberFormat="1" applyFont="1" applyFill="1" applyBorder="1" applyAlignment="1">
      <alignment horizontal="center" vertical="center" wrapText="1"/>
    </xf>
    <xf numFmtId="3" fontId="15" fillId="6" borderId="52" xfId="0" applyNumberFormat="1" applyFont="1" applyFill="1" applyBorder="1" applyAlignment="1">
      <alignment horizontal="center" vertical="center" wrapText="1"/>
    </xf>
    <xf numFmtId="0" fontId="14" fillId="6" borderId="12" xfId="0" applyFont="1" applyFill="1" applyBorder="1" applyAlignment="1">
      <alignment horizontal="center" vertical="center" wrapText="1"/>
    </xf>
    <xf numFmtId="4" fontId="15" fillId="6" borderId="59" xfId="0" applyNumberFormat="1" applyFont="1" applyFill="1" applyBorder="1" applyAlignment="1">
      <alignment horizontal="center" vertical="center" wrapText="1"/>
    </xf>
    <xf numFmtId="4" fontId="15" fillId="6" borderId="69" xfId="0" applyNumberFormat="1" applyFont="1" applyFill="1" applyBorder="1" applyAlignment="1">
      <alignment horizontal="center" vertical="center" wrapText="1"/>
    </xf>
    <xf numFmtId="4" fontId="15" fillId="6" borderId="70" xfId="0" applyNumberFormat="1" applyFont="1" applyFill="1" applyBorder="1" applyAlignment="1">
      <alignment horizontal="center" vertical="center" wrapText="1"/>
    </xf>
    <xf numFmtId="3" fontId="14" fillId="6" borderId="0" xfId="0" applyNumberFormat="1" applyFont="1" applyFill="1" applyAlignment="1">
      <alignment vertical="center" wrapText="1"/>
    </xf>
    <xf numFmtId="4" fontId="15" fillId="6" borderId="71" xfId="0" applyNumberFormat="1" applyFont="1" applyFill="1" applyBorder="1" applyAlignment="1">
      <alignment horizontal="center" vertical="center" wrapText="1"/>
    </xf>
    <xf numFmtId="4" fontId="15" fillId="6" borderId="72" xfId="0" applyNumberFormat="1" applyFont="1" applyFill="1" applyBorder="1" applyAlignment="1">
      <alignment horizontal="center" vertical="center" wrapText="1"/>
    </xf>
    <xf numFmtId="4" fontId="15" fillId="6" borderId="73" xfId="0" applyNumberFormat="1" applyFont="1" applyFill="1" applyBorder="1" applyAlignment="1">
      <alignment horizontal="center" vertical="center" wrapText="1"/>
    </xf>
    <xf numFmtId="4" fontId="15" fillId="6" borderId="74" xfId="0" applyNumberFormat="1" applyFont="1" applyFill="1" applyBorder="1" applyAlignment="1">
      <alignment horizontal="center" vertical="center" wrapText="1"/>
    </xf>
    <xf numFmtId="4" fontId="15" fillId="6" borderId="2" xfId="0" applyNumberFormat="1" applyFont="1" applyFill="1" applyBorder="1" applyAlignment="1">
      <alignment horizontal="center" vertical="center" wrapText="1"/>
    </xf>
    <xf numFmtId="4" fontId="15" fillId="6" borderId="75" xfId="0" applyNumberFormat="1" applyFont="1" applyFill="1" applyBorder="1" applyAlignment="1">
      <alignment horizontal="center" vertical="center" wrapText="1"/>
    </xf>
    <xf numFmtId="3" fontId="15" fillId="6" borderId="31" xfId="0" applyNumberFormat="1" applyFont="1" applyFill="1" applyBorder="1" applyAlignment="1">
      <alignment horizontal="center" vertical="center" wrapText="1"/>
    </xf>
    <xf numFmtId="3" fontId="15" fillId="6" borderId="66" xfId="0" applyNumberFormat="1" applyFont="1" applyFill="1" applyBorder="1" applyAlignment="1">
      <alignment horizontal="center" vertical="center" wrapText="1"/>
    </xf>
    <xf numFmtId="3" fontId="15" fillId="6" borderId="16" xfId="0" applyNumberFormat="1" applyFont="1" applyFill="1" applyBorder="1" applyAlignment="1">
      <alignment horizontal="center" vertical="center" wrapText="1"/>
    </xf>
    <xf numFmtId="49" fontId="15" fillId="6" borderId="66" xfId="0" applyNumberFormat="1" applyFont="1" applyFill="1" applyBorder="1" applyAlignment="1">
      <alignment horizontal="center" vertical="center" wrapText="1"/>
    </xf>
    <xf numFmtId="49" fontId="15" fillId="6" borderId="16" xfId="0" applyNumberFormat="1" applyFont="1" applyFill="1" applyBorder="1" applyAlignment="1">
      <alignment horizontal="center" vertical="center" wrapText="1"/>
    </xf>
    <xf numFmtId="49" fontId="14" fillId="6" borderId="16" xfId="0" applyNumberFormat="1" applyFont="1" applyFill="1" applyBorder="1" applyAlignment="1">
      <alignment horizontal="center" vertical="center" wrapText="1"/>
    </xf>
    <xf numFmtId="49" fontId="15" fillId="6" borderId="6" xfId="0" applyNumberFormat="1" applyFont="1" applyFill="1" applyBorder="1" applyAlignment="1">
      <alignment horizontal="center" vertical="center" wrapText="1"/>
    </xf>
    <xf numFmtId="49" fontId="15" fillId="6" borderId="31" xfId="0" applyNumberFormat="1" applyFont="1" applyFill="1" applyBorder="1" applyAlignment="1">
      <alignment horizontal="center" vertical="center" wrapText="1"/>
    </xf>
    <xf numFmtId="0" fontId="15" fillId="6" borderId="15" xfId="0" applyFont="1" applyFill="1" applyBorder="1" applyAlignment="1">
      <alignment horizontal="left" vertical="center" wrapText="1"/>
    </xf>
    <xf numFmtId="0" fontId="15" fillId="6" borderId="16" xfId="0" applyFont="1" applyFill="1" applyBorder="1" applyAlignment="1">
      <alignment horizontal="left" vertical="center" wrapText="1"/>
    </xf>
    <xf numFmtId="0" fontId="15" fillId="6" borderId="17" xfId="0" applyFont="1" applyFill="1" applyBorder="1" applyAlignment="1">
      <alignment horizontal="left" vertical="center" wrapText="1"/>
    </xf>
    <xf numFmtId="0" fontId="14" fillId="6" borderId="15"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4" fillId="6" borderId="13" xfId="0" applyFont="1" applyFill="1" applyBorder="1" applyAlignment="1">
      <alignment horizontal="left" vertical="center" wrapText="1"/>
    </xf>
    <xf numFmtId="0" fontId="14" fillId="6" borderId="13" xfId="0" applyFont="1" applyFill="1" applyBorder="1" applyAlignment="1">
      <alignment horizontal="center" vertical="center" wrapText="1"/>
    </xf>
    <xf numFmtId="49" fontId="14" fillId="6" borderId="13" xfId="0" applyNumberFormat="1" applyFont="1" applyFill="1" applyBorder="1" applyAlignment="1">
      <alignment horizontal="center" vertical="center" wrapText="1"/>
    </xf>
    <xf numFmtId="0" fontId="14" fillId="6" borderId="91" xfId="0" applyFont="1" applyFill="1" applyBorder="1" applyAlignment="1">
      <alignment horizontal="left" vertical="center" wrapText="1"/>
    </xf>
    <xf numFmtId="0" fontId="14" fillId="6" borderId="77" xfId="0" applyFont="1" applyFill="1" applyBorder="1" applyAlignment="1">
      <alignment horizontal="left" vertical="center" wrapText="1"/>
    </xf>
    <xf numFmtId="0" fontId="14" fillId="6" borderId="1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46" xfId="0" applyFont="1" applyFill="1" applyBorder="1" applyAlignment="1">
      <alignment horizontal="center" vertical="center" wrapText="1"/>
    </xf>
    <xf numFmtId="0" fontId="14" fillId="6" borderId="48" xfId="0" applyFont="1" applyFill="1" applyBorder="1" applyAlignment="1">
      <alignment horizontal="left" vertical="center" wrapText="1"/>
    </xf>
    <xf numFmtId="0" fontId="14" fillId="6" borderId="49" xfId="0" applyFont="1" applyFill="1" applyBorder="1" applyAlignment="1">
      <alignment horizontal="left" vertical="center" wrapText="1"/>
    </xf>
    <xf numFmtId="0" fontId="14" fillId="6" borderId="95" xfId="0" applyFont="1" applyFill="1" applyBorder="1" applyAlignment="1">
      <alignment horizontal="left" vertical="center" wrapText="1"/>
    </xf>
    <xf numFmtId="0" fontId="12" fillId="6" borderId="0" xfId="0" applyFont="1" applyFill="1" applyAlignment="1">
      <alignment horizontal="center" vertical="center" wrapText="1"/>
    </xf>
    <xf numFmtId="0" fontId="16" fillId="6" borderId="0" xfId="0" applyFont="1" applyFill="1" applyAlignment="1">
      <alignment horizontal="left" vertical="center" wrapText="1"/>
    </xf>
    <xf numFmtId="0" fontId="14" fillId="6" borderId="13" xfId="0" applyFont="1" applyFill="1" applyBorder="1" applyAlignment="1">
      <alignment horizontal="left" vertical="center"/>
    </xf>
    <xf numFmtId="0" fontId="38" fillId="6" borderId="13" xfId="0" applyFont="1" applyFill="1" applyBorder="1" applyAlignment="1">
      <alignment horizontal="left" vertical="center" wrapText="1"/>
    </xf>
    <xf numFmtId="0" fontId="15" fillId="6" borderId="66"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67"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4" fillId="6" borderId="12" xfId="0" applyFont="1" applyFill="1" applyBorder="1" applyAlignment="1">
      <alignment vertical="center" wrapText="1"/>
    </xf>
    <xf numFmtId="0" fontId="14" fillId="6" borderId="13" xfId="0" applyFont="1" applyFill="1" applyBorder="1" applyAlignment="1">
      <alignment vertical="center" wrapText="1"/>
    </xf>
    <xf numFmtId="0" fontId="15" fillId="6" borderId="51" xfId="0" applyFont="1" applyFill="1" applyBorder="1" applyAlignment="1">
      <alignment horizontal="center" vertical="center" wrapText="1"/>
    </xf>
    <xf numFmtId="0" fontId="15" fillId="6" borderId="52" xfId="0" applyFont="1" applyFill="1" applyBorder="1" applyAlignment="1">
      <alignment horizontal="center" vertical="center" wrapText="1"/>
    </xf>
    <xf numFmtId="49" fontId="15" fillId="6" borderId="52" xfId="0" applyNumberFormat="1" applyFont="1" applyFill="1" applyBorder="1" applyAlignment="1">
      <alignment horizontal="center" vertical="center" wrapText="1"/>
    </xf>
    <xf numFmtId="0" fontId="14" fillId="6" borderId="39" xfId="0" applyFont="1" applyFill="1" applyBorder="1" applyAlignment="1">
      <alignment horizontal="left" vertical="center" wrapText="1"/>
    </xf>
    <xf numFmtId="0" fontId="14" fillId="6" borderId="96" xfId="0" applyFont="1" applyFill="1" applyBorder="1" applyAlignment="1">
      <alignment horizontal="left" vertical="center" wrapText="1"/>
    </xf>
    <xf numFmtId="0" fontId="14" fillId="6" borderId="97" xfId="0" applyFont="1" applyFill="1" applyBorder="1" applyAlignment="1">
      <alignment horizontal="left" vertical="center" wrapText="1"/>
    </xf>
    <xf numFmtId="0" fontId="14" fillId="6" borderId="98" xfId="0" applyFont="1" applyFill="1" applyBorder="1" applyAlignment="1">
      <alignment horizontal="left" vertical="center" wrapText="1"/>
    </xf>
    <xf numFmtId="0" fontId="15" fillId="6" borderId="27" xfId="0" applyFont="1" applyFill="1" applyBorder="1" applyAlignment="1">
      <alignment vertical="center"/>
    </xf>
    <xf numFmtId="0" fontId="15" fillId="6" borderId="55" xfId="0" applyFont="1" applyFill="1" applyBorder="1" applyAlignment="1">
      <alignment horizontal="left" vertical="center" wrapText="1"/>
    </xf>
    <xf numFmtId="0" fontId="15" fillId="6" borderId="69" xfId="0" applyFont="1" applyFill="1" applyBorder="1" applyAlignment="1">
      <alignment horizontal="left" vertical="center" wrapText="1"/>
    </xf>
    <xf numFmtId="0" fontId="15" fillId="6" borderId="70" xfId="0" applyFont="1" applyFill="1" applyBorder="1" applyAlignment="1">
      <alignment horizontal="left" vertical="center" wrapText="1"/>
    </xf>
    <xf numFmtId="0" fontId="15" fillId="6" borderId="13" xfId="0" applyFont="1" applyFill="1" applyBorder="1" applyAlignment="1">
      <alignment horizontal="left" vertical="center"/>
    </xf>
    <xf numFmtId="0" fontId="15" fillId="0" borderId="13" xfId="0" applyFont="1" applyBorder="1" applyAlignment="1">
      <alignment horizontal="left" vertical="center" wrapText="1"/>
    </xf>
    <xf numFmtId="0" fontId="14" fillId="6" borderId="13" xfId="0" applyFont="1" applyFill="1" applyBorder="1" applyAlignment="1">
      <alignment horizontal="left" vertical="top" wrapText="1"/>
    </xf>
    <xf numFmtId="0" fontId="14" fillId="6" borderId="20" xfId="0" applyFont="1" applyFill="1" applyBorder="1" applyAlignment="1">
      <alignment horizontal="left" vertical="top" wrapText="1"/>
    </xf>
    <xf numFmtId="0" fontId="21" fillId="6" borderId="66" xfId="0" applyFont="1" applyFill="1" applyBorder="1" applyAlignment="1">
      <alignment horizontal="center"/>
    </xf>
    <xf numFmtId="0" fontId="15" fillId="6" borderId="13" xfId="0" applyFont="1" applyFill="1" applyBorder="1" applyAlignment="1">
      <alignment horizontal="left" vertical="top"/>
    </xf>
    <xf numFmtId="0" fontId="21" fillId="6" borderId="65" xfId="0" applyFont="1" applyFill="1" applyBorder="1" applyAlignment="1">
      <alignment horizontal="center"/>
    </xf>
    <xf numFmtId="0" fontId="15" fillId="6" borderId="9" xfId="0" applyFont="1" applyFill="1" applyBorder="1" applyAlignment="1">
      <alignment horizontal="center" vertical="center" wrapText="1"/>
    </xf>
    <xf numFmtId="0" fontId="15" fillId="6" borderId="12" xfId="0" applyFont="1" applyFill="1" applyBorder="1" applyAlignment="1">
      <alignment horizontal="center" vertical="top"/>
    </xf>
    <xf numFmtId="0" fontId="15" fillId="6" borderId="17" xfId="0" applyFont="1" applyFill="1" applyBorder="1" applyAlignment="1">
      <alignment horizontal="center" vertical="center" wrapText="1"/>
    </xf>
    <xf numFmtId="3" fontId="15" fillId="6" borderId="16" xfId="2" applyNumberFormat="1" applyFont="1" applyFill="1" applyBorder="1" applyAlignment="1">
      <alignment horizontal="center" vertical="center" wrapText="1"/>
    </xf>
    <xf numFmtId="0" fontId="15" fillId="6" borderId="13" xfId="0" applyFont="1" applyFill="1" applyBorder="1" applyAlignment="1">
      <alignment horizontal="left" vertical="top" wrapText="1"/>
    </xf>
    <xf numFmtId="0" fontId="15" fillId="6" borderId="25" xfId="0" applyFont="1" applyFill="1" applyBorder="1" applyAlignment="1">
      <alignment horizontal="left" vertical="top" wrapText="1"/>
    </xf>
    <xf numFmtId="0" fontId="15" fillId="6" borderId="26" xfId="0" applyFont="1" applyFill="1" applyBorder="1" applyAlignment="1">
      <alignment horizontal="left" vertical="top" wrapText="1"/>
    </xf>
    <xf numFmtId="0" fontId="21" fillId="6" borderId="76" xfId="0" applyFont="1" applyFill="1" applyBorder="1" applyAlignment="1">
      <alignment horizontal="center"/>
    </xf>
    <xf numFmtId="0" fontId="21" fillId="6" borderId="79" xfId="0" applyFont="1" applyFill="1" applyBorder="1" applyAlignment="1">
      <alignment horizontal="center"/>
    </xf>
    <xf numFmtId="0" fontId="15" fillId="6" borderId="76" xfId="0" applyFont="1" applyFill="1" applyBorder="1" applyAlignment="1">
      <alignment horizontal="center"/>
    </xf>
    <xf numFmtId="0" fontId="15" fillId="6" borderId="2" xfId="0" applyFont="1" applyFill="1" applyBorder="1" applyAlignment="1">
      <alignment horizontal="center"/>
    </xf>
    <xf numFmtId="0" fontId="15" fillId="6" borderId="79" xfId="0" applyFont="1" applyFill="1" applyBorder="1" applyAlignment="1">
      <alignment horizontal="center"/>
    </xf>
    <xf numFmtId="0" fontId="15" fillId="6" borderId="80" xfId="0" applyFont="1" applyFill="1" applyBorder="1" applyAlignment="1">
      <alignment horizontal="center" vertical="center"/>
    </xf>
    <xf numFmtId="0" fontId="15" fillId="6" borderId="81" xfId="0" applyFont="1" applyFill="1" applyBorder="1" applyAlignment="1">
      <alignment horizontal="center" vertical="center"/>
    </xf>
    <xf numFmtId="0" fontId="15" fillId="6" borderId="82" xfId="0" applyFont="1" applyFill="1" applyBorder="1" applyAlignment="1">
      <alignment horizontal="center" vertical="center"/>
    </xf>
    <xf numFmtId="0" fontId="15" fillId="6" borderId="75" xfId="0" applyFont="1" applyFill="1" applyBorder="1" applyAlignment="1">
      <alignment horizontal="center"/>
    </xf>
    <xf numFmtId="0" fontId="12" fillId="6" borderId="0" xfId="0" applyFont="1" applyFill="1" applyAlignment="1">
      <alignment horizontal="center"/>
    </xf>
    <xf numFmtId="0" fontId="19" fillId="6" borderId="16" xfId="0" applyFont="1" applyFill="1" applyBorder="1" applyAlignment="1">
      <alignment horizontal="left"/>
    </xf>
    <xf numFmtId="0" fontId="21" fillId="6" borderId="16" xfId="0" applyFont="1" applyFill="1" applyBorder="1" applyAlignment="1">
      <alignment horizontal="center" vertical="center" wrapText="1"/>
    </xf>
    <xf numFmtId="0" fontId="15" fillId="6" borderId="66" xfId="0" applyFont="1" applyFill="1" applyBorder="1" applyAlignment="1">
      <alignment horizontal="center"/>
    </xf>
    <xf numFmtId="0" fontId="15" fillId="6" borderId="65" xfId="0" applyFont="1" applyFill="1" applyBorder="1" applyAlignment="1">
      <alignment horizontal="center"/>
    </xf>
    <xf numFmtId="0" fontId="15" fillId="6" borderId="20" xfId="0" applyFont="1" applyFill="1" applyBorder="1" applyAlignment="1">
      <alignment horizontal="left" vertical="top" wrapText="1"/>
    </xf>
    <xf numFmtId="0" fontId="35" fillId="6" borderId="0" xfId="0" applyFont="1" applyFill="1" applyAlignment="1">
      <alignment horizontal="center" vertical="center" wrapText="1"/>
    </xf>
    <xf numFmtId="0" fontId="15" fillId="6" borderId="13" xfId="0" applyFont="1" applyFill="1" applyBorder="1" applyAlignment="1">
      <alignment horizontal="left" vertical="center" wrapText="1"/>
    </xf>
    <xf numFmtId="0" fontId="15" fillId="6" borderId="12" xfId="0" applyFont="1" applyFill="1" applyBorder="1" applyAlignment="1">
      <alignment horizontal="center" vertical="center"/>
    </xf>
    <xf numFmtId="0" fontId="21" fillId="6" borderId="80" xfId="0" applyFont="1" applyFill="1" applyBorder="1" applyAlignment="1">
      <alignment horizontal="center" vertical="center"/>
    </xf>
    <xf numFmtId="0" fontId="21" fillId="6" borderId="81" xfId="0" applyFont="1" applyFill="1" applyBorder="1" applyAlignment="1">
      <alignment horizontal="center" vertical="center"/>
    </xf>
    <xf numFmtId="0" fontId="21" fillId="6" borderId="83" xfId="0" applyFont="1" applyFill="1" applyBorder="1" applyAlignment="1">
      <alignment horizontal="center" vertical="center"/>
    </xf>
    <xf numFmtId="0" fontId="15" fillId="7" borderId="13" xfId="0" applyFont="1" applyFill="1" applyBorder="1" applyAlignment="1">
      <alignment horizontal="left" vertical="center" wrapText="1"/>
    </xf>
    <xf numFmtId="0" fontId="15" fillId="6" borderId="84" xfId="0" applyFont="1" applyFill="1" applyBorder="1" applyAlignment="1">
      <alignment horizontal="left" vertical="top"/>
    </xf>
    <xf numFmtId="0" fontId="15" fillId="6" borderId="85" xfId="0" applyFont="1" applyFill="1" applyBorder="1" applyAlignment="1">
      <alignment horizontal="left" vertical="top"/>
    </xf>
    <xf numFmtId="0" fontId="15" fillId="6" borderId="86" xfId="0" applyFont="1" applyFill="1" applyBorder="1" applyAlignment="1">
      <alignment horizontal="left" vertical="top"/>
    </xf>
    <xf numFmtId="0" fontId="15" fillId="6" borderId="87" xfId="0" applyFont="1" applyFill="1" applyBorder="1" applyAlignment="1">
      <alignment horizontal="left" vertical="top"/>
    </xf>
    <xf numFmtId="0" fontId="15" fillId="6" borderId="44" xfId="0" applyFont="1" applyFill="1" applyBorder="1" applyAlignment="1">
      <alignment horizontal="center" vertical="top"/>
    </xf>
    <xf numFmtId="0" fontId="15" fillId="6" borderId="8" xfId="0" applyFont="1" applyFill="1" applyBorder="1" applyAlignment="1">
      <alignment horizontal="center" vertical="top"/>
    </xf>
    <xf numFmtId="0" fontId="15" fillId="6" borderId="8" xfId="0" applyFont="1" applyFill="1" applyBorder="1" applyAlignment="1">
      <alignment horizontal="center" vertical="center" wrapText="1"/>
    </xf>
    <xf numFmtId="0" fontId="21" fillId="6" borderId="2" xfId="0" applyFont="1" applyFill="1" applyBorder="1" applyAlignment="1">
      <alignment horizontal="center"/>
    </xf>
    <xf numFmtId="0" fontId="14" fillId="6" borderId="39" xfId="0" applyFont="1" applyFill="1" applyBorder="1" applyAlignment="1">
      <alignment horizontal="left" vertical="top" wrapText="1"/>
    </xf>
    <xf numFmtId="0" fontId="14" fillId="6" borderId="40" xfId="0" applyFont="1" applyFill="1" applyBorder="1" applyAlignment="1">
      <alignment horizontal="left" vertical="top" wrapText="1"/>
    </xf>
    <xf numFmtId="0" fontId="14" fillId="6" borderId="41" xfId="0" applyFont="1" applyFill="1" applyBorder="1" applyAlignment="1">
      <alignment horizontal="left" vertical="top" wrapText="1"/>
    </xf>
    <xf numFmtId="0" fontId="14" fillId="7" borderId="21"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22" fillId="0" borderId="13" xfId="0" applyFont="1" applyBorder="1" applyAlignment="1">
      <alignment horizontal="left" vertical="top" wrapText="1"/>
    </xf>
    <xf numFmtId="0" fontId="22" fillId="0" borderId="20" xfId="0" applyFont="1" applyBorder="1" applyAlignment="1">
      <alignment horizontal="left" vertical="top" wrapText="1"/>
    </xf>
    <xf numFmtId="0" fontId="15" fillId="4" borderId="16" xfId="0" applyFont="1" applyFill="1" applyBorder="1" applyAlignment="1">
      <alignment horizontal="center"/>
    </xf>
    <xf numFmtId="0" fontId="12" fillId="0" borderId="0" xfId="0" applyFont="1" applyAlignment="1">
      <alignment horizontal="center"/>
    </xf>
    <xf numFmtId="0" fontId="14" fillId="0" borderId="13" xfId="0" applyFont="1" applyBorder="1" applyAlignment="1">
      <alignment horizontal="left" vertical="top" wrapText="1"/>
    </xf>
    <xf numFmtId="0" fontId="14" fillId="0" borderId="20" xfId="0" applyFont="1" applyBorder="1" applyAlignment="1">
      <alignment horizontal="left" vertical="top" wrapText="1"/>
    </xf>
    <xf numFmtId="0" fontId="15" fillId="0" borderId="13" xfId="0" applyFont="1" applyBorder="1" applyAlignment="1">
      <alignment horizontal="left" vertical="top" wrapText="1"/>
    </xf>
    <xf numFmtId="0" fontId="15" fillId="0" borderId="20" xfId="0" applyFont="1" applyBorder="1" applyAlignment="1">
      <alignment horizontal="left" vertical="top" wrapText="1"/>
    </xf>
    <xf numFmtId="49" fontId="15" fillId="0" borderId="13" xfId="0" applyNumberFormat="1" applyFont="1" applyBorder="1" applyAlignment="1">
      <alignment horizontal="left"/>
    </xf>
    <xf numFmtId="0" fontId="15" fillId="4" borderId="15"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16" xfId="0" applyFont="1" applyFill="1" applyBorder="1" applyAlignment="1">
      <alignment horizontal="center" vertical="center" wrapText="1"/>
    </xf>
    <xf numFmtId="0" fontId="15" fillId="6" borderId="13" xfId="0" applyFont="1" applyFill="1" applyBorder="1" applyAlignment="1">
      <alignment horizontal="center"/>
    </xf>
    <xf numFmtId="0" fontId="15" fillId="6" borderId="20" xfId="0" applyFont="1" applyFill="1" applyBorder="1" applyAlignment="1">
      <alignment horizontal="center"/>
    </xf>
    <xf numFmtId="0" fontId="15" fillId="6" borderId="13" xfId="0" applyFont="1" applyFill="1" applyBorder="1" applyAlignment="1">
      <alignment horizontal="center" vertical="center" wrapText="1"/>
    </xf>
    <xf numFmtId="0" fontId="15" fillId="6" borderId="65"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20" xfId="0" applyFont="1" applyFill="1" applyBorder="1" applyAlignment="1">
      <alignment horizontal="left" vertical="center" wrapText="1"/>
    </xf>
    <xf numFmtId="0" fontId="55" fillId="0" borderId="0" xfId="0" applyFont="1" applyAlignment="1">
      <alignment horizontal="center"/>
    </xf>
    <xf numFmtId="0" fontId="55" fillId="8" borderId="0" xfId="0" applyFont="1" applyFill="1" applyAlignment="1">
      <alignment horizontal="center" vertical="center" wrapText="1"/>
    </xf>
    <xf numFmtId="0" fontId="45" fillId="6" borderId="76" xfId="0" applyFont="1" applyFill="1" applyBorder="1" applyAlignment="1">
      <alignment horizontal="left"/>
    </xf>
    <xf numFmtId="0" fontId="45" fillId="6" borderId="2" xfId="0" applyFont="1" applyFill="1" applyBorder="1" applyAlignment="1">
      <alignment horizontal="left"/>
    </xf>
    <xf numFmtId="0" fontId="45" fillId="6" borderId="79" xfId="0" applyFont="1" applyFill="1" applyBorder="1" applyAlignment="1">
      <alignment horizontal="left"/>
    </xf>
    <xf numFmtId="0" fontId="49" fillId="6" borderId="76" xfId="0" applyFont="1" applyFill="1" applyBorder="1" applyAlignment="1">
      <alignment horizontal="left"/>
    </xf>
    <xf numFmtId="0" fontId="49" fillId="6" borderId="2" xfId="0" applyFont="1" applyFill="1" applyBorder="1" applyAlignment="1">
      <alignment horizontal="left"/>
    </xf>
    <xf numFmtId="0" fontId="49" fillId="6" borderId="79" xfId="0" applyFont="1" applyFill="1" applyBorder="1" applyAlignment="1">
      <alignment horizontal="left"/>
    </xf>
    <xf numFmtId="0" fontId="46" fillId="6" borderId="16" xfId="0" applyFont="1" applyFill="1" applyBorder="1" applyAlignment="1">
      <alignment horizontal="center"/>
    </xf>
    <xf numFmtId="0" fontId="46" fillId="6" borderId="16" xfId="0" applyFont="1" applyFill="1" applyBorder="1" applyAlignment="1">
      <alignment horizontal="left"/>
    </xf>
    <xf numFmtId="0" fontId="45" fillId="6" borderId="0" xfId="0" applyFont="1" applyFill="1" applyAlignment="1">
      <alignment horizontal="center"/>
    </xf>
    <xf numFmtId="0" fontId="46" fillId="0" borderId="0" xfId="114" quotePrefix="1" applyFont="1" applyAlignment="1">
      <alignment horizontal="left" vertical="center" wrapText="1"/>
    </xf>
    <xf numFmtId="0" fontId="46" fillId="0" borderId="0" xfId="114" applyFont="1" applyAlignment="1">
      <alignment horizontal="left" vertical="center" wrapText="1"/>
    </xf>
    <xf numFmtId="0" fontId="68" fillId="0" borderId="0" xfId="114" quotePrefix="1" applyFont="1" applyAlignment="1">
      <alignment horizontal="left" vertical="center" wrapText="1"/>
    </xf>
    <xf numFmtId="0" fontId="68" fillId="0" borderId="0" xfId="114" applyFont="1" applyAlignment="1">
      <alignment horizontal="left" vertical="center" wrapText="1"/>
    </xf>
    <xf numFmtId="0" fontId="45" fillId="0" borderId="47" xfId="0" applyFont="1" applyBorder="1" applyAlignment="1">
      <alignment horizontal="center" vertical="center" wrapText="1"/>
    </xf>
    <xf numFmtId="0" fontId="45" fillId="0" borderId="31" xfId="0" applyFont="1" applyBorder="1" applyAlignment="1">
      <alignment horizontal="center" vertical="center" wrapText="1"/>
    </xf>
    <xf numFmtId="1" fontId="15" fillId="0" borderId="18" xfId="94" applyNumberFormat="1" applyFont="1" applyBorder="1" applyAlignment="1">
      <alignment horizontal="center" vertical="center" wrapText="1"/>
    </xf>
    <xf numFmtId="1" fontId="15" fillId="0" borderId="30" xfId="94" applyNumberFormat="1" applyFont="1" applyBorder="1" applyAlignment="1">
      <alignment horizontal="center" vertical="center" wrapText="1"/>
    </xf>
    <xf numFmtId="2" fontId="15" fillId="0" borderId="18" xfId="94" applyNumberFormat="1" applyFont="1" applyBorder="1" applyAlignment="1">
      <alignment horizontal="center" vertical="center" wrapText="1"/>
    </xf>
    <xf numFmtId="2" fontId="15" fillId="0" borderId="25" xfId="94" applyNumberFormat="1" applyFont="1" applyBorder="1" applyAlignment="1">
      <alignment horizontal="center" vertical="center" wrapText="1"/>
    </xf>
    <xf numFmtId="0" fontId="15" fillId="0" borderId="18" xfId="94" applyFont="1" applyBorder="1" applyAlignment="1">
      <alignment horizontal="center" vertical="center" wrapText="1"/>
    </xf>
    <xf numFmtId="0" fontId="15" fillId="0" borderId="30" xfId="94" applyFont="1" applyBorder="1" applyAlignment="1">
      <alignment horizontal="center" vertical="center" wrapText="1"/>
    </xf>
    <xf numFmtId="0" fontId="15" fillId="4" borderId="17" xfId="94" applyFont="1" applyFill="1" applyBorder="1" applyAlignment="1">
      <alignment horizontal="center" vertical="center" wrapText="1"/>
    </xf>
    <xf numFmtId="0" fontId="15" fillId="4" borderId="16" xfId="94" applyFont="1" applyFill="1" applyBorder="1" applyAlignment="1">
      <alignment horizontal="center" vertical="center" wrapText="1"/>
    </xf>
    <xf numFmtId="1" fontId="15" fillId="0" borderId="25" xfId="94" applyNumberFormat="1" applyFont="1" applyBorder="1" applyAlignment="1">
      <alignment horizontal="center" vertical="center" wrapText="1"/>
    </xf>
    <xf numFmtId="0" fontId="15" fillId="4" borderId="5" xfId="94" applyFont="1" applyFill="1" applyBorder="1" applyAlignment="1">
      <alignment horizontal="center" vertical="center" wrapText="1"/>
    </xf>
    <xf numFmtId="0" fontId="15" fillId="4" borderId="8" xfId="94" applyFont="1" applyFill="1" applyBorder="1" applyAlignment="1">
      <alignment horizontal="center" vertical="center" wrapText="1"/>
    </xf>
    <xf numFmtId="0" fontId="15" fillId="4" borderId="46" xfId="94" applyFont="1" applyFill="1" applyBorder="1" applyAlignment="1">
      <alignment horizontal="center" vertical="center" wrapText="1"/>
    </xf>
    <xf numFmtId="0" fontId="26" fillId="0" borderId="42" xfId="94" applyFont="1" applyBorder="1" applyAlignment="1">
      <alignment horizontal="center" vertical="center" wrapText="1"/>
    </xf>
    <xf numFmtId="0" fontId="15" fillId="4" borderId="66" xfId="94" applyFont="1" applyFill="1" applyBorder="1" applyAlignment="1">
      <alignment horizontal="center" vertical="center" wrapText="1"/>
    </xf>
    <xf numFmtId="0" fontId="15" fillId="4" borderId="65" xfId="94" applyFont="1" applyFill="1" applyBorder="1" applyAlignment="1">
      <alignment horizontal="center" vertical="center" wrapText="1"/>
    </xf>
    <xf numFmtId="0" fontId="15" fillId="0" borderId="11" xfId="94" applyFont="1" applyBorder="1" applyAlignment="1">
      <alignment horizontal="center" vertical="center" wrapText="1"/>
    </xf>
    <xf numFmtId="0" fontId="15" fillId="0" borderId="29" xfId="94" applyFont="1" applyBorder="1" applyAlignment="1">
      <alignment horizontal="center" vertical="center" wrapText="1"/>
    </xf>
    <xf numFmtId="0" fontId="26" fillId="4" borderId="66" xfId="94" applyFont="1" applyFill="1" applyBorder="1" applyAlignment="1">
      <alignment horizontal="center" vertical="center" wrapText="1"/>
    </xf>
    <xf numFmtId="0" fontId="26" fillId="4" borderId="65" xfId="94" applyFont="1" applyFill="1" applyBorder="1" applyAlignment="1">
      <alignment horizontal="center" vertical="center" wrapText="1"/>
    </xf>
    <xf numFmtId="0" fontId="15" fillId="0" borderId="0" xfId="94" applyFont="1" applyAlignment="1">
      <alignment horizontal="left" vertical="center" wrapText="1"/>
    </xf>
    <xf numFmtId="1" fontId="15" fillId="0" borderId="68" xfId="94" applyNumberFormat="1" applyFont="1" applyBorder="1" applyAlignment="1">
      <alignment horizontal="center" vertical="center" wrapText="1"/>
    </xf>
    <xf numFmtId="1" fontId="15" fillId="0" borderId="45" xfId="94" applyNumberFormat="1" applyFont="1" applyBorder="1" applyAlignment="1">
      <alignment horizontal="center" vertical="center" wrapText="1"/>
    </xf>
    <xf numFmtId="1" fontId="15" fillId="0" borderId="53" xfId="94" applyNumberFormat="1" applyFont="1" applyBorder="1" applyAlignment="1">
      <alignment horizontal="center" vertical="center" wrapText="1"/>
    </xf>
    <xf numFmtId="0" fontId="15" fillId="0" borderId="0" xfId="94" applyFont="1" applyAlignment="1">
      <alignment horizontal="center" vertical="center" wrapText="1"/>
    </xf>
    <xf numFmtId="0" fontId="14" fillId="0" borderId="0" xfId="94" applyFont="1" applyAlignment="1">
      <alignment vertical="center" wrapText="1"/>
    </xf>
    <xf numFmtId="0" fontId="15" fillId="0" borderId="24" xfId="94" applyFont="1" applyBorder="1" applyAlignment="1">
      <alignment horizontal="center" vertical="center" wrapText="1"/>
    </xf>
    <xf numFmtId="0" fontId="12" fillId="0" borderId="0" xfId="0" applyFont="1" applyAlignment="1">
      <alignment horizontal="center" vertical="center" wrapText="1"/>
    </xf>
  </cellXfs>
  <cellStyles count="123">
    <cellStyle name="??_kc-elec system check list" xfId="1"/>
    <cellStyle name="Comma" xfId="2" builtinId="3"/>
    <cellStyle name="Comma 10" xfId="3"/>
    <cellStyle name="Comma 2" xfId="4"/>
    <cellStyle name="Comma 2 10" xfId="5"/>
    <cellStyle name="Comma 2 11" xfId="6"/>
    <cellStyle name="Comma 2 12" xfId="7"/>
    <cellStyle name="Comma 2 13" xfId="8"/>
    <cellStyle name="Comma 2 2" xfId="9"/>
    <cellStyle name="Comma 2 3" xfId="10"/>
    <cellStyle name="Comma 2 4" xfId="11"/>
    <cellStyle name="Comma 2 4 2" xfId="12"/>
    <cellStyle name="Comma 2 5" xfId="13"/>
    <cellStyle name="Comma 2 6" xfId="14"/>
    <cellStyle name="Comma 2 7" xfId="15"/>
    <cellStyle name="Comma 2 7 2" xfId="16"/>
    <cellStyle name="Comma 2 8" xfId="17"/>
    <cellStyle name="Comma 2 9" xfId="18"/>
    <cellStyle name="Comma 3 2" xfId="120"/>
    <cellStyle name="Comma 6" xfId="19"/>
    <cellStyle name="Comma 6 2" xfId="20"/>
    <cellStyle name="Comma0" xfId="21"/>
    <cellStyle name="Currency0" xfId="22"/>
    <cellStyle name="Date" xfId="23"/>
    <cellStyle name="Fixed" xfId="24"/>
    <cellStyle name="Header1" xfId="25"/>
    <cellStyle name="Header2" xfId="26"/>
    <cellStyle name="Heading 1" xfId="27"/>
    <cellStyle name="Heading 1 2" xfId="28"/>
    <cellStyle name="Heading 1 3" xfId="29"/>
    <cellStyle name="Heading 1 4" xfId="30"/>
    <cellStyle name="Heading 1 5" xfId="31"/>
    <cellStyle name="Heading 1 6" xfId="32"/>
    <cellStyle name="Heading 1_SGV" xfId="116"/>
    <cellStyle name="Heading 2" xfId="33"/>
    <cellStyle name="Heading 2 2" xfId="34"/>
    <cellStyle name="Heading 2 3" xfId="35"/>
    <cellStyle name="Heading 2 4" xfId="36"/>
    <cellStyle name="Heading 2 5" xfId="37"/>
    <cellStyle name="Heading 2 6" xfId="38"/>
    <cellStyle name="Heading 2_SGV" xfId="117"/>
    <cellStyle name="Hyperlink" xfId="115" builtinId="8"/>
    <cellStyle name="Normal" xfId="0" builtinId="0"/>
    <cellStyle name="Normal 10 2" xfId="39"/>
    <cellStyle name="Normal 11" xfId="40"/>
    <cellStyle name="Normal 2 2" xfId="41"/>
    <cellStyle name="Normal 2 2 2" xfId="42"/>
    <cellStyle name="Normal 2 2 2 2" xfId="43"/>
    <cellStyle name="Normal 2 2 2 2 2" xfId="44"/>
    <cellStyle name="Normal 2 2 2 2 2 2" xfId="45"/>
    <cellStyle name="Normal 2 2 2 2 2 2 2" xfId="46"/>
    <cellStyle name="Normal 2 2 2 2 3" xfId="47"/>
    <cellStyle name="Normal 2 2 2 3" xfId="48"/>
    <cellStyle name="Normal 2 2 2 4" xfId="49"/>
    <cellStyle name="Normal 2 2 2 4 2" xfId="50"/>
    <cellStyle name="Normal 2 2 3" xfId="51"/>
    <cellStyle name="Normal 2 2 3 2" xfId="52"/>
    <cellStyle name="Normal 2 2 3 2 2" xfId="53"/>
    <cellStyle name="Normal 2 2 3 2 2 2" xfId="54"/>
    <cellStyle name="Normal 2 2 3 3" xfId="55"/>
    <cellStyle name="Normal 2 2 4" xfId="56"/>
    <cellStyle name="Normal 2 2 4 2" xfId="57"/>
    <cellStyle name="Normal 2 2 5" xfId="58"/>
    <cellStyle name="Normal 2 3" xfId="59"/>
    <cellStyle name="Normal 2 4" xfId="60"/>
    <cellStyle name="Normal 2 4 2" xfId="61"/>
    <cellStyle name="Normal 2 4 2 2" xfId="62"/>
    <cellStyle name="Normal 2 4 2 2 2" xfId="63"/>
    <cellStyle name="Normal 2 4 3" xfId="64"/>
    <cellStyle name="Normal 2 5" xfId="65"/>
    <cellStyle name="Normal 2 6" xfId="66"/>
    <cellStyle name="Normal 2 6 2" xfId="67"/>
    <cellStyle name="Normal 2 7" xfId="68"/>
    <cellStyle name="Normal 2 8" xfId="69"/>
    <cellStyle name="Normal 2 9" xfId="70"/>
    <cellStyle name="Normal 3" xfId="122"/>
    <cellStyle name="Normal 3 2" xfId="121"/>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2 2" xfId="80"/>
    <cellStyle name="Normal 5 3" xfId="81"/>
    <cellStyle name="Normal 5 3 2" xfId="82"/>
    <cellStyle name="Normal 5 4" xfId="83"/>
    <cellStyle name="Normal 5 5" xfId="84"/>
    <cellStyle name="Normal 6" xfId="85"/>
    <cellStyle name="Normal 6 2" xfId="86"/>
    <cellStyle name="Normal 7" xfId="87"/>
    <cellStyle name="Normal 7 2" xfId="88"/>
    <cellStyle name="Normal 72" xfId="119"/>
    <cellStyle name="Normal 8" xfId="89"/>
    <cellStyle name="Normal 8 2" xfId="90"/>
    <cellStyle name="Normal 9" xfId="91"/>
    <cellStyle name="Normal 9 2" xfId="92"/>
    <cellStyle name="Normal_bddh 2,5000" xfId="93"/>
    <cellStyle name="Normal_don gia" xfId="94"/>
    <cellStyle name="Normal_Sheet1" xfId="114"/>
    <cellStyle name="Normal_VLNL_LuoiDC" xfId="95"/>
    <cellStyle name="sodangoai" xfId="96"/>
    <cellStyle name="Total" xfId="97"/>
    <cellStyle name="Total 2" xfId="98"/>
    <cellStyle name="Total 3" xfId="99"/>
    <cellStyle name="Total 4" xfId="100"/>
    <cellStyle name="Total 5" xfId="101"/>
    <cellStyle name="Total 6" xfId="102"/>
    <cellStyle name="Total_SGV" xfId="118"/>
    <cellStyle name="똿뗦먛귟 [0.00]_PRODUCT DETAIL Q1" xfId="103"/>
    <cellStyle name="똿뗦먛귟_PRODUCT DETAIL Q1" xfId="104"/>
    <cellStyle name="믅됞 [0.00]_PRODUCT DETAIL Q1" xfId="105"/>
    <cellStyle name="믅됞_PRODUCT DETAIL Q1" xfId="106"/>
    <cellStyle name="백분율_HOBONG" xfId="107"/>
    <cellStyle name="뷭?_BOOKSHIP" xfId="108"/>
    <cellStyle name="콤마 [0]_1202" xfId="109"/>
    <cellStyle name="콤마_1202" xfId="110"/>
    <cellStyle name="통화 [0]_1202" xfId="111"/>
    <cellStyle name="통화_1202" xfId="112"/>
    <cellStyle name="표준_(정보부문)월별인원계획" xfId="1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Chủ đề của Office">
  <a:themeElements>
    <a:clrScheme name="Văn phòng">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Văn phòng">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Văn phòng">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74"/>
  <sheetViews>
    <sheetView topLeftCell="A242" zoomScaleNormal="100" workbookViewId="0">
      <selection sqref="A1:F274"/>
    </sheetView>
  </sheetViews>
  <sheetFormatPr defaultColWidth="8.84375" defaultRowHeight="15.5"/>
  <cols>
    <col min="1" max="1" width="8.84375" style="988"/>
    <col min="2" max="2" width="42.84375" style="988" customWidth="1"/>
    <col min="3" max="3" width="7.53515625" style="988" customWidth="1"/>
    <col min="4" max="4" width="8.84375" style="988"/>
    <col min="5" max="6" width="12.4609375" style="988" bestFit="1" customWidth="1"/>
    <col min="7" max="16384" width="8.84375" style="988"/>
  </cols>
  <sheetData>
    <row r="1" spans="1:6" ht="22.5" customHeight="1">
      <c r="A1" s="1185" t="s">
        <v>686</v>
      </c>
      <c r="B1" s="1185"/>
      <c r="C1" s="1185"/>
      <c r="D1" s="1185"/>
      <c r="E1" s="1185"/>
      <c r="F1" s="1185"/>
    </row>
    <row r="2" spans="1:6">
      <c r="A2" s="989" t="s">
        <v>2</v>
      </c>
      <c r="B2" s="989" t="s">
        <v>687</v>
      </c>
      <c r="C2" s="989" t="s">
        <v>688</v>
      </c>
      <c r="D2" s="989" t="s">
        <v>689</v>
      </c>
      <c r="E2" s="989" t="s">
        <v>613</v>
      </c>
      <c r="F2" s="989" t="s">
        <v>80</v>
      </c>
    </row>
    <row r="3" spans="1:6">
      <c r="A3" s="989" t="s">
        <v>220</v>
      </c>
      <c r="B3" s="990" t="s">
        <v>690</v>
      </c>
      <c r="C3" s="989"/>
      <c r="D3" s="989"/>
      <c r="E3" s="991"/>
      <c r="F3" s="991"/>
    </row>
    <row r="4" spans="1:6">
      <c r="A4" s="992">
        <v>1</v>
      </c>
      <c r="B4" s="993" t="s">
        <v>691</v>
      </c>
      <c r="C4" s="992" t="s">
        <v>91</v>
      </c>
      <c r="D4" s="992">
        <v>1</v>
      </c>
      <c r="E4" s="994">
        <v>210000</v>
      </c>
      <c r="F4" s="994">
        <v>210000</v>
      </c>
    </row>
    <row r="5" spans="1:6">
      <c r="A5" s="992">
        <v>2</v>
      </c>
      <c r="B5" s="993" t="s">
        <v>92</v>
      </c>
      <c r="C5" s="992" t="s">
        <v>91</v>
      </c>
      <c r="D5" s="992">
        <v>1</v>
      </c>
      <c r="E5" s="994">
        <v>100000</v>
      </c>
      <c r="F5" s="994">
        <v>100000</v>
      </c>
    </row>
    <row r="6" spans="1:6">
      <c r="A6" s="992">
        <v>3</v>
      </c>
      <c r="B6" s="993" t="s">
        <v>597</v>
      </c>
      <c r="C6" s="992" t="s">
        <v>91</v>
      </c>
      <c r="D6" s="992">
        <v>1</v>
      </c>
      <c r="E6" s="994">
        <v>240000</v>
      </c>
      <c r="F6" s="994">
        <v>240000</v>
      </c>
    </row>
    <row r="7" spans="1:6">
      <c r="A7" s="992">
        <v>4</v>
      </c>
      <c r="B7" s="993" t="s">
        <v>93</v>
      </c>
      <c r="C7" s="992" t="s">
        <v>94</v>
      </c>
      <c r="D7" s="992">
        <v>1</v>
      </c>
      <c r="E7" s="994">
        <v>159000</v>
      </c>
      <c r="F7" s="994">
        <v>159000</v>
      </c>
    </row>
    <row r="8" spans="1:6">
      <c r="A8" s="992">
        <v>5</v>
      </c>
      <c r="B8" s="993" t="s">
        <v>393</v>
      </c>
      <c r="C8" s="992" t="s">
        <v>94</v>
      </c>
      <c r="D8" s="992">
        <v>1</v>
      </c>
      <c r="E8" s="994">
        <v>50000</v>
      </c>
      <c r="F8" s="994">
        <v>50000</v>
      </c>
    </row>
    <row r="9" spans="1:6">
      <c r="A9" s="992">
        <v>6</v>
      </c>
      <c r="B9" s="993" t="s">
        <v>95</v>
      </c>
      <c r="C9" s="992" t="s">
        <v>91</v>
      </c>
      <c r="D9" s="992">
        <v>1</v>
      </c>
      <c r="E9" s="994">
        <v>12000</v>
      </c>
      <c r="F9" s="994">
        <v>12000</v>
      </c>
    </row>
    <row r="10" spans="1:6">
      <c r="A10" s="992">
        <v>7</v>
      </c>
      <c r="B10" s="993" t="s">
        <v>692</v>
      </c>
      <c r="C10" s="992" t="s">
        <v>91</v>
      </c>
      <c r="D10" s="992">
        <v>1</v>
      </c>
      <c r="E10" s="994">
        <v>24000</v>
      </c>
      <c r="F10" s="994">
        <v>24000</v>
      </c>
    </row>
    <row r="11" spans="1:6">
      <c r="A11" s="992">
        <v>8</v>
      </c>
      <c r="B11" s="993" t="s">
        <v>693</v>
      </c>
      <c r="C11" s="992" t="s">
        <v>91</v>
      </c>
      <c r="D11" s="992">
        <v>1</v>
      </c>
      <c r="E11" s="994">
        <v>30000</v>
      </c>
      <c r="F11" s="994">
        <v>30000</v>
      </c>
    </row>
    <row r="12" spans="1:6">
      <c r="A12" s="992">
        <v>9</v>
      </c>
      <c r="B12" s="993" t="s">
        <v>694</v>
      </c>
      <c r="C12" s="992" t="s">
        <v>91</v>
      </c>
      <c r="D12" s="992">
        <v>1</v>
      </c>
      <c r="E12" s="994">
        <v>21000</v>
      </c>
      <c r="F12" s="994">
        <v>21000</v>
      </c>
    </row>
    <row r="13" spans="1:6">
      <c r="A13" s="992">
        <v>10</v>
      </c>
      <c r="B13" s="993" t="s">
        <v>96</v>
      </c>
      <c r="C13" s="992" t="s">
        <v>91</v>
      </c>
      <c r="D13" s="992">
        <v>1</v>
      </c>
      <c r="E13" s="994">
        <v>80000</v>
      </c>
      <c r="F13" s="994">
        <v>80000</v>
      </c>
    </row>
    <row r="14" spans="1:6">
      <c r="A14" s="992">
        <v>11</v>
      </c>
      <c r="B14" s="993" t="s">
        <v>695</v>
      </c>
      <c r="C14" s="992" t="s">
        <v>91</v>
      </c>
      <c r="D14" s="992">
        <v>1</v>
      </c>
      <c r="E14" s="994">
        <v>60000</v>
      </c>
      <c r="F14" s="994">
        <v>60000</v>
      </c>
    </row>
    <row r="15" spans="1:6">
      <c r="A15" s="992">
        <v>12</v>
      </c>
      <c r="B15" s="993" t="s">
        <v>282</v>
      </c>
      <c r="C15" s="992" t="s">
        <v>94</v>
      </c>
      <c r="D15" s="992">
        <v>1</v>
      </c>
      <c r="E15" s="994">
        <v>100000</v>
      </c>
      <c r="F15" s="994">
        <v>100000</v>
      </c>
    </row>
    <row r="16" spans="1:6">
      <c r="A16" s="992">
        <v>13</v>
      </c>
      <c r="B16" s="993" t="s">
        <v>696</v>
      </c>
      <c r="C16" s="992" t="s">
        <v>99</v>
      </c>
      <c r="D16" s="992">
        <v>1</v>
      </c>
      <c r="E16" s="994">
        <v>145000</v>
      </c>
      <c r="F16" s="994">
        <v>145000</v>
      </c>
    </row>
    <row r="17" spans="1:6">
      <c r="A17" s="992">
        <v>14</v>
      </c>
      <c r="B17" s="993" t="s">
        <v>115</v>
      </c>
      <c r="C17" s="992" t="s">
        <v>91</v>
      </c>
      <c r="D17" s="992">
        <v>1</v>
      </c>
      <c r="E17" s="994">
        <v>350000</v>
      </c>
      <c r="F17" s="994">
        <v>350000</v>
      </c>
    </row>
    <row r="18" spans="1:6">
      <c r="A18" s="992">
        <v>15</v>
      </c>
      <c r="B18" s="993" t="s">
        <v>100</v>
      </c>
      <c r="C18" s="992" t="s">
        <v>91</v>
      </c>
      <c r="D18" s="992">
        <v>1</v>
      </c>
      <c r="E18" s="994">
        <v>210000</v>
      </c>
      <c r="F18" s="994">
        <v>210000</v>
      </c>
    </row>
    <row r="19" spans="1:6">
      <c r="A19" s="992">
        <v>16</v>
      </c>
      <c r="B19" s="993" t="s">
        <v>101</v>
      </c>
      <c r="C19" s="992" t="s">
        <v>91</v>
      </c>
      <c r="D19" s="992">
        <v>1</v>
      </c>
      <c r="E19" s="994">
        <v>50000</v>
      </c>
      <c r="F19" s="994">
        <v>50000</v>
      </c>
    </row>
    <row r="20" spans="1:6">
      <c r="A20" s="992">
        <v>17</v>
      </c>
      <c r="B20" s="993" t="s">
        <v>102</v>
      </c>
      <c r="C20" s="992" t="s">
        <v>103</v>
      </c>
      <c r="D20" s="992">
        <v>1</v>
      </c>
      <c r="E20" s="994">
        <v>10000</v>
      </c>
      <c r="F20" s="994">
        <v>10000</v>
      </c>
    </row>
    <row r="21" spans="1:6">
      <c r="A21" s="992">
        <v>18</v>
      </c>
      <c r="B21" s="993" t="s">
        <v>104</v>
      </c>
      <c r="C21" s="992" t="s">
        <v>91</v>
      </c>
      <c r="D21" s="992">
        <v>1</v>
      </c>
      <c r="E21" s="994">
        <v>100000</v>
      </c>
      <c r="F21" s="994">
        <v>100000</v>
      </c>
    </row>
    <row r="22" spans="1:6">
      <c r="A22" s="992">
        <v>19</v>
      </c>
      <c r="B22" s="993" t="s">
        <v>105</v>
      </c>
      <c r="C22" s="992" t="s">
        <v>91</v>
      </c>
      <c r="D22" s="992">
        <v>1</v>
      </c>
      <c r="E22" s="994">
        <v>1380000</v>
      </c>
      <c r="F22" s="994">
        <v>1380000</v>
      </c>
    </row>
    <row r="23" spans="1:6">
      <c r="A23" s="992">
        <v>20</v>
      </c>
      <c r="B23" s="993" t="s">
        <v>598</v>
      </c>
      <c r="C23" s="992" t="s">
        <v>94</v>
      </c>
      <c r="D23" s="992">
        <v>1</v>
      </c>
      <c r="E23" s="994">
        <v>350000</v>
      </c>
      <c r="F23" s="994">
        <v>350000</v>
      </c>
    </row>
    <row r="24" spans="1:6">
      <c r="A24" s="992">
        <v>21</v>
      </c>
      <c r="B24" s="993" t="s">
        <v>697</v>
      </c>
      <c r="C24" s="992" t="s">
        <v>116</v>
      </c>
      <c r="D24" s="992">
        <v>1</v>
      </c>
      <c r="E24" s="994">
        <v>15000</v>
      </c>
      <c r="F24" s="994">
        <v>15000</v>
      </c>
    </row>
    <row r="25" spans="1:6">
      <c r="A25" s="992">
        <v>22</v>
      </c>
      <c r="B25" s="993" t="s">
        <v>107</v>
      </c>
      <c r="C25" s="992" t="s">
        <v>99</v>
      </c>
      <c r="D25" s="992">
        <v>1</v>
      </c>
      <c r="E25" s="994">
        <v>26000</v>
      </c>
      <c r="F25" s="994">
        <v>26000</v>
      </c>
    </row>
    <row r="26" spans="1:6">
      <c r="A26" s="992">
        <v>23</v>
      </c>
      <c r="B26" s="993" t="s">
        <v>698</v>
      </c>
      <c r="C26" s="992" t="s">
        <v>91</v>
      </c>
      <c r="D26" s="992">
        <v>1</v>
      </c>
      <c r="E26" s="994">
        <v>49000</v>
      </c>
      <c r="F26" s="994">
        <v>49000</v>
      </c>
    </row>
    <row r="27" spans="1:6">
      <c r="A27" s="992">
        <v>24</v>
      </c>
      <c r="B27" s="993" t="s">
        <v>108</v>
      </c>
      <c r="C27" s="992" t="s">
        <v>91</v>
      </c>
      <c r="D27" s="992">
        <v>1</v>
      </c>
      <c r="E27" s="994">
        <v>18000</v>
      </c>
      <c r="F27" s="994">
        <v>18000</v>
      </c>
    </row>
    <row r="28" spans="1:6">
      <c r="A28" s="992">
        <v>25</v>
      </c>
      <c r="B28" s="993" t="s">
        <v>699</v>
      </c>
      <c r="C28" s="992" t="s">
        <v>91</v>
      </c>
      <c r="D28" s="992">
        <v>1</v>
      </c>
      <c r="E28" s="994">
        <v>5000</v>
      </c>
      <c r="F28" s="994">
        <v>5000</v>
      </c>
    </row>
    <row r="29" spans="1:6">
      <c r="A29" s="992">
        <v>26</v>
      </c>
      <c r="B29" s="993" t="s">
        <v>700</v>
      </c>
      <c r="C29" s="992" t="s">
        <v>91</v>
      </c>
      <c r="D29" s="992">
        <v>1</v>
      </c>
      <c r="E29" s="994">
        <v>50000</v>
      </c>
      <c r="F29" s="994">
        <v>50000</v>
      </c>
    </row>
    <row r="30" spans="1:6">
      <c r="A30" s="992">
        <v>27</v>
      </c>
      <c r="B30" s="993" t="s">
        <v>113</v>
      </c>
      <c r="C30" s="992" t="s">
        <v>91</v>
      </c>
      <c r="D30" s="992">
        <v>1</v>
      </c>
      <c r="E30" s="994">
        <v>120000</v>
      </c>
      <c r="F30" s="994">
        <v>120000</v>
      </c>
    </row>
    <row r="31" spans="1:6">
      <c r="A31" s="992">
        <v>28</v>
      </c>
      <c r="B31" s="993" t="s">
        <v>701</v>
      </c>
      <c r="C31" s="992" t="s">
        <v>91</v>
      </c>
      <c r="D31" s="992">
        <v>1</v>
      </c>
      <c r="E31" s="994">
        <v>30000</v>
      </c>
      <c r="F31" s="994">
        <v>30000</v>
      </c>
    </row>
    <row r="32" spans="1:6">
      <c r="A32" s="992">
        <v>29</v>
      </c>
      <c r="B32" s="993" t="s">
        <v>170</v>
      </c>
      <c r="C32" s="992" t="s">
        <v>91</v>
      </c>
      <c r="D32" s="992">
        <v>1</v>
      </c>
      <c r="E32" s="994">
        <v>450000</v>
      </c>
      <c r="F32" s="994">
        <v>450000</v>
      </c>
    </row>
    <row r="33" spans="1:6">
      <c r="A33" s="992">
        <v>30</v>
      </c>
      <c r="B33" s="993" t="s">
        <v>702</v>
      </c>
      <c r="C33" s="992" t="s">
        <v>91</v>
      </c>
      <c r="D33" s="992">
        <v>1</v>
      </c>
      <c r="E33" s="994">
        <v>1500000</v>
      </c>
      <c r="F33" s="994">
        <v>1500000</v>
      </c>
    </row>
    <row r="34" spans="1:6">
      <c r="A34" s="992">
        <v>31</v>
      </c>
      <c r="B34" s="993" t="s">
        <v>703</v>
      </c>
      <c r="C34" s="992" t="s">
        <v>91</v>
      </c>
      <c r="D34" s="992">
        <v>1</v>
      </c>
      <c r="E34" s="994">
        <v>43000</v>
      </c>
      <c r="F34" s="994">
        <v>43000</v>
      </c>
    </row>
    <row r="35" spans="1:6">
      <c r="A35" s="992">
        <v>32</v>
      </c>
      <c r="B35" s="993" t="s">
        <v>109</v>
      </c>
      <c r="C35" s="992" t="s">
        <v>91</v>
      </c>
      <c r="D35" s="992">
        <v>1</v>
      </c>
      <c r="E35" s="994">
        <v>50000</v>
      </c>
      <c r="F35" s="994">
        <v>50000</v>
      </c>
    </row>
    <row r="36" spans="1:6">
      <c r="A36" s="992">
        <v>33</v>
      </c>
      <c r="B36" s="993" t="s">
        <v>110</v>
      </c>
      <c r="C36" s="992" t="s">
        <v>91</v>
      </c>
      <c r="D36" s="992">
        <v>1</v>
      </c>
      <c r="E36" s="994">
        <v>80000</v>
      </c>
      <c r="F36" s="994">
        <v>80000</v>
      </c>
    </row>
    <row r="37" spans="1:6">
      <c r="A37" s="992">
        <v>34</v>
      </c>
      <c r="B37" s="993" t="s">
        <v>704</v>
      </c>
      <c r="C37" s="992" t="s">
        <v>91</v>
      </c>
      <c r="D37" s="992">
        <v>1</v>
      </c>
      <c r="E37" s="994">
        <v>180000</v>
      </c>
      <c r="F37" s="994">
        <v>180000</v>
      </c>
    </row>
    <row r="38" spans="1:6">
      <c r="A38" s="992">
        <v>35</v>
      </c>
      <c r="B38" s="993" t="s">
        <v>705</v>
      </c>
      <c r="C38" s="992" t="s">
        <v>91</v>
      </c>
      <c r="D38" s="992">
        <v>1</v>
      </c>
      <c r="E38" s="994">
        <v>87000</v>
      </c>
      <c r="F38" s="994">
        <v>87000</v>
      </c>
    </row>
    <row r="39" spans="1:6">
      <c r="A39" s="992">
        <v>36</v>
      </c>
      <c r="B39" s="993" t="s">
        <v>706</v>
      </c>
      <c r="C39" s="992" t="s">
        <v>91</v>
      </c>
      <c r="D39" s="992">
        <v>1</v>
      </c>
      <c r="E39" s="994">
        <v>150000</v>
      </c>
      <c r="F39" s="994">
        <v>150000</v>
      </c>
    </row>
    <row r="40" spans="1:6">
      <c r="A40" s="992">
        <v>37</v>
      </c>
      <c r="B40" s="993" t="s">
        <v>111</v>
      </c>
      <c r="C40" s="992" t="s">
        <v>707</v>
      </c>
      <c r="D40" s="992">
        <v>1</v>
      </c>
      <c r="E40" s="994">
        <v>15000</v>
      </c>
      <c r="F40" s="994">
        <v>15000</v>
      </c>
    </row>
    <row r="41" spans="1:6">
      <c r="A41" s="992">
        <v>38</v>
      </c>
      <c r="B41" s="993" t="s">
        <v>708</v>
      </c>
      <c r="C41" s="992" t="s">
        <v>91</v>
      </c>
      <c r="D41" s="992">
        <v>1</v>
      </c>
      <c r="E41" s="994">
        <v>287000</v>
      </c>
      <c r="F41" s="994">
        <v>287000</v>
      </c>
    </row>
    <row r="42" spans="1:6">
      <c r="A42" s="992">
        <v>39</v>
      </c>
      <c r="B42" s="993" t="s">
        <v>569</v>
      </c>
      <c r="C42" s="992" t="s">
        <v>91</v>
      </c>
      <c r="D42" s="992">
        <v>1</v>
      </c>
      <c r="E42" s="994">
        <v>205000</v>
      </c>
      <c r="F42" s="994">
        <v>205000</v>
      </c>
    </row>
    <row r="43" spans="1:6">
      <c r="A43" s="992">
        <v>40</v>
      </c>
      <c r="B43" s="993" t="s">
        <v>223</v>
      </c>
      <c r="C43" s="992" t="s">
        <v>91</v>
      </c>
      <c r="D43" s="992">
        <v>1</v>
      </c>
      <c r="E43" s="994">
        <v>30000</v>
      </c>
      <c r="F43" s="994">
        <v>30000</v>
      </c>
    </row>
    <row r="44" spans="1:6">
      <c r="A44" s="992">
        <v>41</v>
      </c>
      <c r="B44" s="993" t="s">
        <v>112</v>
      </c>
      <c r="C44" s="992" t="s">
        <v>91</v>
      </c>
      <c r="D44" s="992">
        <v>1</v>
      </c>
      <c r="E44" s="994">
        <v>50000</v>
      </c>
      <c r="F44" s="994">
        <v>50000</v>
      </c>
    </row>
    <row r="45" spans="1:6">
      <c r="A45" s="992">
        <v>42</v>
      </c>
      <c r="B45" s="993" t="s">
        <v>114</v>
      </c>
      <c r="C45" s="992" t="s">
        <v>91</v>
      </c>
      <c r="D45" s="992">
        <v>1</v>
      </c>
      <c r="E45" s="994">
        <v>15000</v>
      </c>
      <c r="F45" s="994">
        <v>15000</v>
      </c>
    </row>
    <row r="46" spans="1:6">
      <c r="A46" s="992">
        <v>43</v>
      </c>
      <c r="B46" s="993" t="s">
        <v>709</v>
      </c>
      <c r="C46" s="992" t="s">
        <v>91</v>
      </c>
      <c r="D46" s="992">
        <v>1</v>
      </c>
      <c r="E46" s="994">
        <v>1100000</v>
      </c>
      <c r="F46" s="994">
        <v>1100000</v>
      </c>
    </row>
    <row r="47" spans="1:6">
      <c r="A47" s="992">
        <v>44</v>
      </c>
      <c r="B47" s="993" t="s">
        <v>710</v>
      </c>
      <c r="C47" s="992" t="s">
        <v>91</v>
      </c>
      <c r="D47" s="992">
        <v>1</v>
      </c>
      <c r="E47" s="994">
        <v>300000</v>
      </c>
      <c r="F47" s="994">
        <v>300000</v>
      </c>
    </row>
    <row r="48" spans="1:6">
      <c r="A48" s="992">
        <v>45</v>
      </c>
      <c r="B48" s="993" t="s">
        <v>711</v>
      </c>
      <c r="C48" s="992" t="s">
        <v>91</v>
      </c>
      <c r="D48" s="992">
        <v>1</v>
      </c>
      <c r="E48" s="994">
        <v>198000</v>
      </c>
      <c r="F48" s="994">
        <v>198000</v>
      </c>
    </row>
    <row r="49" spans="1:6">
      <c r="A49" s="992">
        <v>46</v>
      </c>
      <c r="B49" s="993" t="s">
        <v>712</v>
      </c>
      <c r="C49" s="992" t="s">
        <v>91</v>
      </c>
      <c r="D49" s="992">
        <v>1</v>
      </c>
      <c r="E49" s="994">
        <v>66000</v>
      </c>
      <c r="F49" s="994">
        <v>66000</v>
      </c>
    </row>
    <row r="50" spans="1:6">
      <c r="A50" s="992">
        <v>47</v>
      </c>
      <c r="B50" s="993" t="s">
        <v>564</v>
      </c>
      <c r="C50" s="992" t="s">
        <v>91</v>
      </c>
      <c r="D50" s="992">
        <v>1</v>
      </c>
      <c r="E50" s="994">
        <v>4082000</v>
      </c>
      <c r="F50" s="994">
        <v>4082000</v>
      </c>
    </row>
    <row r="51" spans="1:6">
      <c r="A51" s="992">
        <v>48</v>
      </c>
      <c r="B51" s="993" t="s">
        <v>713</v>
      </c>
      <c r="C51" s="992" t="s">
        <v>707</v>
      </c>
      <c r="D51" s="992">
        <v>1</v>
      </c>
      <c r="E51" s="994">
        <v>15000</v>
      </c>
      <c r="F51" s="994">
        <v>15000</v>
      </c>
    </row>
    <row r="52" spans="1:6">
      <c r="A52" s="992">
        <v>49</v>
      </c>
      <c r="B52" s="993" t="s">
        <v>599</v>
      </c>
      <c r="C52" s="992" t="s">
        <v>94</v>
      </c>
      <c r="D52" s="992">
        <v>1</v>
      </c>
      <c r="E52" s="994">
        <v>175000</v>
      </c>
      <c r="F52" s="994">
        <v>175000</v>
      </c>
    </row>
    <row r="53" spans="1:6">
      <c r="A53" s="992">
        <v>50</v>
      </c>
      <c r="B53" s="993" t="s">
        <v>222</v>
      </c>
      <c r="C53" s="992" t="s">
        <v>91</v>
      </c>
      <c r="D53" s="992">
        <v>1</v>
      </c>
      <c r="E53" s="994">
        <v>83000</v>
      </c>
      <c r="F53" s="994">
        <v>83000</v>
      </c>
    </row>
    <row r="54" spans="1:6">
      <c r="A54" s="992">
        <v>51</v>
      </c>
      <c r="B54" s="993" t="s">
        <v>714</v>
      </c>
      <c r="C54" s="992" t="s">
        <v>91</v>
      </c>
      <c r="D54" s="992">
        <v>1</v>
      </c>
      <c r="E54" s="994">
        <v>20000</v>
      </c>
      <c r="F54" s="994">
        <v>20000</v>
      </c>
    </row>
    <row r="55" spans="1:6">
      <c r="A55" s="992">
        <v>52</v>
      </c>
      <c r="B55" s="993" t="s">
        <v>715</v>
      </c>
      <c r="C55" s="992" t="s">
        <v>116</v>
      </c>
      <c r="D55" s="992">
        <v>1</v>
      </c>
      <c r="E55" s="994">
        <v>50000</v>
      </c>
      <c r="F55" s="994">
        <v>50000</v>
      </c>
    </row>
    <row r="56" spans="1:6">
      <c r="A56" s="992">
        <v>53</v>
      </c>
      <c r="B56" s="993" t="s">
        <v>155</v>
      </c>
      <c r="C56" s="992" t="s">
        <v>91</v>
      </c>
      <c r="D56" s="992">
        <v>1</v>
      </c>
      <c r="E56" s="994">
        <v>700000</v>
      </c>
      <c r="F56" s="994">
        <v>700000</v>
      </c>
    </row>
    <row r="57" spans="1:6">
      <c r="A57" s="992">
        <v>54</v>
      </c>
      <c r="B57" s="993" t="s">
        <v>716</v>
      </c>
      <c r="C57" s="992" t="s">
        <v>91</v>
      </c>
      <c r="D57" s="992">
        <v>1</v>
      </c>
      <c r="E57" s="994">
        <v>140000</v>
      </c>
      <c r="F57" s="994">
        <v>140000</v>
      </c>
    </row>
    <row r="58" spans="1:6">
      <c r="A58" s="992">
        <v>55</v>
      </c>
      <c r="B58" s="993" t="s">
        <v>717</v>
      </c>
      <c r="C58" s="992" t="s">
        <v>91</v>
      </c>
      <c r="D58" s="992">
        <v>1</v>
      </c>
      <c r="E58" s="994">
        <v>500000</v>
      </c>
      <c r="F58" s="994">
        <v>500000</v>
      </c>
    </row>
    <row r="59" spans="1:6">
      <c r="A59" s="992">
        <v>57</v>
      </c>
      <c r="B59" s="993" t="s">
        <v>101</v>
      </c>
      <c r="C59" s="992" t="s">
        <v>91</v>
      </c>
      <c r="D59" s="992">
        <v>1</v>
      </c>
      <c r="E59" s="994">
        <v>50000</v>
      </c>
      <c r="F59" s="994">
        <v>50000</v>
      </c>
    </row>
    <row r="60" spans="1:6">
      <c r="A60" s="992">
        <v>58</v>
      </c>
      <c r="B60" s="993" t="s">
        <v>715</v>
      </c>
      <c r="C60" s="992" t="s">
        <v>116</v>
      </c>
      <c r="D60" s="992">
        <v>1</v>
      </c>
      <c r="E60" s="994">
        <v>50000</v>
      </c>
      <c r="F60" s="994">
        <v>50000</v>
      </c>
    </row>
    <row r="61" spans="1:6">
      <c r="A61" s="992">
        <v>59</v>
      </c>
      <c r="B61" s="993" t="s">
        <v>638</v>
      </c>
      <c r="C61" s="992" t="s">
        <v>91</v>
      </c>
      <c r="D61" s="992">
        <v>1</v>
      </c>
      <c r="E61" s="994">
        <v>2000000</v>
      </c>
      <c r="F61" s="994">
        <v>2000000</v>
      </c>
    </row>
    <row r="62" spans="1:6">
      <c r="A62" s="992">
        <v>60</v>
      </c>
      <c r="B62" s="993" t="s">
        <v>411</v>
      </c>
      <c r="C62" s="992" t="s">
        <v>91</v>
      </c>
      <c r="D62" s="992">
        <v>1</v>
      </c>
      <c r="E62" s="994">
        <v>2400000</v>
      </c>
      <c r="F62" s="994">
        <v>2400000</v>
      </c>
    </row>
    <row r="63" spans="1:6">
      <c r="A63" s="992">
        <v>61</v>
      </c>
      <c r="B63" s="993" t="s">
        <v>156</v>
      </c>
      <c r="C63" s="992" t="s">
        <v>91</v>
      </c>
      <c r="D63" s="992">
        <v>1</v>
      </c>
      <c r="E63" s="994">
        <v>87000</v>
      </c>
      <c r="F63" s="994">
        <v>87000</v>
      </c>
    </row>
    <row r="64" spans="1:6">
      <c r="A64" s="992">
        <v>62</v>
      </c>
      <c r="B64" s="993" t="s">
        <v>718</v>
      </c>
      <c r="C64" s="992" t="s">
        <v>91</v>
      </c>
      <c r="D64" s="992">
        <v>1</v>
      </c>
      <c r="E64" s="994">
        <v>93000</v>
      </c>
      <c r="F64" s="994">
        <v>93000</v>
      </c>
    </row>
    <row r="65" spans="1:6">
      <c r="A65" s="992">
        <v>63</v>
      </c>
      <c r="B65" s="993" t="s">
        <v>611</v>
      </c>
      <c r="C65" s="992" t="s">
        <v>91</v>
      </c>
      <c r="D65" s="992">
        <v>1</v>
      </c>
      <c r="E65" s="994">
        <v>247000</v>
      </c>
      <c r="F65" s="994">
        <v>247000</v>
      </c>
    </row>
    <row r="66" spans="1:6">
      <c r="A66" s="992">
        <v>64</v>
      </c>
      <c r="B66" s="993" t="s">
        <v>228</v>
      </c>
      <c r="C66" s="992" t="s">
        <v>91</v>
      </c>
      <c r="D66" s="992">
        <v>1</v>
      </c>
      <c r="E66" s="994">
        <v>175000</v>
      </c>
      <c r="F66" s="994">
        <v>175000</v>
      </c>
    </row>
    <row r="67" spans="1:6">
      <c r="A67" s="992">
        <v>65</v>
      </c>
      <c r="B67" s="993" t="s">
        <v>612</v>
      </c>
      <c r="C67" s="992" t="s">
        <v>719</v>
      </c>
      <c r="D67" s="992">
        <v>1</v>
      </c>
      <c r="E67" s="994">
        <v>2226</v>
      </c>
      <c r="F67" s="994">
        <v>2226</v>
      </c>
    </row>
    <row r="68" spans="1:6">
      <c r="A68" s="992">
        <v>66</v>
      </c>
      <c r="B68" s="993" t="s">
        <v>720</v>
      </c>
      <c r="C68" s="992" t="s">
        <v>91</v>
      </c>
      <c r="D68" s="992">
        <v>1</v>
      </c>
      <c r="E68" s="994">
        <v>819000</v>
      </c>
      <c r="F68" s="994">
        <v>819000</v>
      </c>
    </row>
    <row r="69" spans="1:6">
      <c r="A69" s="992">
        <v>67</v>
      </c>
      <c r="B69" s="993" t="s">
        <v>721</v>
      </c>
      <c r="C69" s="992" t="s">
        <v>91</v>
      </c>
      <c r="D69" s="992">
        <v>1</v>
      </c>
      <c r="E69" s="994">
        <v>285000</v>
      </c>
      <c r="F69" s="994">
        <v>285000</v>
      </c>
    </row>
    <row r="70" spans="1:6">
      <c r="A70" s="992">
        <v>68</v>
      </c>
      <c r="B70" s="993" t="s">
        <v>596</v>
      </c>
      <c r="C70" s="992" t="s">
        <v>91</v>
      </c>
      <c r="D70" s="992">
        <v>1</v>
      </c>
      <c r="E70" s="994">
        <v>300000</v>
      </c>
      <c r="F70" s="994">
        <v>300000</v>
      </c>
    </row>
    <row r="71" spans="1:6">
      <c r="A71" s="992">
        <v>69</v>
      </c>
      <c r="B71" s="993" t="s">
        <v>722</v>
      </c>
      <c r="C71" s="992" t="s">
        <v>99</v>
      </c>
      <c r="D71" s="992">
        <v>1</v>
      </c>
      <c r="E71" s="994">
        <v>25000</v>
      </c>
      <c r="F71" s="994">
        <v>25000</v>
      </c>
    </row>
    <row r="72" spans="1:6">
      <c r="A72" s="992">
        <v>70</v>
      </c>
      <c r="B72" s="993" t="s">
        <v>723</v>
      </c>
      <c r="C72" s="992" t="s">
        <v>91</v>
      </c>
      <c r="D72" s="992">
        <v>1</v>
      </c>
      <c r="E72" s="994">
        <v>150000</v>
      </c>
      <c r="F72" s="994">
        <v>150000</v>
      </c>
    </row>
    <row r="73" spans="1:6">
      <c r="A73" s="992">
        <v>71</v>
      </c>
      <c r="B73" s="993" t="s">
        <v>258</v>
      </c>
      <c r="C73" s="992" t="s">
        <v>91</v>
      </c>
      <c r="D73" s="992">
        <v>1</v>
      </c>
      <c r="E73" s="994">
        <v>1660000</v>
      </c>
      <c r="F73" s="994">
        <v>1660000</v>
      </c>
    </row>
    <row r="74" spans="1:6">
      <c r="A74" s="992">
        <v>72</v>
      </c>
      <c r="B74" s="993" t="s">
        <v>286</v>
      </c>
      <c r="C74" s="992" t="s">
        <v>91</v>
      </c>
      <c r="D74" s="992">
        <v>1</v>
      </c>
      <c r="E74" s="994">
        <v>1500000</v>
      </c>
      <c r="F74" s="994">
        <v>1500000</v>
      </c>
    </row>
    <row r="75" spans="1:6">
      <c r="A75" s="992">
        <v>73</v>
      </c>
      <c r="B75" s="993" t="s">
        <v>259</v>
      </c>
      <c r="C75" s="992" t="s">
        <v>91</v>
      </c>
      <c r="D75" s="992">
        <v>1</v>
      </c>
      <c r="E75" s="994">
        <v>600000</v>
      </c>
      <c r="F75" s="994">
        <v>600000</v>
      </c>
    </row>
    <row r="76" spans="1:6">
      <c r="A76" s="992">
        <v>74</v>
      </c>
      <c r="B76" s="993" t="s">
        <v>289</v>
      </c>
      <c r="C76" s="992" t="s">
        <v>91</v>
      </c>
      <c r="D76" s="992">
        <v>1</v>
      </c>
      <c r="E76" s="994">
        <v>100000</v>
      </c>
      <c r="F76" s="994">
        <v>100000</v>
      </c>
    </row>
    <row r="77" spans="1:6">
      <c r="A77" s="992">
        <v>75</v>
      </c>
      <c r="B77" s="993" t="s">
        <v>157</v>
      </c>
      <c r="C77" s="992" t="s">
        <v>91</v>
      </c>
      <c r="D77" s="992">
        <v>1</v>
      </c>
      <c r="E77" s="994">
        <v>165000</v>
      </c>
      <c r="F77" s="994">
        <v>165000</v>
      </c>
    </row>
    <row r="78" spans="1:6">
      <c r="A78" s="992">
        <v>76</v>
      </c>
      <c r="B78" s="993" t="s">
        <v>290</v>
      </c>
      <c r="C78" s="992" t="s">
        <v>91</v>
      </c>
      <c r="D78" s="992">
        <v>1</v>
      </c>
      <c r="E78" s="994">
        <v>2150000</v>
      </c>
      <c r="F78" s="994">
        <v>2150000</v>
      </c>
    </row>
    <row r="79" spans="1:6">
      <c r="A79" s="992">
        <v>77</v>
      </c>
      <c r="B79" s="993" t="s">
        <v>724</v>
      </c>
      <c r="C79" s="992" t="s">
        <v>91</v>
      </c>
      <c r="D79" s="992">
        <v>1</v>
      </c>
      <c r="E79" s="994">
        <v>2145000</v>
      </c>
      <c r="F79" s="994">
        <v>2145000</v>
      </c>
    </row>
    <row r="80" spans="1:6">
      <c r="A80" s="992">
        <v>78</v>
      </c>
      <c r="B80" s="993" t="s">
        <v>158</v>
      </c>
      <c r="C80" s="992" t="s">
        <v>91</v>
      </c>
      <c r="D80" s="992">
        <v>1</v>
      </c>
      <c r="E80" s="994">
        <v>290000</v>
      </c>
      <c r="F80" s="994">
        <v>290000</v>
      </c>
    </row>
    <row r="81" spans="1:6">
      <c r="A81" s="992">
        <v>79</v>
      </c>
      <c r="B81" s="993" t="s">
        <v>725</v>
      </c>
      <c r="C81" s="992" t="s">
        <v>91</v>
      </c>
      <c r="D81" s="992">
        <v>1</v>
      </c>
      <c r="E81" s="994">
        <v>1977000</v>
      </c>
      <c r="F81" s="994">
        <v>1977000</v>
      </c>
    </row>
    <row r="82" spans="1:6">
      <c r="A82" s="992">
        <v>80</v>
      </c>
      <c r="B82" s="993" t="s">
        <v>260</v>
      </c>
      <c r="C82" s="992" t="s">
        <v>91</v>
      </c>
      <c r="D82" s="992">
        <v>1</v>
      </c>
      <c r="E82" s="994">
        <v>2640000</v>
      </c>
      <c r="F82" s="994">
        <v>2640000</v>
      </c>
    </row>
    <row r="83" spans="1:6">
      <c r="A83" s="992">
        <v>81</v>
      </c>
      <c r="B83" s="993" t="s">
        <v>159</v>
      </c>
      <c r="C83" s="992" t="s">
        <v>91</v>
      </c>
      <c r="D83" s="992">
        <v>1</v>
      </c>
      <c r="E83" s="994">
        <v>2250000</v>
      </c>
      <c r="F83" s="994">
        <v>2250000</v>
      </c>
    </row>
    <row r="84" spans="1:6">
      <c r="A84" s="992">
        <v>82</v>
      </c>
      <c r="B84" s="993" t="s">
        <v>287</v>
      </c>
      <c r="C84" s="992" t="s">
        <v>91</v>
      </c>
      <c r="D84" s="992">
        <v>1</v>
      </c>
      <c r="E84" s="994">
        <v>220000</v>
      </c>
      <c r="F84" s="994">
        <v>220000</v>
      </c>
    </row>
    <row r="85" spans="1:6">
      <c r="A85" s="992">
        <v>83</v>
      </c>
      <c r="B85" s="993" t="s">
        <v>726</v>
      </c>
      <c r="C85" s="992" t="s">
        <v>91</v>
      </c>
      <c r="D85" s="992">
        <v>1</v>
      </c>
      <c r="E85" s="994">
        <v>275000</v>
      </c>
      <c r="F85" s="994">
        <v>275000</v>
      </c>
    </row>
    <row r="86" spans="1:6">
      <c r="A86" s="992">
        <v>84</v>
      </c>
      <c r="B86" s="993" t="s">
        <v>261</v>
      </c>
      <c r="C86" s="992" t="s">
        <v>91</v>
      </c>
      <c r="D86" s="992">
        <v>1</v>
      </c>
      <c r="E86" s="994">
        <v>27000</v>
      </c>
      <c r="F86" s="994">
        <v>27000</v>
      </c>
    </row>
    <row r="87" spans="1:6">
      <c r="A87" s="992">
        <v>85</v>
      </c>
      <c r="B87" s="993" t="s">
        <v>727</v>
      </c>
      <c r="C87" s="992" t="s">
        <v>116</v>
      </c>
      <c r="D87" s="992">
        <v>1</v>
      </c>
      <c r="E87" s="994">
        <v>83000</v>
      </c>
      <c r="F87" s="994">
        <v>83000</v>
      </c>
    </row>
    <row r="88" spans="1:6">
      <c r="A88" s="992">
        <v>86</v>
      </c>
      <c r="B88" s="993" t="s">
        <v>665</v>
      </c>
      <c r="C88" s="992" t="s">
        <v>99</v>
      </c>
      <c r="D88" s="992">
        <v>1</v>
      </c>
      <c r="E88" s="994">
        <v>145000</v>
      </c>
      <c r="F88" s="994">
        <v>145000</v>
      </c>
    </row>
    <row r="89" spans="1:6">
      <c r="A89" s="992">
        <v>87</v>
      </c>
      <c r="B89" s="993" t="s">
        <v>543</v>
      </c>
      <c r="C89" s="992" t="s">
        <v>91</v>
      </c>
      <c r="D89" s="992">
        <v>1</v>
      </c>
      <c r="E89" s="994">
        <v>100000</v>
      </c>
      <c r="F89" s="994">
        <v>100000</v>
      </c>
    </row>
    <row r="90" spans="1:6">
      <c r="A90" s="992">
        <v>88</v>
      </c>
      <c r="B90" s="993" t="s">
        <v>728</v>
      </c>
      <c r="C90" s="992" t="s">
        <v>91</v>
      </c>
      <c r="D90" s="992">
        <v>1</v>
      </c>
      <c r="E90" s="994">
        <v>300000</v>
      </c>
      <c r="F90" s="994">
        <v>300000</v>
      </c>
    </row>
    <row r="91" spans="1:6">
      <c r="A91" s="992">
        <v>89</v>
      </c>
      <c r="B91" s="993" t="s">
        <v>729</v>
      </c>
      <c r="C91" s="992" t="s">
        <v>91</v>
      </c>
      <c r="D91" s="992">
        <v>1</v>
      </c>
      <c r="E91" s="994">
        <v>37000</v>
      </c>
      <c r="F91" s="994">
        <v>37000</v>
      </c>
    </row>
    <row r="92" spans="1:6">
      <c r="A92" s="992">
        <v>90</v>
      </c>
      <c r="B92" s="993" t="s">
        <v>730</v>
      </c>
      <c r="C92" s="992" t="s">
        <v>91</v>
      </c>
      <c r="D92" s="992">
        <v>1</v>
      </c>
      <c r="E92" s="994">
        <v>185000</v>
      </c>
      <c r="F92" s="994">
        <v>185000</v>
      </c>
    </row>
    <row r="93" spans="1:6">
      <c r="A93" s="992">
        <v>91</v>
      </c>
      <c r="B93" s="993" t="s">
        <v>731</v>
      </c>
      <c r="C93" s="992" t="s">
        <v>91</v>
      </c>
      <c r="D93" s="992">
        <v>1</v>
      </c>
      <c r="E93" s="994">
        <v>500000</v>
      </c>
      <c r="F93" s="994">
        <v>500000</v>
      </c>
    </row>
    <row r="94" spans="1:6">
      <c r="A94" s="992">
        <v>92</v>
      </c>
      <c r="B94" s="993" t="s">
        <v>559</v>
      </c>
      <c r="C94" s="992" t="s">
        <v>91</v>
      </c>
      <c r="D94" s="992">
        <v>1</v>
      </c>
      <c r="E94" s="994">
        <v>46000</v>
      </c>
      <c r="F94" s="994">
        <v>46000</v>
      </c>
    </row>
    <row r="95" spans="1:6">
      <c r="A95" s="992">
        <v>93</v>
      </c>
      <c r="B95" s="993" t="s">
        <v>548</v>
      </c>
      <c r="C95" s="992" t="s">
        <v>91</v>
      </c>
      <c r="D95" s="992">
        <v>1</v>
      </c>
      <c r="E95" s="994">
        <v>11500</v>
      </c>
      <c r="F95" s="994">
        <v>11500</v>
      </c>
    </row>
    <row r="96" spans="1:6">
      <c r="A96" s="992">
        <v>94</v>
      </c>
      <c r="B96" s="993" t="s">
        <v>600</v>
      </c>
      <c r="C96" s="992" t="s">
        <v>91</v>
      </c>
      <c r="D96" s="992">
        <v>1</v>
      </c>
      <c r="E96" s="994">
        <v>690000</v>
      </c>
      <c r="F96" s="994">
        <v>690000</v>
      </c>
    </row>
    <row r="97" spans="1:6">
      <c r="A97" s="992">
        <v>95</v>
      </c>
      <c r="B97" s="993" t="s">
        <v>732</v>
      </c>
      <c r="C97" s="992" t="s">
        <v>91</v>
      </c>
      <c r="D97" s="992">
        <v>1</v>
      </c>
      <c r="E97" s="994">
        <v>200000</v>
      </c>
      <c r="F97" s="994">
        <v>200000</v>
      </c>
    </row>
    <row r="98" spans="1:6">
      <c r="A98" s="992">
        <v>96</v>
      </c>
      <c r="B98" s="993" t="s">
        <v>608</v>
      </c>
      <c r="C98" s="992" t="s">
        <v>91</v>
      </c>
      <c r="D98" s="992">
        <v>1</v>
      </c>
      <c r="E98" s="994">
        <v>19000</v>
      </c>
      <c r="F98" s="994">
        <v>19000</v>
      </c>
    </row>
    <row r="99" spans="1:6">
      <c r="A99" s="992">
        <v>97</v>
      </c>
      <c r="B99" s="993" t="s">
        <v>733</v>
      </c>
      <c r="C99" s="992" t="s">
        <v>91</v>
      </c>
      <c r="D99" s="992">
        <v>1</v>
      </c>
      <c r="E99" s="994">
        <v>2459200</v>
      </c>
      <c r="F99" s="994">
        <v>2459200</v>
      </c>
    </row>
    <row r="100" spans="1:6">
      <c r="A100" s="992">
        <v>98</v>
      </c>
      <c r="B100" s="993" t="s">
        <v>734</v>
      </c>
      <c r="C100" s="992" t="s">
        <v>94</v>
      </c>
      <c r="D100" s="992">
        <v>1</v>
      </c>
      <c r="E100" s="994">
        <v>295000</v>
      </c>
      <c r="F100" s="994">
        <v>295000</v>
      </c>
    </row>
    <row r="101" spans="1:6">
      <c r="A101" s="992">
        <v>99</v>
      </c>
      <c r="B101" s="993" t="s">
        <v>735</v>
      </c>
      <c r="C101" s="992" t="s">
        <v>91</v>
      </c>
      <c r="D101" s="992">
        <v>1</v>
      </c>
      <c r="E101" s="994">
        <v>2890000</v>
      </c>
      <c r="F101" s="994">
        <v>2890000</v>
      </c>
    </row>
    <row r="102" spans="1:6">
      <c r="A102" s="989" t="s">
        <v>248</v>
      </c>
      <c r="B102" s="990" t="s">
        <v>736</v>
      </c>
      <c r="C102" s="992"/>
      <c r="D102" s="989"/>
      <c r="E102" s="994">
        <v>0</v>
      </c>
      <c r="F102" s="994">
        <v>0</v>
      </c>
    </row>
    <row r="103" spans="1:6">
      <c r="A103" s="992">
        <v>1</v>
      </c>
      <c r="B103" s="993" t="s">
        <v>133</v>
      </c>
      <c r="C103" s="992" t="s">
        <v>134</v>
      </c>
      <c r="D103" s="992">
        <v>1</v>
      </c>
      <c r="E103" s="994">
        <v>400000</v>
      </c>
      <c r="F103" s="994">
        <v>400000</v>
      </c>
    </row>
    <row r="104" spans="1:6">
      <c r="A104" s="992">
        <v>2</v>
      </c>
      <c r="B104" s="993" t="s">
        <v>135</v>
      </c>
      <c r="C104" s="992" t="s">
        <v>136</v>
      </c>
      <c r="D104" s="992">
        <v>1</v>
      </c>
      <c r="E104" s="994">
        <v>10000</v>
      </c>
      <c r="F104" s="994">
        <v>10000</v>
      </c>
    </row>
    <row r="105" spans="1:6">
      <c r="A105" s="992">
        <v>3</v>
      </c>
      <c r="B105" s="993" t="s">
        <v>604</v>
      </c>
      <c r="C105" s="992" t="s">
        <v>136</v>
      </c>
      <c r="D105" s="992">
        <v>1</v>
      </c>
      <c r="E105" s="994">
        <v>10000</v>
      </c>
      <c r="F105" s="994">
        <v>10000</v>
      </c>
    </row>
    <row r="106" spans="1:6">
      <c r="A106" s="992">
        <v>4</v>
      </c>
      <c r="B106" s="993" t="s">
        <v>737</v>
      </c>
      <c r="C106" s="992" t="s">
        <v>134</v>
      </c>
      <c r="D106" s="992">
        <v>1</v>
      </c>
      <c r="E106" s="994">
        <v>1000</v>
      </c>
      <c r="F106" s="994">
        <v>1000</v>
      </c>
    </row>
    <row r="107" spans="1:6" ht="18.5">
      <c r="A107" s="992">
        <v>5</v>
      </c>
      <c r="B107" s="993" t="s">
        <v>738</v>
      </c>
      <c r="C107" s="992" t="s">
        <v>134</v>
      </c>
      <c r="D107" s="992">
        <v>1</v>
      </c>
      <c r="E107" s="994">
        <v>10000</v>
      </c>
      <c r="F107" s="994">
        <v>10000</v>
      </c>
    </row>
    <row r="108" spans="1:6">
      <c r="A108" s="992">
        <v>6</v>
      </c>
      <c r="B108" s="993" t="s">
        <v>739</v>
      </c>
      <c r="C108" s="992" t="s">
        <v>94</v>
      </c>
      <c r="D108" s="992">
        <v>1</v>
      </c>
      <c r="E108" s="994">
        <v>1000</v>
      </c>
      <c r="F108" s="994">
        <v>1000</v>
      </c>
    </row>
    <row r="109" spans="1:6">
      <c r="A109" s="992">
        <v>7</v>
      </c>
      <c r="B109" s="993" t="s">
        <v>137</v>
      </c>
      <c r="C109" s="992" t="s">
        <v>94</v>
      </c>
      <c r="D109" s="992">
        <v>1</v>
      </c>
      <c r="E109" s="994">
        <v>20000</v>
      </c>
      <c r="F109" s="994">
        <v>20000</v>
      </c>
    </row>
    <row r="110" spans="1:6">
      <c r="A110" s="992">
        <v>8</v>
      </c>
      <c r="B110" s="993" t="s">
        <v>138</v>
      </c>
      <c r="C110" s="992" t="s">
        <v>94</v>
      </c>
      <c r="D110" s="992">
        <v>1</v>
      </c>
      <c r="E110" s="994">
        <v>20000</v>
      </c>
      <c r="F110" s="994">
        <v>20000</v>
      </c>
    </row>
    <row r="111" spans="1:6">
      <c r="A111" s="992">
        <v>9</v>
      </c>
      <c r="B111" s="993" t="s">
        <v>165</v>
      </c>
      <c r="C111" s="992" t="s">
        <v>139</v>
      </c>
      <c r="D111" s="992">
        <v>1</v>
      </c>
      <c r="E111" s="994">
        <v>70000</v>
      </c>
      <c r="F111" s="994">
        <v>70000</v>
      </c>
    </row>
    <row r="112" spans="1:6">
      <c r="A112" s="992">
        <v>10</v>
      </c>
      <c r="B112" s="993" t="s">
        <v>166</v>
      </c>
      <c r="C112" s="992" t="s">
        <v>139</v>
      </c>
      <c r="D112" s="992">
        <v>1</v>
      </c>
      <c r="E112" s="994">
        <v>140000</v>
      </c>
      <c r="F112" s="994">
        <v>140000</v>
      </c>
    </row>
    <row r="113" spans="1:6">
      <c r="A113" s="992">
        <v>11</v>
      </c>
      <c r="B113" s="993" t="s">
        <v>162</v>
      </c>
      <c r="C113" s="992" t="s">
        <v>272</v>
      </c>
      <c r="D113" s="992">
        <v>1</v>
      </c>
      <c r="E113" s="994">
        <v>11000</v>
      </c>
      <c r="F113" s="994">
        <v>11000</v>
      </c>
    </row>
    <row r="114" spans="1:6">
      <c r="A114" s="992">
        <v>12</v>
      </c>
      <c r="B114" s="993" t="s">
        <v>662</v>
      </c>
      <c r="C114" s="992" t="s">
        <v>134</v>
      </c>
      <c r="D114" s="992">
        <v>1</v>
      </c>
      <c r="E114" s="994">
        <v>1650</v>
      </c>
      <c r="F114" s="994">
        <v>1650</v>
      </c>
    </row>
    <row r="115" spans="1:6">
      <c r="A115" s="992">
        <v>13</v>
      </c>
      <c r="B115" s="993" t="s">
        <v>658</v>
      </c>
      <c r="C115" s="992" t="s">
        <v>134</v>
      </c>
      <c r="D115" s="992">
        <v>1</v>
      </c>
      <c r="E115" s="994">
        <v>1000</v>
      </c>
      <c r="F115" s="994">
        <v>1000</v>
      </c>
    </row>
    <row r="116" spans="1:6">
      <c r="A116" s="992">
        <v>14</v>
      </c>
      <c r="B116" s="993" t="s">
        <v>740</v>
      </c>
      <c r="C116" s="992" t="s">
        <v>134</v>
      </c>
      <c r="D116" s="992">
        <v>1</v>
      </c>
      <c r="E116" s="994">
        <v>1500</v>
      </c>
      <c r="F116" s="994">
        <v>1500</v>
      </c>
    </row>
    <row r="117" spans="1:6">
      <c r="A117" s="992">
        <v>15</v>
      </c>
      <c r="B117" s="993" t="s">
        <v>164</v>
      </c>
      <c r="C117" s="992" t="s">
        <v>16</v>
      </c>
      <c r="D117" s="992">
        <v>1</v>
      </c>
      <c r="E117" s="994">
        <v>225000</v>
      </c>
      <c r="F117" s="994">
        <v>225000</v>
      </c>
    </row>
    <row r="118" spans="1:6">
      <c r="A118" s="992">
        <v>16</v>
      </c>
      <c r="B118" s="993" t="s">
        <v>651</v>
      </c>
      <c r="C118" s="992" t="s">
        <v>116</v>
      </c>
      <c r="D118" s="992">
        <v>1</v>
      </c>
      <c r="E118" s="994">
        <v>8500</v>
      </c>
      <c r="F118" s="994">
        <v>8500</v>
      </c>
    </row>
    <row r="119" spans="1:6">
      <c r="A119" s="992">
        <v>17</v>
      </c>
      <c r="B119" s="993" t="s">
        <v>741</v>
      </c>
      <c r="C119" s="992" t="s">
        <v>116</v>
      </c>
      <c r="D119" s="992">
        <v>1</v>
      </c>
      <c r="E119" s="994">
        <v>8500</v>
      </c>
      <c r="F119" s="994">
        <v>8500</v>
      </c>
    </row>
    <row r="120" spans="1:6">
      <c r="A120" s="992">
        <v>18</v>
      </c>
      <c r="B120" s="993" t="s">
        <v>742</v>
      </c>
      <c r="C120" s="992" t="s">
        <v>116</v>
      </c>
      <c r="D120" s="992">
        <v>1</v>
      </c>
      <c r="E120" s="994">
        <v>8500</v>
      </c>
      <c r="F120" s="994">
        <v>8500</v>
      </c>
    </row>
    <row r="121" spans="1:6">
      <c r="A121" s="992">
        <v>19</v>
      </c>
      <c r="B121" s="993" t="s">
        <v>743</v>
      </c>
      <c r="C121" s="992" t="s">
        <v>116</v>
      </c>
      <c r="D121" s="992">
        <v>1</v>
      </c>
      <c r="E121" s="994">
        <v>8500</v>
      </c>
      <c r="F121" s="994">
        <v>8500</v>
      </c>
    </row>
    <row r="122" spans="1:6">
      <c r="A122" s="992">
        <v>20</v>
      </c>
      <c r="B122" s="993" t="s">
        <v>141</v>
      </c>
      <c r="C122" s="992" t="s">
        <v>116</v>
      </c>
      <c r="D122" s="992">
        <v>1</v>
      </c>
      <c r="E122" s="994">
        <v>10000</v>
      </c>
      <c r="F122" s="994">
        <v>10000</v>
      </c>
    </row>
    <row r="123" spans="1:6">
      <c r="A123" s="992">
        <v>21</v>
      </c>
      <c r="B123" s="993" t="s">
        <v>744</v>
      </c>
      <c r="C123" s="992" t="s">
        <v>116</v>
      </c>
      <c r="D123" s="992">
        <v>1</v>
      </c>
      <c r="E123" s="994">
        <v>10000</v>
      </c>
      <c r="F123" s="994">
        <v>10000</v>
      </c>
    </row>
    <row r="124" spans="1:6">
      <c r="A124" s="992">
        <v>22</v>
      </c>
      <c r="B124" s="993" t="s">
        <v>656</v>
      </c>
      <c r="C124" s="992" t="s">
        <v>116</v>
      </c>
      <c r="D124" s="992">
        <v>1</v>
      </c>
      <c r="E124" s="994">
        <v>8500</v>
      </c>
      <c r="F124" s="994">
        <v>8500</v>
      </c>
    </row>
    <row r="125" spans="1:6">
      <c r="A125" s="992">
        <v>23</v>
      </c>
      <c r="B125" s="993" t="s">
        <v>273</v>
      </c>
      <c r="C125" s="992" t="s">
        <v>116</v>
      </c>
      <c r="D125" s="992">
        <v>1</v>
      </c>
      <c r="E125" s="994">
        <v>8500</v>
      </c>
      <c r="F125" s="994">
        <v>8500</v>
      </c>
    </row>
    <row r="126" spans="1:6">
      <c r="A126" s="992">
        <v>24</v>
      </c>
      <c r="B126" s="993" t="s">
        <v>142</v>
      </c>
      <c r="C126" s="992" t="s">
        <v>16</v>
      </c>
      <c r="D126" s="992">
        <v>1</v>
      </c>
      <c r="E126" s="994">
        <v>1650</v>
      </c>
      <c r="F126" s="994">
        <v>1650</v>
      </c>
    </row>
    <row r="127" spans="1:6" s="995" customFormat="1" ht="18.5">
      <c r="A127" s="992">
        <v>25</v>
      </c>
      <c r="B127" s="993" t="s">
        <v>143</v>
      </c>
      <c r="C127" s="992" t="s">
        <v>745</v>
      </c>
      <c r="D127" s="992">
        <v>1</v>
      </c>
      <c r="E127" s="994">
        <v>317262</v>
      </c>
      <c r="F127" s="994">
        <v>317262</v>
      </c>
    </row>
    <row r="128" spans="1:6" s="995" customFormat="1" ht="18.5">
      <c r="A128" s="992">
        <v>26</v>
      </c>
      <c r="B128" s="993" t="s">
        <v>144</v>
      </c>
      <c r="C128" s="992" t="s">
        <v>745</v>
      </c>
      <c r="D128" s="992">
        <v>1</v>
      </c>
      <c r="E128" s="994">
        <v>240741</v>
      </c>
      <c r="F128" s="994">
        <v>240741</v>
      </c>
    </row>
    <row r="129" spans="1:6">
      <c r="A129" s="992">
        <v>27</v>
      </c>
      <c r="B129" s="993" t="s">
        <v>746</v>
      </c>
      <c r="C129" s="992" t="s">
        <v>91</v>
      </c>
      <c r="D129" s="992">
        <v>1</v>
      </c>
      <c r="E129" s="994">
        <v>4000</v>
      </c>
      <c r="F129" s="994">
        <v>4000</v>
      </c>
    </row>
    <row r="130" spans="1:6" ht="18.5">
      <c r="A130" s="992">
        <v>28</v>
      </c>
      <c r="B130" s="993" t="s">
        <v>653</v>
      </c>
      <c r="C130" s="992" t="s">
        <v>745</v>
      </c>
      <c r="D130" s="992">
        <v>1</v>
      </c>
      <c r="E130" s="994">
        <v>5455000</v>
      </c>
      <c r="F130" s="994">
        <v>5455000</v>
      </c>
    </row>
    <row r="131" spans="1:6">
      <c r="A131" s="992">
        <v>29</v>
      </c>
      <c r="B131" s="993" t="s">
        <v>146</v>
      </c>
      <c r="C131" s="992" t="s">
        <v>16</v>
      </c>
      <c r="D131" s="992">
        <v>1</v>
      </c>
      <c r="E131" s="994">
        <v>24000</v>
      </c>
      <c r="F131" s="994">
        <v>24000</v>
      </c>
    </row>
    <row r="132" spans="1:6">
      <c r="A132" s="992">
        <v>30</v>
      </c>
      <c r="B132" s="993" t="s">
        <v>747</v>
      </c>
      <c r="C132" s="992" t="s">
        <v>91</v>
      </c>
      <c r="D132" s="992">
        <v>1</v>
      </c>
      <c r="E132" s="994">
        <v>500000</v>
      </c>
      <c r="F132" s="994">
        <v>500000</v>
      </c>
    </row>
    <row r="133" spans="1:6">
      <c r="A133" s="992">
        <v>31</v>
      </c>
      <c r="B133" s="993" t="s">
        <v>748</v>
      </c>
      <c r="C133" s="992" t="s">
        <v>16</v>
      </c>
      <c r="D133" s="992">
        <v>1</v>
      </c>
      <c r="E133" s="994">
        <v>14500</v>
      </c>
      <c r="F133" s="994">
        <v>14500</v>
      </c>
    </row>
    <row r="134" spans="1:6">
      <c r="A134" s="992">
        <v>32</v>
      </c>
      <c r="B134" s="993" t="s">
        <v>148</v>
      </c>
      <c r="C134" s="992" t="s">
        <v>149</v>
      </c>
      <c r="D134" s="992">
        <v>1</v>
      </c>
      <c r="E134" s="994">
        <v>24820</v>
      </c>
      <c r="F134" s="994">
        <v>24820</v>
      </c>
    </row>
    <row r="135" spans="1:6">
      <c r="A135" s="992">
        <v>33</v>
      </c>
      <c r="B135" s="993" t="s">
        <v>150</v>
      </c>
      <c r="C135" s="992" t="s">
        <v>149</v>
      </c>
      <c r="D135" s="992">
        <v>1</v>
      </c>
      <c r="E135" s="994">
        <v>79000</v>
      </c>
      <c r="F135" s="994">
        <v>79000</v>
      </c>
    </row>
    <row r="136" spans="1:6">
      <c r="A136" s="992">
        <v>34</v>
      </c>
      <c r="B136" s="993" t="s">
        <v>151</v>
      </c>
      <c r="C136" s="992" t="s">
        <v>152</v>
      </c>
      <c r="D136" s="992">
        <v>1</v>
      </c>
      <c r="E136" s="994">
        <v>50000</v>
      </c>
      <c r="F136" s="994">
        <v>50000</v>
      </c>
    </row>
    <row r="137" spans="1:6">
      <c r="A137" s="992">
        <v>35</v>
      </c>
      <c r="B137" s="993" t="s">
        <v>749</v>
      </c>
      <c r="C137" s="992" t="s">
        <v>99</v>
      </c>
      <c r="D137" s="992">
        <v>1</v>
      </c>
      <c r="E137" s="994">
        <v>87000</v>
      </c>
      <c r="F137" s="994">
        <v>87000</v>
      </c>
    </row>
    <row r="138" spans="1:6">
      <c r="A138" s="992">
        <v>36</v>
      </c>
      <c r="B138" s="993" t="s">
        <v>750</v>
      </c>
      <c r="C138" s="992" t="s">
        <v>134</v>
      </c>
      <c r="D138" s="992">
        <v>1</v>
      </c>
      <c r="E138" s="994">
        <v>1000</v>
      </c>
      <c r="F138" s="994">
        <v>1000</v>
      </c>
    </row>
    <row r="139" spans="1:6">
      <c r="A139" s="992">
        <v>37</v>
      </c>
      <c r="B139" s="993" t="s">
        <v>751</v>
      </c>
      <c r="C139" s="992" t="s">
        <v>134</v>
      </c>
      <c r="D139" s="992">
        <v>1</v>
      </c>
      <c r="E139" s="994">
        <v>1000</v>
      </c>
      <c r="F139" s="994">
        <v>1000</v>
      </c>
    </row>
    <row r="140" spans="1:6">
      <c r="A140" s="992">
        <v>38</v>
      </c>
      <c r="B140" s="993" t="s">
        <v>160</v>
      </c>
      <c r="C140" s="992" t="s">
        <v>91</v>
      </c>
      <c r="D140" s="992">
        <v>1</v>
      </c>
      <c r="E140" s="994">
        <v>1000</v>
      </c>
      <c r="F140" s="994">
        <v>1000</v>
      </c>
    </row>
    <row r="141" spans="1:6">
      <c r="A141" s="992">
        <v>39</v>
      </c>
      <c r="B141" s="993" t="s">
        <v>752</v>
      </c>
      <c r="C141" s="992" t="s">
        <v>134</v>
      </c>
      <c r="D141" s="992">
        <v>1</v>
      </c>
      <c r="E141" s="994">
        <v>1000</v>
      </c>
      <c r="F141" s="994">
        <v>1000</v>
      </c>
    </row>
    <row r="142" spans="1:6">
      <c r="A142" s="992">
        <v>40</v>
      </c>
      <c r="B142" s="993" t="s">
        <v>660</v>
      </c>
      <c r="C142" s="992" t="s">
        <v>134</v>
      </c>
      <c r="D142" s="992">
        <v>1</v>
      </c>
      <c r="E142" s="994">
        <v>1000</v>
      </c>
      <c r="F142" s="994">
        <v>1000</v>
      </c>
    </row>
    <row r="143" spans="1:6">
      <c r="A143" s="992">
        <v>41</v>
      </c>
      <c r="B143" s="993" t="s">
        <v>161</v>
      </c>
      <c r="C143" s="992" t="s">
        <v>217</v>
      </c>
      <c r="D143" s="992">
        <v>1</v>
      </c>
      <c r="E143" s="994">
        <v>10000</v>
      </c>
      <c r="F143" s="994">
        <v>10000</v>
      </c>
    </row>
    <row r="144" spans="1:6">
      <c r="A144" s="992">
        <v>42</v>
      </c>
      <c r="B144" s="993" t="s">
        <v>606</v>
      </c>
      <c r="C144" s="992" t="s">
        <v>217</v>
      </c>
      <c r="D144" s="992">
        <v>1</v>
      </c>
      <c r="E144" s="994">
        <v>10000</v>
      </c>
      <c r="F144" s="994">
        <v>10000</v>
      </c>
    </row>
    <row r="145" spans="1:6">
      <c r="A145" s="992">
        <v>43</v>
      </c>
      <c r="B145" s="993" t="s">
        <v>753</v>
      </c>
      <c r="C145" s="992" t="s">
        <v>217</v>
      </c>
      <c r="D145" s="992">
        <v>1</v>
      </c>
      <c r="E145" s="994">
        <v>10000</v>
      </c>
      <c r="F145" s="994">
        <v>10000</v>
      </c>
    </row>
    <row r="146" spans="1:6">
      <c r="A146" s="992">
        <v>44</v>
      </c>
      <c r="B146" s="993" t="s">
        <v>168</v>
      </c>
      <c r="C146" s="992" t="s">
        <v>134</v>
      </c>
      <c r="D146" s="992">
        <v>1</v>
      </c>
      <c r="E146" s="994">
        <v>12000</v>
      </c>
      <c r="F146" s="994">
        <v>12000</v>
      </c>
    </row>
    <row r="147" spans="1:6">
      <c r="A147" s="992">
        <v>45</v>
      </c>
      <c r="B147" s="993" t="s">
        <v>398</v>
      </c>
      <c r="C147" s="992" t="s">
        <v>167</v>
      </c>
      <c r="D147" s="992">
        <v>1</v>
      </c>
      <c r="E147" s="994">
        <v>1600000</v>
      </c>
      <c r="F147" s="994">
        <v>1600000</v>
      </c>
    </row>
    <row r="148" spans="1:6">
      <c r="A148" s="992">
        <v>46</v>
      </c>
      <c r="B148" s="993" t="s">
        <v>754</v>
      </c>
      <c r="C148" s="992" t="s">
        <v>167</v>
      </c>
      <c r="D148" s="992">
        <v>1</v>
      </c>
      <c r="E148" s="994">
        <v>1600000</v>
      </c>
      <c r="F148" s="994">
        <v>1600000</v>
      </c>
    </row>
    <row r="149" spans="1:6">
      <c r="A149" s="992">
        <v>47</v>
      </c>
      <c r="B149" s="993" t="s">
        <v>755</v>
      </c>
      <c r="C149" s="992" t="s">
        <v>167</v>
      </c>
      <c r="D149" s="992">
        <v>1</v>
      </c>
      <c r="E149" s="994">
        <v>2900000</v>
      </c>
      <c r="F149" s="994">
        <v>2900000</v>
      </c>
    </row>
    <row r="150" spans="1:6">
      <c r="A150" s="992">
        <v>48</v>
      </c>
      <c r="B150" s="993" t="s">
        <v>244</v>
      </c>
      <c r="C150" s="992" t="s">
        <v>167</v>
      </c>
      <c r="D150" s="992">
        <v>1</v>
      </c>
      <c r="E150" s="994">
        <v>1420000</v>
      </c>
      <c r="F150" s="994">
        <v>1420000</v>
      </c>
    </row>
    <row r="151" spans="1:6">
      <c r="A151" s="992">
        <v>49</v>
      </c>
      <c r="B151" s="993" t="s">
        <v>245</v>
      </c>
      <c r="C151" s="992" t="s">
        <v>167</v>
      </c>
      <c r="D151" s="992">
        <v>1</v>
      </c>
      <c r="E151" s="994">
        <v>990000</v>
      </c>
      <c r="F151" s="994">
        <v>990000</v>
      </c>
    </row>
    <row r="152" spans="1:6">
      <c r="A152" s="992">
        <v>50</v>
      </c>
      <c r="B152" s="993" t="s">
        <v>756</v>
      </c>
      <c r="C152" s="992" t="s">
        <v>167</v>
      </c>
      <c r="D152" s="992">
        <v>1</v>
      </c>
      <c r="E152" s="994">
        <v>620000</v>
      </c>
      <c r="F152" s="994">
        <v>620000</v>
      </c>
    </row>
    <row r="153" spans="1:6">
      <c r="A153" s="992">
        <v>51</v>
      </c>
      <c r="B153" s="993" t="s">
        <v>757</v>
      </c>
      <c r="C153" s="992" t="s">
        <v>758</v>
      </c>
      <c r="D153" s="992">
        <v>1</v>
      </c>
      <c r="E153" s="994">
        <v>68000</v>
      </c>
      <c r="F153" s="994">
        <v>68000</v>
      </c>
    </row>
    <row r="154" spans="1:6">
      <c r="A154" s="992">
        <v>52</v>
      </c>
      <c r="B154" s="993" t="s">
        <v>399</v>
      </c>
      <c r="C154" s="992" t="s">
        <v>218</v>
      </c>
      <c r="D154" s="992">
        <v>1</v>
      </c>
      <c r="E154" s="994">
        <v>120000</v>
      </c>
      <c r="F154" s="994">
        <v>120000</v>
      </c>
    </row>
    <row r="155" spans="1:6">
      <c r="A155" s="992">
        <v>53</v>
      </c>
      <c r="B155" s="993" t="s">
        <v>400</v>
      </c>
      <c r="C155" s="992" t="s">
        <v>218</v>
      </c>
      <c r="D155" s="992">
        <v>1</v>
      </c>
      <c r="E155" s="994">
        <v>120000</v>
      </c>
      <c r="F155" s="994">
        <v>120000</v>
      </c>
    </row>
    <row r="156" spans="1:6">
      <c r="A156" s="992">
        <v>54</v>
      </c>
      <c r="B156" s="993" t="s">
        <v>408</v>
      </c>
      <c r="C156" s="992" t="s">
        <v>94</v>
      </c>
      <c r="D156" s="992">
        <v>1</v>
      </c>
      <c r="E156" s="994">
        <v>160000</v>
      </c>
      <c r="F156" s="994">
        <v>160000</v>
      </c>
    </row>
    <row r="157" spans="1:6">
      <c r="A157" s="992">
        <v>55</v>
      </c>
      <c r="B157" s="993" t="s">
        <v>163</v>
      </c>
      <c r="C157" s="992" t="s">
        <v>94</v>
      </c>
      <c r="D157" s="992">
        <v>1</v>
      </c>
      <c r="E157" s="994">
        <v>160000</v>
      </c>
      <c r="F157" s="994">
        <v>160000</v>
      </c>
    </row>
    <row r="158" spans="1:6" ht="31">
      <c r="A158" s="992">
        <v>56</v>
      </c>
      <c r="B158" s="993" t="s">
        <v>759</v>
      </c>
      <c r="C158" s="992" t="s">
        <v>134</v>
      </c>
      <c r="D158" s="992">
        <v>1</v>
      </c>
      <c r="E158" s="994">
        <v>30000</v>
      </c>
      <c r="F158" s="994">
        <v>30000</v>
      </c>
    </row>
    <row r="159" spans="1:6">
      <c r="A159" s="992">
        <v>57</v>
      </c>
      <c r="B159" s="993" t="s">
        <v>760</v>
      </c>
      <c r="C159" s="992" t="s">
        <v>91</v>
      </c>
      <c r="D159" s="992">
        <v>1</v>
      </c>
      <c r="E159" s="994">
        <v>7500</v>
      </c>
      <c r="F159" s="994">
        <v>7500</v>
      </c>
    </row>
    <row r="160" spans="1:6">
      <c r="A160" s="992">
        <v>58</v>
      </c>
      <c r="B160" s="993" t="s">
        <v>655</v>
      </c>
      <c r="C160" s="992" t="s">
        <v>94</v>
      </c>
      <c r="D160" s="992">
        <v>1</v>
      </c>
      <c r="E160" s="994">
        <v>150000</v>
      </c>
      <c r="F160" s="994">
        <v>150000</v>
      </c>
    </row>
    <row r="161" spans="1:6">
      <c r="A161" s="992">
        <v>59</v>
      </c>
      <c r="B161" s="993" t="s">
        <v>398</v>
      </c>
      <c r="C161" s="992" t="s">
        <v>167</v>
      </c>
      <c r="D161" s="992">
        <v>1</v>
      </c>
      <c r="E161" s="994">
        <v>1600000</v>
      </c>
      <c r="F161" s="994">
        <v>1600000</v>
      </c>
    </row>
    <row r="162" spans="1:6">
      <c r="A162" s="992">
        <v>60</v>
      </c>
      <c r="B162" s="993" t="s">
        <v>761</v>
      </c>
      <c r="C162" s="992" t="s">
        <v>167</v>
      </c>
      <c r="D162" s="992">
        <v>1</v>
      </c>
      <c r="E162" s="994">
        <v>1600000</v>
      </c>
      <c r="F162" s="994">
        <v>1600000</v>
      </c>
    </row>
    <row r="163" spans="1:6">
      <c r="A163" s="992">
        <v>61</v>
      </c>
      <c r="B163" s="993" t="s">
        <v>762</v>
      </c>
      <c r="C163" s="992" t="s">
        <v>167</v>
      </c>
      <c r="D163" s="992">
        <v>1</v>
      </c>
      <c r="E163" s="994">
        <v>605000</v>
      </c>
      <c r="F163" s="994">
        <v>605000</v>
      </c>
    </row>
    <row r="164" spans="1:6">
      <c r="A164" s="992">
        <v>62</v>
      </c>
      <c r="B164" s="993" t="s">
        <v>572</v>
      </c>
      <c r="C164" s="992" t="s">
        <v>167</v>
      </c>
      <c r="D164" s="992">
        <v>1</v>
      </c>
      <c r="E164" s="994">
        <v>2200000</v>
      </c>
      <c r="F164" s="994">
        <v>2200000</v>
      </c>
    </row>
    <row r="165" spans="1:6">
      <c r="A165" s="992">
        <v>63</v>
      </c>
      <c r="B165" s="993" t="s">
        <v>657</v>
      </c>
      <c r="C165" s="992" t="s">
        <v>116</v>
      </c>
      <c r="D165" s="992">
        <v>1</v>
      </c>
      <c r="E165" s="994">
        <v>28000</v>
      </c>
      <c r="F165" s="994">
        <v>28000</v>
      </c>
    </row>
    <row r="166" spans="1:6">
      <c r="A166" s="992">
        <v>64</v>
      </c>
      <c r="B166" s="993" t="s">
        <v>763</v>
      </c>
      <c r="C166" s="992" t="s">
        <v>149</v>
      </c>
      <c r="D166" s="992">
        <v>1</v>
      </c>
      <c r="E166" s="994">
        <v>51000</v>
      </c>
      <c r="F166" s="994">
        <v>51000</v>
      </c>
    </row>
    <row r="167" spans="1:6">
      <c r="A167" s="992">
        <v>65</v>
      </c>
      <c r="B167" s="993" t="s">
        <v>764</v>
      </c>
      <c r="C167" s="992" t="s">
        <v>91</v>
      </c>
      <c r="D167" s="992">
        <v>1</v>
      </c>
      <c r="E167" s="994">
        <v>25000</v>
      </c>
      <c r="F167" s="994">
        <v>25000</v>
      </c>
    </row>
    <row r="168" spans="1:6">
      <c r="A168" s="992">
        <v>66</v>
      </c>
      <c r="B168" s="993" t="s">
        <v>765</v>
      </c>
      <c r="C168" s="992" t="s">
        <v>91</v>
      </c>
      <c r="D168" s="992">
        <v>1</v>
      </c>
      <c r="E168" s="994">
        <v>12000</v>
      </c>
      <c r="F168" s="994">
        <v>12000</v>
      </c>
    </row>
    <row r="169" spans="1:6">
      <c r="A169" s="992">
        <v>67</v>
      </c>
      <c r="B169" s="993" t="s">
        <v>766</v>
      </c>
      <c r="C169" s="992" t="s">
        <v>134</v>
      </c>
      <c r="D169" s="992">
        <v>1</v>
      </c>
      <c r="E169" s="994">
        <v>400000</v>
      </c>
      <c r="F169" s="994">
        <v>400000</v>
      </c>
    </row>
    <row r="170" spans="1:6">
      <c r="A170" s="992">
        <v>68</v>
      </c>
      <c r="B170" s="993" t="s">
        <v>767</v>
      </c>
      <c r="C170" s="992" t="s">
        <v>149</v>
      </c>
      <c r="D170" s="992">
        <v>1</v>
      </c>
      <c r="E170" s="994">
        <v>45000</v>
      </c>
      <c r="F170" s="994">
        <v>45000</v>
      </c>
    </row>
    <row r="171" spans="1:6">
      <c r="A171" s="992">
        <v>69</v>
      </c>
      <c r="B171" s="993" t="s">
        <v>768</v>
      </c>
      <c r="C171" s="992" t="s">
        <v>91</v>
      </c>
      <c r="D171" s="992">
        <v>1</v>
      </c>
      <c r="E171" s="994">
        <v>550000</v>
      </c>
      <c r="F171" s="994">
        <v>550000</v>
      </c>
    </row>
    <row r="172" spans="1:6">
      <c r="A172" s="992">
        <v>70</v>
      </c>
      <c r="B172" s="993" t="s">
        <v>769</v>
      </c>
      <c r="C172" s="992" t="s">
        <v>91</v>
      </c>
      <c r="D172" s="992">
        <v>1</v>
      </c>
      <c r="E172" s="994">
        <v>35000</v>
      </c>
      <c r="F172" s="994">
        <v>35000</v>
      </c>
    </row>
    <row r="173" spans="1:6">
      <c r="A173" s="992">
        <v>71</v>
      </c>
      <c r="B173" s="993" t="s">
        <v>556</v>
      </c>
      <c r="C173" s="992" t="s">
        <v>167</v>
      </c>
      <c r="D173" s="992">
        <v>1</v>
      </c>
      <c r="E173" s="994">
        <v>12000</v>
      </c>
      <c r="F173" s="994">
        <v>12000</v>
      </c>
    </row>
    <row r="174" spans="1:6">
      <c r="A174" s="992">
        <v>72</v>
      </c>
      <c r="B174" s="993" t="s">
        <v>555</v>
      </c>
      <c r="C174" s="992" t="s">
        <v>167</v>
      </c>
      <c r="D174" s="992">
        <v>1</v>
      </c>
      <c r="E174" s="994">
        <v>3500</v>
      </c>
      <c r="F174" s="994">
        <v>3500</v>
      </c>
    </row>
    <row r="175" spans="1:6">
      <c r="A175" s="992">
        <v>73</v>
      </c>
      <c r="B175" s="993" t="s">
        <v>770</v>
      </c>
      <c r="C175" s="992" t="s">
        <v>91</v>
      </c>
      <c r="D175" s="992">
        <v>1</v>
      </c>
      <c r="E175" s="994">
        <v>40000</v>
      </c>
      <c r="F175" s="994">
        <v>40000</v>
      </c>
    </row>
    <row r="176" spans="1:6">
      <c r="A176" s="992">
        <v>74</v>
      </c>
      <c r="B176" s="993" t="s">
        <v>771</v>
      </c>
      <c r="C176" s="992" t="s">
        <v>134</v>
      </c>
      <c r="D176" s="992">
        <v>1</v>
      </c>
      <c r="E176" s="994">
        <v>1000</v>
      </c>
      <c r="F176" s="994">
        <v>1000</v>
      </c>
    </row>
    <row r="177" spans="1:6">
      <c r="A177" s="992">
        <v>75</v>
      </c>
      <c r="B177" s="993" t="s">
        <v>772</v>
      </c>
      <c r="C177" s="992" t="s">
        <v>134</v>
      </c>
      <c r="D177" s="992">
        <v>1</v>
      </c>
      <c r="E177" s="994">
        <v>1000</v>
      </c>
      <c r="F177" s="994">
        <v>1000</v>
      </c>
    </row>
    <row r="178" spans="1:6">
      <c r="A178" s="992">
        <v>76</v>
      </c>
      <c r="B178" s="993" t="s">
        <v>773</v>
      </c>
      <c r="C178" s="992" t="s">
        <v>134</v>
      </c>
      <c r="D178" s="992">
        <v>1</v>
      </c>
      <c r="E178" s="994">
        <v>1000</v>
      </c>
      <c r="F178" s="994">
        <v>1000</v>
      </c>
    </row>
    <row r="179" spans="1:6">
      <c r="A179" s="992">
        <v>77</v>
      </c>
      <c r="B179" s="993" t="s">
        <v>774</v>
      </c>
      <c r="C179" s="992" t="s">
        <v>134</v>
      </c>
      <c r="D179" s="992">
        <v>1</v>
      </c>
      <c r="E179" s="994">
        <v>1000</v>
      </c>
      <c r="F179" s="994">
        <v>1000</v>
      </c>
    </row>
    <row r="180" spans="1:6">
      <c r="A180" s="992">
        <v>78</v>
      </c>
      <c r="B180" s="993" t="s">
        <v>607</v>
      </c>
      <c r="C180" s="992" t="s">
        <v>574</v>
      </c>
      <c r="D180" s="992">
        <v>1</v>
      </c>
      <c r="E180" s="994">
        <v>5000</v>
      </c>
      <c r="F180" s="994">
        <v>5000</v>
      </c>
    </row>
    <row r="181" spans="1:6">
      <c r="A181" s="992">
        <v>79</v>
      </c>
      <c r="B181" s="993" t="s">
        <v>610</v>
      </c>
      <c r="C181" s="992" t="s">
        <v>91</v>
      </c>
      <c r="D181" s="992">
        <v>1</v>
      </c>
      <c r="E181" s="994">
        <v>20000</v>
      </c>
      <c r="F181" s="994">
        <v>20000</v>
      </c>
    </row>
    <row r="182" spans="1:6">
      <c r="A182" s="992">
        <v>80</v>
      </c>
      <c r="B182" s="993" t="s">
        <v>609</v>
      </c>
      <c r="C182" s="992" t="s">
        <v>91</v>
      </c>
      <c r="D182" s="992">
        <v>1</v>
      </c>
      <c r="E182" s="994">
        <v>10000</v>
      </c>
      <c r="F182" s="994">
        <v>10000</v>
      </c>
    </row>
    <row r="183" spans="1:6">
      <c r="A183" s="992">
        <v>81</v>
      </c>
      <c r="B183" s="993" t="s">
        <v>775</v>
      </c>
      <c r="C183" s="992" t="s">
        <v>707</v>
      </c>
      <c r="D183" s="992">
        <v>1</v>
      </c>
      <c r="E183" s="994">
        <v>2000</v>
      </c>
      <c r="F183" s="994">
        <v>2000</v>
      </c>
    </row>
    <row r="184" spans="1:6">
      <c r="A184" s="992">
        <v>82</v>
      </c>
      <c r="B184" s="993" t="s">
        <v>605</v>
      </c>
      <c r="C184" s="992" t="s">
        <v>91</v>
      </c>
      <c r="D184" s="992">
        <v>1</v>
      </c>
      <c r="E184" s="994">
        <v>3000</v>
      </c>
      <c r="F184" s="994">
        <v>3000</v>
      </c>
    </row>
    <row r="185" spans="1:6">
      <c r="A185" s="992">
        <v>83</v>
      </c>
      <c r="B185" s="993" t="s">
        <v>776</v>
      </c>
      <c r="C185" s="992" t="s">
        <v>134</v>
      </c>
      <c r="D185" s="992">
        <v>1</v>
      </c>
      <c r="E185" s="994">
        <v>150000</v>
      </c>
      <c r="F185" s="994">
        <v>150000</v>
      </c>
    </row>
    <row r="186" spans="1:6">
      <c r="A186" s="992">
        <v>84</v>
      </c>
      <c r="B186" s="993" t="s">
        <v>279</v>
      </c>
      <c r="C186" s="992" t="s">
        <v>91</v>
      </c>
      <c r="D186" s="992">
        <v>1</v>
      </c>
      <c r="E186" s="994">
        <v>2700</v>
      </c>
      <c r="F186" s="994">
        <v>2700</v>
      </c>
    </row>
    <row r="187" spans="1:6">
      <c r="A187" s="992">
        <v>85</v>
      </c>
      <c r="B187" s="993" t="s">
        <v>280</v>
      </c>
      <c r="C187" s="992" t="s">
        <v>91</v>
      </c>
      <c r="D187" s="992">
        <v>1</v>
      </c>
      <c r="E187" s="994">
        <v>4000</v>
      </c>
      <c r="F187" s="994">
        <v>4000</v>
      </c>
    </row>
    <row r="188" spans="1:6">
      <c r="A188" s="992">
        <v>86</v>
      </c>
      <c r="B188" s="993" t="s">
        <v>281</v>
      </c>
      <c r="C188" s="992" t="s">
        <v>91</v>
      </c>
      <c r="D188" s="992">
        <v>1</v>
      </c>
      <c r="E188" s="994">
        <v>400000</v>
      </c>
      <c r="F188" s="994">
        <v>400000</v>
      </c>
    </row>
    <row r="189" spans="1:6">
      <c r="A189" s="992">
        <v>87</v>
      </c>
      <c r="B189" s="993" t="s">
        <v>777</v>
      </c>
      <c r="C189" s="992" t="s">
        <v>134</v>
      </c>
      <c r="D189" s="992">
        <v>1</v>
      </c>
      <c r="E189" s="994">
        <v>30000</v>
      </c>
      <c r="F189" s="994">
        <v>30000</v>
      </c>
    </row>
    <row r="190" spans="1:6">
      <c r="A190" s="992">
        <v>88</v>
      </c>
      <c r="B190" s="993" t="s">
        <v>778</v>
      </c>
      <c r="C190" s="992" t="s">
        <v>707</v>
      </c>
      <c r="D190" s="992">
        <v>1</v>
      </c>
      <c r="E190" s="994">
        <v>1000</v>
      </c>
      <c r="F190" s="994">
        <v>1000</v>
      </c>
    </row>
    <row r="191" spans="1:6">
      <c r="A191" s="992">
        <v>89</v>
      </c>
      <c r="B191" s="993" t="s">
        <v>779</v>
      </c>
      <c r="C191" s="992" t="s">
        <v>134</v>
      </c>
      <c r="D191" s="992">
        <v>1</v>
      </c>
      <c r="E191" s="994">
        <v>770000</v>
      </c>
      <c r="F191" s="994">
        <v>770000</v>
      </c>
    </row>
    <row r="192" spans="1:6">
      <c r="A192" s="992">
        <v>90</v>
      </c>
      <c r="B192" s="993" t="s">
        <v>780</v>
      </c>
      <c r="C192" s="992" t="s">
        <v>167</v>
      </c>
      <c r="D192" s="992">
        <v>1</v>
      </c>
      <c r="E192" s="994">
        <v>2600</v>
      </c>
      <c r="F192" s="994">
        <v>2600</v>
      </c>
    </row>
    <row r="193" spans="1:6">
      <c r="A193" s="992">
        <v>91</v>
      </c>
      <c r="B193" s="993" t="s">
        <v>781</v>
      </c>
      <c r="C193" s="992" t="s">
        <v>167</v>
      </c>
      <c r="D193" s="992">
        <v>1</v>
      </c>
      <c r="E193" s="994">
        <v>3500</v>
      </c>
      <c r="F193" s="994">
        <v>3500</v>
      </c>
    </row>
    <row r="194" spans="1:6">
      <c r="A194" s="992">
        <v>92</v>
      </c>
      <c r="B194" s="993" t="s">
        <v>782</v>
      </c>
      <c r="C194" s="992" t="s">
        <v>91</v>
      </c>
      <c r="D194" s="992">
        <v>1</v>
      </c>
      <c r="E194" s="994">
        <v>38600</v>
      </c>
      <c r="F194" s="994">
        <v>38600</v>
      </c>
    </row>
    <row r="195" spans="1:6">
      <c r="A195" s="992">
        <v>93</v>
      </c>
      <c r="B195" s="993" t="s">
        <v>783</v>
      </c>
      <c r="C195" s="992" t="s">
        <v>784</v>
      </c>
      <c r="D195" s="992">
        <v>1</v>
      </c>
      <c r="E195" s="994">
        <v>4700</v>
      </c>
      <c r="F195" s="994">
        <v>4700</v>
      </c>
    </row>
    <row r="196" spans="1:6">
      <c r="A196" s="992">
        <v>94</v>
      </c>
      <c r="B196" s="993" t="s">
        <v>785</v>
      </c>
      <c r="C196" s="992" t="s">
        <v>91</v>
      </c>
      <c r="D196" s="992">
        <v>1</v>
      </c>
      <c r="E196" s="994">
        <v>145000</v>
      </c>
      <c r="F196" s="994">
        <v>145000</v>
      </c>
    </row>
    <row r="197" spans="1:6">
      <c r="A197" s="992">
        <v>95</v>
      </c>
      <c r="B197" s="993" t="s">
        <v>786</v>
      </c>
      <c r="C197" s="992" t="s">
        <v>16</v>
      </c>
      <c r="D197" s="992">
        <v>1</v>
      </c>
      <c r="E197" s="994">
        <v>168000</v>
      </c>
      <c r="F197" s="994">
        <v>168000</v>
      </c>
    </row>
    <row r="198" spans="1:6">
      <c r="A198" s="992">
        <v>96</v>
      </c>
      <c r="B198" s="993" t="s">
        <v>787</v>
      </c>
      <c r="C198" s="992" t="s">
        <v>16</v>
      </c>
      <c r="D198" s="992">
        <v>1</v>
      </c>
      <c r="E198" s="994">
        <v>14000</v>
      </c>
      <c r="F198" s="994">
        <v>14000</v>
      </c>
    </row>
    <row r="199" spans="1:6">
      <c r="A199" s="992">
        <v>97</v>
      </c>
      <c r="B199" s="993" t="s">
        <v>788</v>
      </c>
      <c r="C199" s="992" t="s">
        <v>789</v>
      </c>
      <c r="D199" s="992">
        <v>1</v>
      </c>
      <c r="E199" s="994">
        <v>130000</v>
      </c>
      <c r="F199" s="994">
        <v>130000</v>
      </c>
    </row>
    <row r="200" spans="1:6">
      <c r="A200" s="992">
        <v>98</v>
      </c>
      <c r="B200" s="993" t="s">
        <v>790</v>
      </c>
      <c r="C200" s="992" t="s">
        <v>91</v>
      </c>
      <c r="D200" s="992">
        <v>1</v>
      </c>
      <c r="E200" s="994">
        <v>305000</v>
      </c>
      <c r="F200" s="994">
        <v>305000</v>
      </c>
    </row>
    <row r="201" spans="1:6">
      <c r="A201" s="992">
        <v>99</v>
      </c>
      <c r="B201" s="993" t="s">
        <v>791</v>
      </c>
      <c r="C201" s="992" t="s">
        <v>91</v>
      </c>
      <c r="D201" s="992">
        <v>1</v>
      </c>
      <c r="E201" s="994">
        <v>850000</v>
      </c>
      <c r="F201" s="994">
        <v>850000</v>
      </c>
    </row>
    <row r="202" spans="1:6">
      <c r="A202" s="992">
        <v>100</v>
      </c>
      <c r="B202" s="993" t="s">
        <v>792</v>
      </c>
      <c r="C202" s="992" t="s">
        <v>793</v>
      </c>
      <c r="D202" s="992">
        <v>1</v>
      </c>
      <c r="E202" s="994">
        <v>43000</v>
      </c>
      <c r="F202" s="994">
        <v>43000</v>
      </c>
    </row>
    <row r="203" spans="1:6">
      <c r="A203" s="992">
        <v>101</v>
      </c>
      <c r="B203" s="993" t="s">
        <v>794</v>
      </c>
      <c r="C203" s="992" t="s">
        <v>793</v>
      </c>
      <c r="D203" s="992">
        <v>1</v>
      </c>
      <c r="E203" s="994">
        <v>250000</v>
      </c>
      <c r="F203" s="994">
        <v>250000</v>
      </c>
    </row>
    <row r="204" spans="1:6">
      <c r="A204" s="992">
        <v>102</v>
      </c>
      <c r="B204" s="993" t="s">
        <v>795</v>
      </c>
      <c r="C204" s="992" t="s">
        <v>793</v>
      </c>
      <c r="D204" s="992">
        <v>1</v>
      </c>
      <c r="E204" s="994">
        <v>120000</v>
      </c>
      <c r="F204" s="994">
        <v>120000</v>
      </c>
    </row>
    <row r="205" spans="1:6">
      <c r="A205" s="992">
        <v>103</v>
      </c>
      <c r="B205" s="993" t="s">
        <v>796</v>
      </c>
      <c r="C205" s="992" t="s">
        <v>793</v>
      </c>
      <c r="D205" s="992">
        <v>1</v>
      </c>
      <c r="E205" s="994">
        <v>230000</v>
      </c>
      <c r="F205" s="994">
        <v>230000</v>
      </c>
    </row>
    <row r="206" spans="1:6">
      <c r="A206" s="992">
        <v>104</v>
      </c>
      <c r="B206" s="993" t="s">
        <v>797</v>
      </c>
      <c r="C206" s="992" t="s">
        <v>91</v>
      </c>
      <c r="D206" s="992">
        <v>1</v>
      </c>
      <c r="E206" s="994">
        <v>650000</v>
      </c>
      <c r="F206" s="994">
        <v>650000</v>
      </c>
    </row>
    <row r="207" spans="1:6">
      <c r="A207" s="992">
        <v>105</v>
      </c>
      <c r="B207" s="993" t="s">
        <v>798</v>
      </c>
      <c r="C207" s="992" t="s">
        <v>149</v>
      </c>
      <c r="D207" s="992">
        <v>1</v>
      </c>
      <c r="E207" s="994">
        <v>27000</v>
      </c>
      <c r="F207" s="994">
        <v>27000</v>
      </c>
    </row>
    <row r="208" spans="1:6">
      <c r="A208" s="992">
        <v>106</v>
      </c>
      <c r="B208" s="993" t="s">
        <v>799</v>
      </c>
      <c r="C208" s="992" t="s">
        <v>149</v>
      </c>
      <c r="D208" s="992">
        <v>1</v>
      </c>
      <c r="E208" s="994">
        <v>30620</v>
      </c>
      <c r="F208" s="994">
        <v>30620</v>
      </c>
    </row>
    <row r="209" spans="1:6">
      <c r="A209" s="992">
        <v>107</v>
      </c>
      <c r="B209" s="993" t="s">
        <v>800</v>
      </c>
      <c r="C209" s="992" t="s">
        <v>91</v>
      </c>
      <c r="D209" s="992">
        <v>1</v>
      </c>
      <c r="E209" s="994">
        <v>13560</v>
      </c>
      <c r="F209" s="994">
        <v>13560</v>
      </c>
    </row>
    <row r="210" spans="1:6">
      <c r="A210" s="992">
        <v>108</v>
      </c>
      <c r="B210" s="993" t="s">
        <v>801</v>
      </c>
      <c r="C210" s="992" t="s">
        <v>16</v>
      </c>
      <c r="D210" s="992">
        <v>1</v>
      </c>
      <c r="E210" s="994">
        <v>88000</v>
      </c>
      <c r="F210" s="994">
        <v>88000</v>
      </c>
    </row>
    <row r="211" spans="1:6">
      <c r="A211" s="992">
        <v>109</v>
      </c>
      <c r="B211" s="993" t="s">
        <v>802</v>
      </c>
      <c r="C211" s="992" t="s">
        <v>16</v>
      </c>
      <c r="D211" s="992">
        <v>1</v>
      </c>
      <c r="E211" s="994">
        <v>126000</v>
      </c>
      <c r="F211" s="994">
        <v>126000</v>
      </c>
    </row>
    <row r="212" spans="1:6">
      <c r="A212" s="992">
        <v>110</v>
      </c>
      <c r="B212" s="993" t="s">
        <v>803</v>
      </c>
      <c r="C212" s="992" t="s">
        <v>16</v>
      </c>
      <c r="D212" s="992">
        <v>1</v>
      </c>
      <c r="E212" s="994">
        <v>198000</v>
      </c>
      <c r="F212" s="994">
        <v>198000</v>
      </c>
    </row>
    <row r="213" spans="1:6">
      <c r="A213" s="992">
        <v>111</v>
      </c>
      <c r="B213" s="993" t="s">
        <v>804</v>
      </c>
      <c r="C213" s="992" t="s">
        <v>134</v>
      </c>
      <c r="D213" s="992">
        <v>1</v>
      </c>
      <c r="E213" s="994">
        <v>6182</v>
      </c>
      <c r="F213" s="994">
        <v>6182</v>
      </c>
    </row>
    <row r="214" spans="1:6">
      <c r="A214" s="992">
        <v>112</v>
      </c>
      <c r="B214" s="993" t="s">
        <v>805</v>
      </c>
      <c r="C214" s="992" t="s">
        <v>16</v>
      </c>
      <c r="D214" s="992">
        <v>1</v>
      </c>
      <c r="E214" s="994">
        <v>21172</v>
      </c>
      <c r="F214" s="994">
        <v>21172</v>
      </c>
    </row>
    <row r="215" spans="1:6">
      <c r="A215" s="992">
        <v>113</v>
      </c>
      <c r="B215" s="993" t="s">
        <v>806</v>
      </c>
      <c r="C215" s="992" t="s">
        <v>793</v>
      </c>
      <c r="D215" s="992">
        <v>1</v>
      </c>
      <c r="E215" s="994">
        <v>853000</v>
      </c>
      <c r="F215" s="994">
        <v>853000</v>
      </c>
    </row>
    <row r="216" spans="1:6" ht="18.5">
      <c r="A216" s="992">
        <v>114</v>
      </c>
      <c r="B216" s="993" t="s">
        <v>807</v>
      </c>
      <c r="C216" s="992" t="s">
        <v>808</v>
      </c>
      <c r="D216" s="992">
        <v>1</v>
      </c>
      <c r="E216" s="994">
        <v>1600000</v>
      </c>
      <c r="F216" s="994">
        <v>1600000</v>
      </c>
    </row>
    <row r="217" spans="1:6" ht="18.5">
      <c r="A217" s="992">
        <v>115</v>
      </c>
      <c r="B217" s="993" t="s">
        <v>809</v>
      </c>
      <c r="C217" s="992" t="s">
        <v>808</v>
      </c>
      <c r="D217" s="992">
        <v>1</v>
      </c>
      <c r="E217" s="994">
        <v>88000</v>
      </c>
      <c r="F217" s="994">
        <v>88000</v>
      </c>
    </row>
    <row r="218" spans="1:6">
      <c r="A218" s="992">
        <v>116</v>
      </c>
      <c r="B218" s="993" t="s">
        <v>810</v>
      </c>
      <c r="C218" s="992" t="s">
        <v>17</v>
      </c>
      <c r="D218" s="992">
        <v>1</v>
      </c>
      <c r="E218" s="994">
        <v>135000</v>
      </c>
      <c r="F218" s="994">
        <v>135000</v>
      </c>
    </row>
    <row r="219" spans="1:6">
      <c r="A219" s="992">
        <v>117</v>
      </c>
      <c r="B219" s="993" t="s">
        <v>811</v>
      </c>
      <c r="C219" s="992" t="s">
        <v>91</v>
      </c>
      <c r="D219" s="992">
        <v>1</v>
      </c>
      <c r="E219" s="994">
        <v>1000</v>
      </c>
      <c r="F219" s="994">
        <v>1000</v>
      </c>
    </row>
    <row r="220" spans="1:6">
      <c r="A220" s="992">
        <v>118</v>
      </c>
      <c r="B220" s="993" t="s">
        <v>812</v>
      </c>
      <c r="C220" s="992" t="s">
        <v>91</v>
      </c>
      <c r="D220" s="992">
        <v>1</v>
      </c>
      <c r="E220" s="994">
        <v>49680</v>
      </c>
      <c r="F220" s="994">
        <v>49680</v>
      </c>
    </row>
    <row r="221" spans="1:6">
      <c r="A221" s="992">
        <v>119</v>
      </c>
      <c r="B221" s="993" t="s">
        <v>813</v>
      </c>
      <c r="C221" s="992" t="s">
        <v>91</v>
      </c>
      <c r="D221" s="992">
        <v>1</v>
      </c>
      <c r="E221" s="994">
        <v>57600</v>
      </c>
      <c r="F221" s="994">
        <v>57600</v>
      </c>
    </row>
    <row r="222" spans="1:6">
      <c r="A222" s="992">
        <v>120</v>
      </c>
      <c r="B222" s="993" t="s">
        <v>814</v>
      </c>
      <c r="C222" s="992" t="s">
        <v>793</v>
      </c>
      <c r="D222" s="992">
        <v>1</v>
      </c>
      <c r="E222" s="994">
        <v>140000</v>
      </c>
      <c r="F222" s="994">
        <v>140000</v>
      </c>
    </row>
    <row r="223" spans="1:6">
      <c r="A223" s="992">
        <v>121</v>
      </c>
      <c r="B223" s="993" t="s">
        <v>815</v>
      </c>
      <c r="C223" s="992" t="s">
        <v>91</v>
      </c>
      <c r="D223" s="992">
        <v>1</v>
      </c>
      <c r="E223" s="994">
        <v>618426</v>
      </c>
      <c r="F223" s="994">
        <v>618426</v>
      </c>
    </row>
    <row r="224" spans="1:6">
      <c r="A224" s="992">
        <v>122</v>
      </c>
      <c r="B224" s="993" t="s">
        <v>816</v>
      </c>
      <c r="C224" s="992" t="s">
        <v>91</v>
      </c>
      <c r="D224" s="992">
        <v>1</v>
      </c>
      <c r="E224" s="994">
        <v>51000</v>
      </c>
      <c r="F224" s="994">
        <v>51000</v>
      </c>
    </row>
    <row r="225" spans="1:6">
      <c r="A225" s="992">
        <v>123</v>
      </c>
      <c r="B225" s="993" t="s">
        <v>817</v>
      </c>
      <c r="C225" s="992" t="s">
        <v>149</v>
      </c>
      <c r="D225" s="992">
        <v>1</v>
      </c>
      <c r="E225" s="994">
        <v>24360</v>
      </c>
      <c r="F225" s="994">
        <v>24360</v>
      </c>
    </row>
    <row r="226" spans="1:6">
      <c r="A226" s="992">
        <v>124</v>
      </c>
      <c r="B226" s="993" t="s">
        <v>818</v>
      </c>
      <c r="C226" s="992" t="s">
        <v>149</v>
      </c>
      <c r="D226" s="992">
        <v>1</v>
      </c>
      <c r="E226" s="994">
        <v>194249</v>
      </c>
      <c r="F226" s="994">
        <v>194249</v>
      </c>
    </row>
    <row r="227" spans="1:6">
      <c r="A227" s="992">
        <v>125</v>
      </c>
      <c r="B227" s="993" t="s">
        <v>819</v>
      </c>
      <c r="C227" s="992" t="s">
        <v>149</v>
      </c>
      <c r="D227" s="992">
        <v>1</v>
      </c>
      <c r="E227" s="994">
        <v>180000</v>
      </c>
      <c r="F227" s="994">
        <v>180000</v>
      </c>
    </row>
    <row r="228" spans="1:6">
      <c r="A228" s="992">
        <v>126</v>
      </c>
      <c r="B228" s="993" t="s">
        <v>820</v>
      </c>
      <c r="C228" s="992" t="s">
        <v>821</v>
      </c>
      <c r="D228" s="992">
        <v>1</v>
      </c>
      <c r="E228" s="994">
        <v>164000</v>
      </c>
      <c r="F228" s="994">
        <v>164000</v>
      </c>
    </row>
    <row r="229" spans="1:6" ht="18.5">
      <c r="A229" s="992">
        <v>127</v>
      </c>
      <c r="B229" s="993" t="s">
        <v>822</v>
      </c>
      <c r="C229" s="992" t="s">
        <v>745</v>
      </c>
      <c r="D229" s="992">
        <v>1</v>
      </c>
      <c r="E229" s="994">
        <v>5000</v>
      </c>
      <c r="F229" s="994">
        <v>5000</v>
      </c>
    </row>
    <row r="230" spans="1:6">
      <c r="A230" s="996" t="s">
        <v>297</v>
      </c>
      <c r="B230" s="990" t="s">
        <v>823</v>
      </c>
      <c r="C230" s="992"/>
      <c r="D230" s="992"/>
      <c r="E230" s="994">
        <v>0</v>
      </c>
      <c r="F230" s="994">
        <v>0</v>
      </c>
    </row>
    <row r="231" spans="1:6">
      <c r="A231" s="997">
        <v>1</v>
      </c>
      <c r="B231" s="993" t="s">
        <v>824</v>
      </c>
      <c r="C231" s="992" t="s">
        <v>91</v>
      </c>
      <c r="D231" s="992">
        <v>1</v>
      </c>
      <c r="E231" s="994">
        <v>686364000</v>
      </c>
      <c r="F231" s="994">
        <v>686364000</v>
      </c>
    </row>
    <row r="232" spans="1:6">
      <c r="A232" s="997">
        <v>2</v>
      </c>
      <c r="B232" s="993" t="s">
        <v>825</v>
      </c>
      <c r="C232" s="992" t="s">
        <v>94</v>
      </c>
      <c r="D232" s="992">
        <v>1</v>
      </c>
      <c r="E232" s="994">
        <v>98800000</v>
      </c>
      <c r="F232" s="994">
        <v>98800000</v>
      </c>
    </row>
    <row r="233" spans="1:6">
      <c r="A233" s="997">
        <v>3</v>
      </c>
      <c r="B233" s="993" t="s">
        <v>130</v>
      </c>
      <c r="C233" s="992" t="s">
        <v>94</v>
      </c>
      <c r="D233" s="992">
        <v>1</v>
      </c>
      <c r="E233" s="994">
        <v>13800000</v>
      </c>
      <c r="F233" s="994">
        <v>13800000</v>
      </c>
    </row>
    <row r="234" spans="1:6">
      <c r="A234" s="992">
        <v>4</v>
      </c>
      <c r="B234" s="993" t="s">
        <v>826</v>
      </c>
      <c r="C234" s="992" t="s">
        <v>91</v>
      </c>
      <c r="D234" s="992">
        <v>1</v>
      </c>
      <c r="E234" s="994">
        <v>1100000</v>
      </c>
      <c r="F234" s="994">
        <v>1100000</v>
      </c>
    </row>
    <row r="235" spans="1:6">
      <c r="A235" s="992">
        <v>5</v>
      </c>
      <c r="B235" s="993" t="s">
        <v>131</v>
      </c>
      <c r="C235" s="992" t="s">
        <v>91</v>
      </c>
      <c r="D235" s="992">
        <v>1</v>
      </c>
      <c r="E235" s="994">
        <v>13900000</v>
      </c>
      <c r="F235" s="994">
        <v>13900000</v>
      </c>
    </row>
    <row r="236" spans="1:6">
      <c r="A236" s="992">
        <v>6</v>
      </c>
      <c r="B236" s="993" t="s">
        <v>603</v>
      </c>
      <c r="C236" s="992" t="s">
        <v>94</v>
      </c>
      <c r="D236" s="992">
        <v>1</v>
      </c>
      <c r="E236" s="994">
        <v>85000000</v>
      </c>
      <c r="F236" s="994">
        <v>85000000</v>
      </c>
    </row>
    <row r="237" spans="1:6">
      <c r="A237" s="992">
        <v>7</v>
      </c>
      <c r="B237" s="993" t="s">
        <v>264</v>
      </c>
      <c r="C237" s="992" t="s">
        <v>91</v>
      </c>
      <c r="D237" s="992">
        <v>1</v>
      </c>
      <c r="E237" s="994">
        <v>13127000</v>
      </c>
      <c r="F237" s="994">
        <v>13127000</v>
      </c>
    </row>
    <row r="238" spans="1:6">
      <c r="A238" s="992">
        <v>8</v>
      </c>
      <c r="B238" s="993" t="s">
        <v>827</v>
      </c>
      <c r="C238" s="992" t="s">
        <v>91</v>
      </c>
      <c r="D238" s="992">
        <v>1</v>
      </c>
      <c r="E238" s="994">
        <v>4082000</v>
      </c>
      <c r="F238" s="994">
        <v>4082000</v>
      </c>
    </row>
    <row r="239" spans="1:6">
      <c r="A239" s="992">
        <v>9</v>
      </c>
      <c r="B239" s="993" t="s">
        <v>247</v>
      </c>
      <c r="C239" s="992" t="s">
        <v>91</v>
      </c>
      <c r="D239" s="992">
        <v>1</v>
      </c>
      <c r="E239" s="994">
        <v>101818000</v>
      </c>
      <c r="F239" s="994">
        <v>101818000</v>
      </c>
    </row>
    <row r="240" spans="1:6">
      <c r="A240" s="992">
        <v>10</v>
      </c>
      <c r="B240" s="993" t="s">
        <v>645</v>
      </c>
      <c r="C240" s="992" t="s">
        <v>91</v>
      </c>
      <c r="D240" s="992">
        <v>1</v>
      </c>
      <c r="E240" s="994">
        <v>9910000</v>
      </c>
      <c r="F240" s="994">
        <v>9910000</v>
      </c>
    </row>
    <row r="241" spans="1:6">
      <c r="A241" s="992">
        <v>11</v>
      </c>
      <c r="B241" s="993" t="s">
        <v>828</v>
      </c>
      <c r="C241" s="992" t="s">
        <v>91</v>
      </c>
      <c r="D241" s="992">
        <v>1</v>
      </c>
      <c r="E241" s="994">
        <v>51190000</v>
      </c>
      <c r="F241" s="994">
        <v>51190000</v>
      </c>
    </row>
    <row r="242" spans="1:6">
      <c r="A242" s="992">
        <v>12</v>
      </c>
      <c r="B242" s="993" t="s">
        <v>829</v>
      </c>
      <c r="C242" s="992" t="s">
        <v>91</v>
      </c>
      <c r="D242" s="992">
        <v>1</v>
      </c>
      <c r="E242" s="994">
        <v>66000000</v>
      </c>
      <c r="F242" s="994">
        <v>66000000</v>
      </c>
    </row>
    <row r="243" spans="1:6">
      <c r="A243" s="992">
        <v>13</v>
      </c>
      <c r="B243" s="993" t="s">
        <v>265</v>
      </c>
      <c r="C243" s="992" t="s">
        <v>94</v>
      </c>
      <c r="D243" s="992">
        <v>1</v>
      </c>
      <c r="E243" s="994">
        <v>16236000</v>
      </c>
      <c r="F243" s="994">
        <v>16236000</v>
      </c>
    </row>
    <row r="244" spans="1:6">
      <c r="A244" s="992">
        <v>14</v>
      </c>
      <c r="B244" s="993" t="s">
        <v>602</v>
      </c>
      <c r="C244" s="992" t="s">
        <v>91</v>
      </c>
      <c r="D244" s="992">
        <v>1</v>
      </c>
      <c r="E244" s="994">
        <v>135000000</v>
      </c>
      <c r="F244" s="994">
        <v>135000000</v>
      </c>
    </row>
    <row r="245" spans="1:6">
      <c r="A245" s="992">
        <v>15</v>
      </c>
      <c r="B245" s="993" t="s">
        <v>830</v>
      </c>
      <c r="C245" s="992" t="s">
        <v>91</v>
      </c>
      <c r="D245" s="992">
        <v>1</v>
      </c>
      <c r="E245" s="994">
        <v>14445000</v>
      </c>
      <c r="F245" s="994">
        <v>14445000</v>
      </c>
    </row>
    <row r="246" spans="1:6">
      <c r="A246" s="992">
        <v>16</v>
      </c>
      <c r="B246" s="993" t="s">
        <v>671</v>
      </c>
      <c r="C246" s="992" t="s">
        <v>91</v>
      </c>
      <c r="D246" s="992">
        <v>1</v>
      </c>
      <c r="E246" s="994">
        <v>3990000</v>
      </c>
      <c r="F246" s="994">
        <v>3990000</v>
      </c>
    </row>
    <row r="247" spans="1:6">
      <c r="A247" s="992">
        <v>17</v>
      </c>
      <c r="B247" s="993" t="s">
        <v>831</v>
      </c>
      <c r="C247" s="992" t="s">
        <v>91</v>
      </c>
      <c r="D247" s="992">
        <v>1</v>
      </c>
      <c r="E247" s="994">
        <v>78082000</v>
      </c>
      <c r="F247" s="994">
        <v>78082000</v>
      </c>
    </row>
    <row r="248" spans="1:6">
      <c r="A248" s="992">
        <v>18</v>
      </c>
      <c r="B248" s="993" t="s">
        <v>832</v>
      </c>
      <c r="C248" s="992" t="s">
        <v>91</v>
      </c>
      <c r="D248" s="992">
        <v>1</v>
      </c>
      <c r="E248" s="994">
        <v>179900000</v>
      </c>
      <c r="F248" s="994">
        <v>179900000</v>
      </c>
    </row>
    <row r="249" spans="1:6">
      <c r="A249" s="992">
        <v>19</v>
      </c>
      <c r="B249" s="993" t="s">
        <v>833</v>
      </c>
      <c r="C249" s="992" t="s">
        <v>91</v>
      </c>
      <c r="D249" s="992">
        <v>1</v>
      </c>
      <c r="E249" s="994">
        <v>500000000</v>
      </c>
      <c r="F249" s="994">
        <v>500000000</v>
      </c>
    </row>
    <row r="250" spans="1:6">
      <c r="A250" s="992">
        <v>20</v>
      </c>
      <c r="B250" s="993" t="s">
        <v>834</v>
      </c>
      <c r="C250" s="992" t="s">
        <v>91</v>
      </c>
      <c r="D250" s="992">
        <v>1</v>
      </c>
      <c r="E250" s="994">
        <v>15150000</v>
      </c>
      <c r="F250" s="994">
        <v>15150000</v>
      </c>
    </row>
    <row r="251" spans="1:6">
      <c r="A251" s="992">
        <v>21</v>
      </c>
      <c r="B251" s="993" t="s">
        <v>835</v>
      </c>
      <c r="C251" s="992" t="s">
        <v>91</v>
      </c>
      <c r="D251" s="992">
        <v>1</v>
      </c>
      <c r="E251" s="994">
        <v>16900000</v>
      </c>
      <c r="F251" s="994">
        <v>16900000</v>
      </c>
    </row>
    <row r="252" spans="1:6">
      <c r="A252" s="992">
        <v>22</v>
      </c>
      <c r="B252" s="993" t="s">
        <v>836</v>
      </c>
      <c r="C252" s="992" t="s">
        <v>91</v>
      </c>
      <c r="D252" s="992">
        <v>1</v>
      </c>
      <c r="E252" s="994">
        <v>1999000</v>
      </c>
      <c r="F252" s="994">
        <v>1999000</v>
      </c>
    </row>
    <row r="253" spans="1:6">
      <c r="A253" s="992">
        <v>23</v>
      </c>
      <c r="B253" s="993" t="s">
        <v>837</v>
      </c>
      <c r="C253" s="992" t="s">
        <v>91</v>
      </c>
      <c r="D253" s="992">
        <v>1</v>
      </c>
      <c r="E253" s="994">
        <v>15690000</v>
      </c>
      <c r="F253" s="994">
        <v>15690000</v>
      </c>
    </row>
    <row r="254" spans="1:6">
      <c r="A254" s="992">
        <v>24</v>
      </c>
      <c r="B254" s="993" t="s">
        <v>838</v>
      </c>
      <c r="C254" s="992" t="s">
        <v>91</v>
      </c>
      <c r="D254" s="992">
        <v>1</v>
      </c>
      <c r="E254" s="994">
        <v>465000</v>
      </c>
      <c r="F254" s="994">
        <v>465000</v>
      </c>
    </row>
    <row r="255" spans="1:6">
      <c r="A255" s="992">
        <v>25</v>
      </c>
      <c r="B255" s="993" t="s">
        <v>839</v>
      </c>
      <c r="C255" s="992" t="s">
        <v>91</v>
      </c>
      <c r="D255" s="992">
        <v>1</v>
      </c>
      <c r="E255" s="994">
        <v>85223000</v>
      </c>
      <c r="F255" s="994">
        <v>85223000</v>
      </c>
    </row>
    <row r="256" spans="1:6">
      <c r="A256" s="992">
        <v>26</v>
      </c>
      <c r="B256" s="993" t="s">
        <v>601</v>
      </c>
      <c r="C256" s="992" t="s">
        <v>91</v>
      </c>
      <c r="D256" s="992">
        <v>1</v>
      </c>
      <c r="E256" s="994">
        <v>280800000</v>
      </c>
      <c r="F256" s="994">
        <v>280800000</v>
      </c>
    </row>
    <row r="257" spans="1:6">
      <c r="A257" s="989" t="s">
        <v>428</v>
      </c>
      <c r="B257" s="990" t="s">
        <v>840</v>
      </c>
      <c r="C257" s="992"/>
      <c r="D257" s="992"/>
      <c r="E257" s="994">
        <v>0</v>
      </c>
      <c r="F257" s="994">
        <v>0</v>
      </c>
    </row>
    <row r="258" spans="1:6">
      <c r="A258" s="992">
        <v>1</v>
      </c>
      <c r="B258" s="993" t="s">
        <v>841</v>
      </c>
      <c r="C258" s="992" t="s">
        <v>266</v>
      </c>
      <c r="D258" s="992">
        <v>1</v>
      </c>
      <c r="E258" s="994">
        <v>13600000</v>
      </c>
      <c r="F258" s="994">
        <v>13600000</v>
      </c>
    </row>
    <row r="259" spans="1:6">
      <c r="A259" s="992">
        <v>2</v>
      </c>
      <c r="B259" s="993" t="s">
        <v>842</v>
      </c>
      <c r="C259" s="992" t="s">
        <v>266</v>
      </c>
      <c r="D259" s="992">
        <v>1</v>
      </c>
      <c r="E259" s="994">
        <v>170790000</v>
      </c>
      <c r="F259" s="994">
        <v>170790000</v>
      </c>
    </row>
    <row r="260" spans="1:6">
      <c r="A260" s="992">
        <v>3</v>
      </c>
      <c r="B260" s="993" t="s">
        <v>575</v>
      </c>
      <c r="C260" s="992" t="s">
        <v>266</v>
      </c>
      <c r="D260" s="992">
        <v>1</v>
      </c>
      <c r="E260" s="994">
        <v>170790000</v>
      </c>
      <c r="F260" s="994">
        <v>170790000</v>
      </c>
    </row>
    <row r="261" spans="1:6">
      <c r="A261" s="992">
        <v>4</v>
      </c>
      <c r="B261" s="993" t="s">
        <v>843</v>
      </c>
      <c r="C261" s="992" t="s">
        <v>91</v>
      </c>
      <c r="D261" s="992">
        <v>1</v>
      </c>
      <c r="E261" s="994">
        <v>49253000</v>
      </c>
      <c r="F261" s="994">
        <v>49253000</v>
      </c>
    </row>
    <row r="262" spans="1:6">
      <c r="A262" s="992">
        <v>5</v>
      </c>
      <c r="B262" s="993" t="s">
        <v>844</v>
      </c>
      <c r="C262" s="992" t="s">
        <v>91</v>
      </c>
      <c r="D262" s="992">
        <v>1</v>
      </c>
      <c r="E262" s="994">
        <v>113048000</v>
      </c>
      <c r="F262" s="994">
        <v>113048000</v>
      </c>
    </row>
    <row r="263" spans="1:6">
      <c r="A263" s="992">
        <v>6</v>
      </c>
      <c r="B263" s="993" t="s">
        <v>845</v>
      </c>
      <c r="C263" s="992" t="s">
        <v>91</v>
      </c>
      <c r="D263" s="992">
        <v>1</v>
      </c>
      <c r="E263" s="994">
        <v>148270000</v>
      </c>
      <c r="F263" s="994">
        <v>148270000</v>
      </c>
    </row>
    <row r="264" spans="1:6">
      <c r="A264" s="992">
        <v>7</v>
      </c>
      <c r="B264" s="993" t="s">
        <v>846</v>
      </c>
      <c r="C264" s="992" t="s">
        <v>91</v>
      </c>
      <c r="D264" s="992">
        <v>1</v>
      </c>
      <c r="E264" s="994">
        <v>7077285000</v>
      </c>
      <c r="F264" s="994">
        <v>7077285000</v>
      </c>
    </row>
    <row r="265" spans="1:6">
      <c r="A265" s="992">
        <v>8</v>
      </c>
      <c r="B265" s="993" t="s">
        <v>847</v>
      </c>
      <c r="C265" s="992" t="s">
        <v>91</v>
      </c>
      <c r="D265" s="992">
        <v>1</v>
      </c>
      <c r="E265" s="994">
        <v>47848218</v>
      </c>
      <c r="F265" s="994">
        <v>47848218</v>
      </c>
    </row>
    <row r="266" spans="1:6">
      <c r="A266" s="992">
        <v>9</v>
      </c>
      <c r="B266" s="993" t="s">
        <v>848</v>
      </c>
      <c r="C266" s="992" t="s">
        <v>94</v>
      </c>
      <c r="D266" s="992">
        <v>1</v>
      </c>
      <c r="E266" s="994">
        <v>205675344</v>
      </c>
      <c r="F266" s="994">
        <v>205675344</v>
      </c>
    </row>
    <row r="267" spans="1:6">
      <c r="A267" s="992">
        <v>10</v>
      </c>
      <c r="B267" s="993" t="s">
        <v>849</v>
      </c>
      <c r="C267" s="992" t="s">
        <v>91</v>
      </c>
      <c r="D267" s="992">
        <v>1</v>
      </c>
      <c r="E267" s="994">
        <v>3383302252</v>
      </c>
      <c r="F267" s="994">
        <v>3383302252</v>
      </c>
    </row>
    <row r="268" spans="1:6">
      <c r="A268" s="992">
        <v>11</v>
      </c>
      <c r="B268" s="993" t="s">
        <v>850</v>
      </c>
      <c r="C268" s="992" t="s">
        <v>91</v>
      </c>
      <c r="D268" s="992">
        <v>1</v>
      </c>
      <c r="E268" s="994">
        <v>193600000</v>
      </c>
      <c r="F268" s="994">
        <v>193600000</v>
      </c>
    </row>
    <row r="269" spans="1:6">
      <c r="A269" s="992">
        <v>12</v>
      </c>
      <c r="B269" s="993" t="s">
        <v>851</v>
      </c>
      <c r="C269" s="992" t="s">
        <v>91</v>
      </c>
      <c r="D269" s="992">
        <v>1</v>
      </c>
      <c r="E269" s="994">
        <v>520000000</v>
      </c>
      <c r="F269" s="994">
        <v>520000000</v>
      </c>
    </row>
    <row r="270" spans="1:6">
      <c r="A270" s="992">
        <v>13</v>
      </c>
      <c r="B270" s="993" t="s">
        <v>852</v>
      </c>
      <c r="C270" s="992" t="s">
        <v>266</v>
      </c>
      <c r="D270" s="992">
        <v>1</v>
      </c>
      <c r="E270" s="994">
        <v>123024630</v>
      </c>
      <c r="F270" s="994">
        <v>123024630</v>
      </c>
    </row>
    <row r="271" spans="1:6">
      <c r="A271" s="992">
        <v>14</v>
      </c>
      <c r="B271" s="993" t="s">
        <v>853</v>
      </c>
      <c r="C271" s="992" t="s">
        <v>266</v>
      </c>
      <c r="D271" s="992">
        <v>1</v>
      </c>
      <c r="E271" s="994">
        <v>70012160</v>
      </c>
      <c r="F271" s="994">
        <v>70012160</v>
      </c>
    </row>
    <row r="272" spans="1:6">
      <c r="A272" s="992">
        <v>15</v>
      </c>
      <c r="B272" s="993" t="s">
        <v>854</v>
      </c>
      <c r="C272" s="992" t="s">
        <v>266</v>
      </c>
      <c r="D272" s="992">
        <v>1</v>
      </c>
      <c r="E272" s="994">
        <v>45899490</v>
      </c>
      <c r="F272" s="994">
        <v>45899490</v>
      </c>
    </row>
    <row r="273" spans="1:6">
      <c r="A273" s="992">
        <v>16</v>
      </c>
      <c r="B273" s="993" t="s">
        <v>855</v>
      </c>
      <c r="C273" s="992" t="s">
        <v>266</v>
      </c>
      <c r="D273" s="992">
        <v>1</v>
      </c>
      <c r="E273" s="994">
        <v>12300000</v>
      </c>
      <c r="F273" s="994">
        <v>12300000</v>
      </c>
    </row>
    <row r="274" spans="1:6">
      <c r="A274" s="992">
        <v>17</v>
      </c>
      <c r="B274" s="993" t="s">
        <v>856</v>
      </c>
      <c r="C274" s="992" t="s">
        <v>266</v>
      </c>
      <c r="D274" s="992">
        <v>1</v>
      </c>
      <c r="E274" s="994">
        <v>7590000</v>
      </c>
      <c r="F274" s="994">
        <v>7590000</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L99"/>
  <sheetViews>
    <sheetView showZeros="0" zoomScale="140" zoomScaleNormal="140" workbookViewId="0">
      <pane ySplit="11" topLeftCell="A81" activePane="bottomLeft" state="frozen"/>
      <selection pane="bottomLeft" activeCell="K85" sqref="K85"/>
    </sheetView>
  </sheetViews>
  <sheetFormatPr defaultColWidth="9" defaultRowHeight="13"/>
  <cols>
    <col min="1" max="1" width="5" style="215" customWidth="1"/>
    <col min="2" max="2" width="9.07421875" style="215" customWidth="1"/>
    <col min="3" max="3" width="5" style="215" customWidth="1"/>
    <col min="4" max="4" width="10.4609375" style="213" customWidth="1"/>
    <col min="5" max="5" width="7.765625" style="213" hidden="1" customWidth="1"/>
    <col min="6" max="6" width="8.69140625" style="213" hidden="1" customWidth="1"/>
    <col min="7" max="7" width="9.69140625" style="213" hidden="1" customWidth="1"/>
    <col min="8" max="8" width="8.4609375" style="213" hidden="1" customWidth="1"/>
    <col min="9" max="9" width="11" style="213" customWidth="1"/>
    <col min="10" max="10" width="12.765625" style="213" customWidth="1"/>
    <col min="11" max="11" width="11.69140625" style="213" customWidth="1"/>
    <col min="12" max="12" width="12.4609375" style="213" customWidth="1"/>
    <col min="13" max="16384" width="9" style="213"/>
  </cols>
  <sheetData>
    <row r="1" spans="1:12">
      <c r="A1" s="1194" t="s">
        <v>615</v>
      </c>
      <c r="B1" s="1194"/>
      <c r="C1" s="1194"/>
      <c r="D1" s="1194"/>
      <c r="E1" s="1194"/>
      <c r="F1" s="1194"/>
      <c r="G1" s="1194"/>
      <c r="H1" s="1194"/>
      <c r="I1" s="1194"/>
      <c r="J1" s="1194"/>
      <c r="K1" s="1194"/>
    </row>
    <row r="2" spans="1:12">
      <c r="A2" s="244"/>
      <c r="B2" s="244"/>
      <c r="C2" s="244"/>
      <c r="D2" s="244"/>
      <c r="E2" s="244"/>
      <c r="F2" s="244"/>
      <c r="G2" s="244"/>
      <c r="H2" s="244"/>
      <c r="I2" s="244"/>
      <c r="J2" s="244"/>
      <c r="K2" s="244"/>
    </row>
    <row r="3" spans="1:12">
      <c r="A3" s="1195" t="s">
        <v>584</v>
      </c>
      <c r="B3" s="1196"/>
      <c r="C3" s="1196"/>
      <c r="D3" s="1196"/>
      <c r="E3" s="1196"/>
      <c r="F3" s="1196"/>
      <c r="G3" s="1196"/>
      <c r="H3" s="1196"/>
      <c r="I3" s="1196"/>
      <c r="J3" s="1196"/>
      <c r="K3" s="1196"/>
    </row>
    <row r="4" spans="1:12" ht="18.75" customHeight="1">
      <c r="A4" s="1197" t="s">
        <v>685</v>
      </c>
      <c r="B4" s="1198"/>
      <c r="C4" s="1198"/>
      <c r="D4" s="1198"/>
      <c r="E4" s="1198"/>
      <c r="F4" s="1198"/>
      <c r="G4" s="1198"/>
      <c r="H4" s="1198"/>
      <c r="I4" s="1198"/>
      <c r="J4" s="1198"/>
      <c r="K4" s="1198"/>
    </row>
    <row r="5" spans="1:12" ht="24.75" customHeight="1">
      <c r="A5" s="1197" t="s">
        <v>684</v>
      </c>
      <c r="B5" s="1198"/>
      <c r="C5" s="1198"/>
      <c r="D5" s="1198"/>
      <c r="E5" s="1198"/>
      <c r="F5" s="1198"/>
      <c r="G5" s="1198"/>
      <c r="H5" s="1198"/>
      <c r="I5" s="1198"/>
      <c r="J5" s="1198"/>
      <c r="K5" s="1198"/>
    </row>
    <row r="6" spans="1:12" hidden="1">
      <c r="A6" s="244"/>
      <c r="B6" s="244"/>
      <c r="C6" s="244"/>
      <c r="D6" s="244"/>
      <c r="E6" s="244"/>
      <c r="F6" s="244"/>
      <c r="G6" s="244"/>
      <c r="H6" s="244"/>
      <c r="I6" s="244"/>
      <c r="J6" s="244"/>
      <c r="K6" s="244"/>
    </row>
    <row r="7" spans="1:12" ht="13.5" hidden="1">
      <c r="A7" s="214"/>
    </row>
    <row r="8" spans="1:12" s="215" customFormat="1" ht="25.5" customHeight="1">
      <c r="A8" s="1016" t="s">
        <v>510</v>
      </c>
      <c r="B8" s="1199" t="s">
        <v>173</v>
      </c>
      <c r="C8" s="242" t="s">
        <v>174</v>
      </c>
      <c r="D8" s="242" t="s">
        <v>175</v>
      </c>
      <c r="E8" s="242" t="s">
        <v>176</v>
      </c>
      <c r="F8" s="242" t="s">
        <v>178</v>
      </c>
      <c r="G8" s="242" t="s">
        <v>177</v>
      </c>
      <c r="H8" s="242" t="s">
        <v>178</v>
      </c>
      <c r="I8" s="242" t="s">
        <v>179</v>
      </c>
      <c r="J8" s="242"/>
      <c r="K8" s="242" t="s">
        <v>181</v>
      </c>
      <c r="L8" s="267" t="s">
        <v>538</v>
      </c>
    </row>
    <row r="9" spans="1:12" s="215" customFormat="1">
      <c r="A9" s="1018"/>
      <c r="B9" s="1200"/>
      <c r="C9" s="242" t="s">
        <v>38</v>
      </c>
      <c r="D9" s="901">
        <v>2530000</v>
      </c>
      <c r="E9" s="268">
        <v>0</v>
      </c>
      <c r="F9" s="268" t="s">
        <v>250</v>
      </c>
      <c r="G9" s="242" t="s">
        <v>39</v>
      </c>
      <c r="H9" s="242" t="s">
        <v>40</v>
      </c>
      <c r="I9" s="269">
        <v>0.23499999999999999</v>
      </c>
      <c r="J9" s="242" t="s">
        <v>180</v>
      </c>
      <c r="K9" s="242" t="s">
        <v>369</v>
      </c>
      <c r="L9" s="270">
        <v>0.1</v>
      </c>
    </row>
    <row r="10" spans="1:12" s="215" customFormat="1">
      <c r="A10" s="216"/>
      <c r="B10" s="216"/>
      <c r="C10" s="216"/>
      <c r="D10" s="216"/>
      <c r="E10" s="216" t="s">
        <v>172</v>
      </c>
      <c r="F10" s="216">
        <v>0.4</v>
      </c>
      <c r="G10" s="216">
        <f>0.2/5</f>
        <v>0.04</v>
      </c>
      <c r="H10" s="216">
        <v>0.3</v>
      </c>
      <c r="I10" s="216" t="s">
        <v>172</v>
      </c>
      <c r="J10" s="216"/>
      <c r="K10" s="216">
        <v>26</v>
      </c>
      <c r="L10" s="217"/>
    </row>
    <row r="11" spans="1:12" hidden="1">
      <c r="A11" s="217">
        <v>1</v>
      </c>
      <c r="B11" s="218">
        <v>2</v>
      </c>
      <c r="C11" s="218">
        <v>3</v>
      </c>
      <c r="D11" s="218">
        <v>4</v>
      </c>
      <c r="E11" s="218">
        <v>5</v>
      </c>
      <c r="F11" s="218">
        <v>7</v>
      </c>
      <c r="G11" s="218">
        <v>8</v>
      </c>
      <c r="H11" s="218">
        <v>8</v>
      </c>
      <c r="I11" s="218">
        <v>9</v>
      </c>
      <c r="J11" s="218">
        <v>10</v>
      </c>
      <c r="K11" s="218">
        <v>11</v>
      </c>
      <c r="L11" s="219"/>
    </row>
    <row r="12" spans="1:12">
      <c r="A12" s="1189" t="s">
        <v>41</v>
      </c>
      <c r="B12" s="1190"/>
      <c r="C12" s="1190"/>
      <c r="D12" s="1191"/>
      <c r="E12" s="221"/>
      <c r="F12" s="221"/>
      <c r="G12" s="221"/>
      <c r="H12" s="221"/>
      <c r="I12" s="221"/>
      <c r="J12" s="221"/>
      <c r="K12" s="221"/>
      <c r="L12" s="219"/>
    </row>
    <row r="13" spans="1:12">
      <c r="A13" s="216" t="s">
        <v>0</v>
      </c>
      <c r="B13" s="1186" t="s">
        <v>183</v>
      </c>
      <c r="C13" s="1187"/>
      <c r="D13" s="1188"/>
      <c r="E13" s="221"/>
      <c r="F13" s="221"/>
      <c r="G13" s="221"/>
      <c r="H13" s="221"/>
      <c r="I13" s="221"/>
      <c r="J13" s="221"/>
      <c r="K13" s="221"/>
      <c r="L13" s="222"/>
    </row>
    <row r="14" spans="1:12">
      <c r="A14" s="217"/>
      <c r="B14" s="217">
        <v>1</v>
      </c>
      <c r="C14" s="217">
        <v>2.34</v>
      </c>
      <c r="D14" s="223">
        <f>C14*$D$9</f>
        <v>5920200</v>
      </c>
      <c r="E14" s="223">
        <f t="shared" ref="E14:E22" si="0">D14*$E$9</f>
        <v>0</v>
      </c>
      <c r="F14" s="224"/>
      <c r="G14" s="224"/>
      <c r="H14" s="224"/>
      <c r="I14" s="224">
        <f t="shared" ref="I14:I22" si="1">(D14+F14)*$I$9</f>
        <v>1391247</v>
      </c>
      <c r="J14" s="224">
        <f t="shared" ref="J14:J22" si="2">SUM(D14:I14)</f>
        <v>7311447</v>
      </c>
      <c r="K14" s="224">
        <f>J14/K$10</f>
        <v>281209.5</v>
      </c>
      <c r="L14" s="222">
        <f t="shared" ref="L14:L22" si="3">$D$9/26*$L$9</f>
        <v>9730.7692307692323</v>
      </c>
    </row>
    <row r="15" spans="1:12">
      <c r="A15" s="217"/>
      <c r="B15" s="217">
        <v>2</v>
      </c>
      <c r="C15" s="225">
        <f t="shared" ref="C15:C22" si="4">C14+0.33</f>
        <v>2.67</v>
      </c>
      <c r="D15" s="223">
        <f>C15*$D$9</f>
        <v>6755100</v>
      </c>
      <c r="E15" s="223">
        <f>D15*$E$9</f>
        <v>0</v>
      </c>
      <c r="F15" s="224"/>
      <c r="G15" s="224"/>
      <c r="H15" s="224"/>
      <c r="I15" s="224">
        <f t="shared" si="1"/>
        <v>1587448.5</v>
      </c>
      <c r="J15" s="224">
        <f t="shared" si="2"/>
        <v>8342548.5</v>
      </c>
      <c r="K15" s="224">
        <f t="shared" ref="K15:K22" si="5">J15/K$10</f>
        <v>320867.25</v>
      </c>
      <c r="L15" s="222">
        <f t="shared" si="3"/>
        <v>9730.7692307692323</v>
      </c>
    </row>
    <row r="16" spans="1:12">
      <c r="A16" s="217"/>
      <c r="B16" s="217">
        <v>3</v>
      </c>
      <c r="C16" s="225">
        <f t="shared" si="4"/>
        <v>3</v>
      </c>
      <c r="D16" s="223">
        <f t="shared" ref="D16:D22" si="6">C16*$D$9</f>
        <v>7590000</v>
      </c>
      <c r="E16" s="223">
        <f t="shared" si="0"/>
        <v>0</v>
      </c>
      <c r="F16" s="224"/>
      <c r="G16" s="224"/>
      <c r="H16" s="224"/>
      <c r="I16" s="224">
        <f t="shared" si="1"/>
        <v>1783650</v>
      </c>
      <c r="J16" s="224">
        <f t="shared" si="2"/>
        <v>9373650</v>
      </c>
      <c r="K16" s="224">
        <f t="shared" si="5"/>
        <v>360525</v>
      </c>
      <c r="L16" s="222">
        <f t="shared" si="3"/>
        <v>9730.7692307692323</v>
      </c>
    </row>
    <row r="17" spans="1:12">
      <c r="A17" s="217"/>
      <c r="B17" s="217">
        <v>4</v>
      </c>
      <c r="C17" s="225">
        <f t="shared" si="4"/>
        <v>3.33</v>
      </c>
      <c r="D17" s="223">
        <f t="shared" si="6"/>
        <v>8424900</v>
      </c>
      <c r="E17" s="223">
        <f t="shared" si="0"/>
        <v>0</v>
      </c>
      <c r="F17" s="224"/>
      <c r="G17" s="224"/>
      <c r="H17" s="224"/>
      <c r="I17" s="224">
        <f t="shared" si="1"/>
        <v>1979851.5</v>
      </c>
      <c r="J17" s="224">
        <f t="shared" si="2"/>
        <v>10404751.5</v>
      </c>
      <c r="K17" s="224">
        <f t="shared" si="5"/>
        <v>400182.75</v>
      </c>
      <c r="L17" s="222">
        <f t="shared" si="3"/>
        <v>9730.7692307692323</v>
      </c>
    </row>
    <row r="18" spans="1:12">
      <c r="A18" s="217"/>
      <c r="B18" s="217">
        <v>5</v>
      </c>
      <c r="C18" s="225">
        <f t="shared" si="4"/>
        <v>3.66</v>
      </c>
      <c r="D18" s="223">
        <f t="shared" si="6"/>
        <v>9259800</v>
      </c>
      <c r="E18" s="223">
        <f t="shared" si="0"/>
        <v>0</v>
      </c>
      <c r="F18" s="224"/>
      <c r="G18" s="224"/>
      <c r="H18" s="224"/>
      <c r="I18" s="224">
        <f t="shared" si="1"/>
        <v>2176053</v>
      </c>
      <c r="J18" s="224">
        <f t="shared" si="2"/>
        <v>11435853</v>
      </c>
      <c r="K18" s="224">
        <f t="shared" si="5"/>
        <v>439840.5</v>
      </c>
      <c r="L18" s="222">
        <f t="shared" si="3"/>
        <v>9730.7692307692323</v>
      </c>
    </row>
    <row r="19" spans="1:12">
      <c r="A19" s="217"/>
      <c r="B19" s="217">
        <v>6</v>
      </c>
      <c r="C19" s="225">
        <f t="shared" si="4"/>
        <v>3.99</v>
      </c>
      <c r="D19" s="223">
        <f t="shared" si="6"/>
        <v>10094700</v>
      </c>
      <c r="E19" s="223">
        <f t="shared" si="0"/>
        <v>0</v>
      </c>
      <c r="F19" s="224"/>
      <c r="G19" s="224"/>
      <c r="H19" s="224"/>
      <c r="I19" s="224">
        <f t="shared" si="1"/>
        <v>2372254.5</v>
      </c>
      <c r="J19" s="224">
        <f t="shared" si="2"/>
        <v>12466954.5</v>
      </c>
      <c r="K19" s="224">
        <f t="shared" si="5"/>
        <v>479498.25</v>
      </c>
      <c r="L19" s="222">
        <f t="shared" si="3"/>
        <v>9730.7692307692323</v>
      </c>
    </row>
    <row r="20" spans="1:12">
      <c r="A20" s="217"/>
      <c r="B20" s="217">
        <v>7</v>
      </c>
      <c r="C20" s="225">
        <f t="shared" si="4"/>
        <v>4.32</v>
      </c>
      <c r="D20" s="223">
        <f t="shared" si="6"/>
        <v>10929600</v>
      </c>
      <c r="E20" s="223">
        <f t="shared" si="0"/>
        <v>0</v>
      </c>
      <c r="F20" s="224"/>
      <c r="G20" s="224"/>
      <c r="H20" s="224"/>
      <c r="I20" s="224">
        <f t="shared" si="1"/>
        <v>2568456</v>
      </c>
      <c r="J20" s="224">
        <f t="shared" si="2"/>
        <v>13498056</v>
      </c>
      <c r="K20" s="224">
        <f t="shared" si="5"/>
        <v>519156</v>
      </c>
      <c r="L20" s="222">
        <f t="shared" si="3"/>
        <v>9730.7692307692323</v>
      </c>
    </row>
    <row r="21" spans="1:12">
      <c r="A21" s="217"/>
      <c r="B21" s="217">
        <v>8</v>
      </c>
      <c r="C21" s="225">
        <f t="shared" si="4"/>
        <v>4.6500000000000004</v>
      </c>
      <c r="D21" s="223">
        <f t="shared" si="6"/>
        <v>11764500</v>
      </c>
      <c r="E21" s="223">
        <f t="shared" si="0"/>
        <v>0</v>
      </c>
      <c r="F21" s="224"/>
      <c r="G21" s="224"/>
      <c r="H21" s="224"/>
      <c r="I21" s="224">
        <f t="shared" si="1"/>
        <v>2764657.5</v>
      </c>
      <c r="J21" s="224">
        <f t="shared" si="2"/>
        <v>14529157.5</v>
      </c>
      <c r="K21" s="224">
        <f t="shared" si="5"/>
        <v>558813.75</v>
      </c>
      <c r="L21" s="222">
        <f t="shared" si="3"/>
        <v>9730.7692307692323</v>
      </c>
    </row>
    <row r="22" spans="1:12">
      <c r="A22" s="217"/>
      <c r="B22" s="217">
        <v>9</v>
      </c>
      <c r="C22" s="225">
        <f t="shared" si="4"/>
        <v>4.9800000000000004</v>
      </c>
      <c r="D22" s="223">
        <f t="shared" si="6"/>
        <v>12599400.000000002</v>
      </c>
      <c r="E22" s="223">
        <f t="shared" si="0"/>
        <v>0</v>
      </c>
      <c r="F22" s="224"/>
      <c r="G22" s="224"/>
      <c r="H22" s="224"/>
      <c r="I22" s="224">
        <f t="shared" si="1"/>
        <v>2960859.0000000005</v>
      </c>
      <c r="J22" s="224">
        <f t="shared" si="2"/>
        <v>15560259.000000002</v>
      </c>
      <c r="K22" s="224">
        <f t="shared" si="5"/>
        <v>598471.50000000012</v>
      </c>
      <c r="L22" s="222">
        <f t="shared" si="3"/>
        <v>9730.7692307692323</v>
      </c>
    </row>
    <row r="23" spans="1:12">
      <c r="A23" s="216" t="s">
        <v>1</v>
      </c>
      <c r="B23" s="1186" t="s">
        <v>184</v>
      </c>
      <c r="C23" s="1187"/>
      <c r="D23" s="1188"/>
      <c r="E23" s="223"/>
      <c r="F23" s="223"/>
      <c r="G23" s="224"/>
      <c r="H23" s="224"/>
      <c r="I23" s="224"/>
      <c r="J23" s="224"/>
      <c r="K23" s="224"/>
      <c r="L23" s="222"/>
    </row>
    <row r="24" spans="1:12">
      <c r="A24" s="217"/>
      <c r="B24" s="217">
        <v>1</v>
      </c>
      <c r="C24" s="225">
        <v>1.86</v>
      </c>
      <c r="D24" s="223">
        <f>C24*$D$9</f>
        <v>4705800</v>
      </c>
      <c r="E24" s="223">
        <f>D24*$E$9</f>
        <v>0</v>
      </c>
      <c r="F24" s="224"/>
      <c r="G24" s="224"/>
      <c r="H24" s="224"/>
      <c r="I24" s="224">
        <f t="shared" ref="I24:I35" si="7">(D24+F24)*$I$9</f>
        <v>1105863</v>
      </c>
      <c r="J24" s="224">
        <f t="shared" ref="J24:J35" si="8">SUM(D24:I24)</f>
        <v>5811663</v>
      </c>
      <c r="K24" s="224">
        <f>J24/K$10</f>
        <v>223525.5</v>
      </c>
      <c r="L24" s="222">
        <f t="shared" ref="L24:L35" si="9">$D$9/26*$L$9</f>
        <v>9730.7692307692323</v>
      </c>
    </row>
    <row r="25" spans="1:12">
      <c r="A25" s="217"/>
      <c r="B25" s="217">
        <v>2</v>
      </c>
      <c r="C25" s="225">
        <f t="shared" ref="C25:C35" si="10">C24+0.2</f>
        <v>2.06</v>
      </c>
      <c r="D25" s="223">
        <f>C25*$D$9</f>
        <v>5211800</v>
      </c>
      <c r="E25" s="223">
        <f>D25*$E$9</f>
        <v>0</v>
      </c>
      <c r="F25" s="224"/>
      <c r="G25" s="224"/>
      <c r="H25" s="224"/>
      <c r="I25" s="224">
        <f t="shared" si="7"/>
        <v>1224773</v>
      </c>
      <c r="J25" s="224">
        <f t="shared" si="8"/>
        <v>6436573</v>
      </c>
      <c r="K25" s="224">
        <f t="shared" ref="K25:K35" si="11">J25/K$10</f>
        <v>247560.5</v>
      </c>
      <c r="L25" s="222">
        <f t="shared" si="9"/>
        <v>9730.7692307692323</v>
      </c>
    </row>
    <row r="26" spans="1:12">
      <c r="A26" s="217"/>
      <c r="B26" s="217">
        <v>3</v>
      </c>
      <c r="C26" s="225">
        <f t="shared" si="10"/>
        <v>2.2600000000000002</v>
      </c>
      <c r="D26" s="223">
        <f>C26*$D$9</f>
        <v>5717800.0000000009</v>
      </c>
      <c r="E26" s="223">
        <f>D26*$E$9</f>
        <v>0</v>
      </c>
      <c r="F26" s="224"/>
      <c r="G26" s="224"/>
      <c r="H26" s="224"/>
      <c r="I26" s="224">
        <f t="shared" si="7"/>
        <v>1343683.0000000002</v>
      </c>
      <c r="J26" s="224">
        <f t="shared" si="8"/>
        <v>7061483.0000000009</v>
      </c>
      <c r="K26" s="224">
        <f t="shared" si="11"/>
        <v>271595.50000000006</v>
      </c>
      <c r="L26" s="222">
        <f t="shared" si="9"/>
        <v>9730.7692307692323</v>
      </c>
    </row>
    <row r="27" spans="1:12">
      <c r="A27" s="217"/>
      <c r="B27" s="217">
        <v>4</v>
      </c>
      <c r="C27" s="225">
        <f t="shared" si="10"/>
        <v>2.4600000000000004</v>
      </c>
      <c r="D27" s="223">
        <f t="shared" ref="D27:D33" si="12">C27*$D$9</f>
        <v>6223800.0000000009</v>
      </c>
      <c r="E27" s="223">
        <f t="shared" ref="E27:E33" si="13">D27*$E$9</f>
        <v>0</v>
      </c>
      <c r="F27" s="224"/>
      <c r="G27" s="224"/>
      <c r="H27" s="224"/>
      <c r="I27" s="224">
        <f t="shared" si="7"/>
        <v>1462593.0000000002</v>
      </c>
      <c r="J27" s="224">
        <f t="shared" si="8"/>
        <v>7686393.0000000009</v>
      </c>
      <c r="K27" s="224">
        <f t="shared" si="11"/>
        <v>295630.50000000006</v>
      </c>
      <c r="L27" s="222">
        <f t="shared" si="9"/>
        <v>9730.7692307692323</v>
      </c>
    </row>
    <row r="28" spans="1:12">
      <c r="A28" s="217"/>
      <c r="B28" s="217">
        <v>5</v>
      </c>
      <c r="C28" s="225">
        <f t="shared" si="10"/>
        <v>2.6600000000000006</v>
      </c>
      <c r="D28" s="223">
        <f t="shared" si="12"/>
        <v>6729800.0000000019</v>
      </c>
      <c r="E28" s="223">
        <f t="shared" si="13"/>
        <v>0</v>
      </c>
      <c r="F28" s="224"/>
      <c r="G28" s="224"/>
      <c r="H28" s="224"/>
      <c r="I28" s="224">
        <f t="shared" si="7"/>
        <v>1581503.0000000002</v>
      </c>
      <c r="J28" s="224">
        <f t="shared" si="8"/>
        <v>8311303.0000000019</v>
      </c>
      <c r="K28" s="224">
        <f t="shared" si="11"/>
        <v>319665.50000000006</v>
      </c>
      <c r="L28" s="222">
        <f t="shared" si="9"/>
        <v>9730.7692307692323</v>
      </c>
    </row>
    <row r="29" spans="1:12">
      <c r="A29" s="217"/>
      <c r="B29" s="217">
        <v>6</v>
      </c>
      <c r="C29" s="225">
        <f t="shared" si="10"/>
        <v>2.8600000000000008</v>
      </c>
      <c r="D29" s="223">
        <f t="shared" si="12"/>
        <v>7235800.0000000019</v>
      </c>
      <c r="E29" s="223">
        <f t="shared" si="13"/>
        <v>0</v>
      </c>
      <c r="F29" s="224"/>
      <c r="G29" s="224"/>
      <c r="H29" s="224"/>
      <c r="I29" s="224">
        <f t="shared" si="7"/>
        <v>1700413.0000000002</v>
      </c>
      <c r="J29" s="224">
        <f t="shared" si="8"/>
        <v>8936213.0000000019</v>
      </c>
      <c r="K29" s="224">
        <f t="shared" si="11"/>
        <v>343700.50000000006</v>
      </c>
      <c r="L29" s="222">
        <f t="shared" si="9"/>
        <v>9730.7692307692323</v>
      </c>
    </row>
    <row r="30" spans="1:12">
      <c r="A30" s="217"/>
      <c r="B30" s="217">
        <v>7</v>
      </c>
      <c r="C30" s="225">
        <f t="shared" si="10"/>
        <v>3.0600000000000009</v>
      </c>
      <c r="D30" s="223">
        <f t="shared" si="12"/>
        <v>7741800.0000000028</v>
      </c>
      <c r="E30" s="223">
        <f t="shared" si="13"/>
        <v>0</v>
      </c>
      <c r="F30" s="224"/>
      <c r="G30" s="224"/>
      <c r="H30" s="224"/>
      <c r="I30" s="224">
        <f t="shared" si="7"/>
        <v>1819323.0000000005</v>
      </c>
      <c r="J30" s="224">
        <f t="shared" si="8"/>
        <v>9561123.0000000037</v>
      </c>
      <c r="K30" s="224">
        <f t="shared" si="11"/>
        <v>367735.50000000012</v>
      </c>
      <c r="L30" s="222">
        <f t="shared" si="9"/>
        <v>9730.7692307692323</v>
      </c>
    </row>
    <row r="31" spans="1:12">
      <c r="A31" s="217"/>
      <c r="B31" s="217">
        <v>8</v>
      </c>
      <c r="C31" s="225">
        <f t="shared" si="10"/>
        <v>3.2600000000000011</v>
      </c>
      <c r="D31" s="223">
        <f t="shared" si="12"/>
        <v>8247800.0000000028</v>
      </c>
      <c r="E31" s="223">
        <f t="shared" si="13"/>
        <v>0</v>
      </c>
      <c r="F31" s="224"/>
      <c r="G31" s="224"/>
      <c r="H31" s="224"/>
      <c r="I31" s="224">
        <f t="shared" si="7"/>
        <v>1938233.0000000005</v>
      </c>
      <c r="J31" s="224">
        <f t="shared" si="8"/>
        <v>10186033.000000004</v>
      </c>
      <c r="K31" s="224">
        <f t="shared" si="11"/>
        <v>391770.50000000012</v>
      </c>
      <c r="L31" s="222">
        <f t="shared" si="9"/>
        <v>9730.7692307692323</v>
      </c>
    </row>
    <row r="32" spans="1:12">
      <c r="A32" s="217"/>
      <c r="B32" s="217">
        <v>9</v>
      </c>
      <c r="C32" s="225">
        <f t="shared" si="10"/>
        <v>3.4600000000000013</v>
      </c>
      <c r="D32" s="223">
        <f t="shared" si="12"/>
        <v>8753800.0000000037</v>
      </c>
      <c r="E32" s="223">
        <f>D32*$E$9</f>
        <v>0</v>
      </c>
      <c r="F32" s="224"/>
      <c r="G32" s="224"/>
      <c r="H32" s="224"/>
      <c r="I32" s="224">
        <f t="shared" si="7"/>
        <v>2057143.0000000007</v>
      </c>
      <c r="J32" s="224">
        <f t="shared" si="8"/>
        <v>10810943.000000004</v>
      </c>
      <c r="K32" s="224">
        <f t="shared" si="11"/>
        <v>415805.50000000012</v>
      </c>
      <c r="L32" s="222">
        <f t="shared" si="9"/>
        <v>9730.7692307692323</v>
      </c>
    </row>
    <row r="33" spans="1:12">
      <c r="A33" s="217"/>
      <c r="B33" s="217">
        <v>10</v>
      </c>
      <c r="C33" s="225">
        <f t="shared" si="10"/>
        <v>3.6600000000000015</v>
      </c>
      <c r="D33" s="223">
        <f t="shared" si="12"/>
        <v>9259800.0000000037</v>
      </c>
      <c r="E33" s="223">
        <f t="shared" si="13"/>
        <v>0</v>
      </c>
      <c r="F33" s="224"/>
      <c r="G33" s="224"/>
      <c r="H33" s="224"/>
      <c r="I33" s="224">
        <f t="shared" si="7"/>
        <v>2176053.0000000009</v>
      </c>
      <c r="J33" s="224">
        <f t="shared" si="8"/>
        <v>11435853.000000004</v>
      </c>
      <c r="K33" s="224">
        <f t="shared" si="11"/>
        <v>439840.50000000012</v>
      </c>
      <c r="L33" s="222">
        <f t="shared" si="9"/>
        <v>9730.7692307692323</v>
      </c>
    </row>
    <row r="34" spans="1:12">
      <c r="A34" s="217"/>
      <c r="B34" s="217">
        <v>11</v>
      </c>
      <c r="C34" s="225">
        <f t="shared" si="10"/>
        <v>3.8600000000000017</v>
      </c>
      <c r="D34" s="223">
        <f>C34*$D$9</f>
        <v>9765800.0000000037</v>
      </c>
      <c r="E34" s="223">
        <f>D34*$E$9</f>
        <v>0</v>
      </c>
      <c r="F34" s="224"/>
      <c r="G34" s="224"/>
      <c r="H34" s="224"/>
      <c r="I34" s="224">
        <f t="shared" si="7"/>
        <v>2294963.0000000009</v>
      </c>
      <c r="J34" s="224">
        <f t="shared" si="8"/>
        <v>12060763.000000004</v>
      </c>
      <c r="K34" s="224">
        <f t="shared" si="11"/>
        <v>463875.50000000012</v>
      </c>
      <c r="L34" s="222">
        <f t="shared" si="9"/>
        <v>9730.7692307692323</v>
      </c>
    </row>
    <row r="35" spans="1:12">
      <c r="A35" s="217"/>
      <c r="B35" s="217">
        <v>12</v>
      </c>
      <c r="C35" s="225">
        <f t="shared" si="10"/>
        <v>4.0600000000000014</v>
      </c>
      <c r="D35" s="223">
        <f>C35*$D$9</f>
        <v>10271800.000000004</v>
      </c>
      <c r="E35" s="223">
        <f>D35*$E$9</f>
        <v>0</v>
      </c>
      <c r="F35" s="224"/>
      <c r="G35" s="224"/>
      <c r="H35" s="224"/>
      <c r="I35" s="224">
        <f t="shared" si="7"/>
        <v>2413873.0000000009</v>
      </c>
      <c r="J35" s="224">
        <f t="shared" si="8"/>
        <v>12685673.000000004</v>
      </c>
      <c r="K35" s="224">
        <f t="shared" si="11"/>
        <v>487910.50000000012</v>
      </c>
      <c r="L35" s="222">
        <f t="shared" si="9"/>
        <v>9730.7692307692323</v>
      </c>
    </row>
    <row r="36" spans="1:12">
      <c r="A36" s="216" t="s">
        <v>185</v>
      </c>
      <c r="B36" s="1186" t="s">
        <v>354</v>
      </c>
      <c r="C36" s="1187"/>
      <c r="D36" s="1188"/>
      <c r="E36" s="223"/>
      <c r="F36" s="223"/>
      <c r="G36" s="224"/>
      <c r="H36" s="224"/>
      <c r="I36" s="224"/>
      <c r="J36" s="224"/>
      <c r="K36" s="224"/>
      <c r="L36" s="222"/>
    </row>
    <row r="37" spans="1:12">
      <c r="A37" s="217"/>
      <c r="B37" s="217">
        <v>1</v>
      </c>
      <c r="C37" s="225">
        <v>1.65</v>
      </c>
      <c r="D37" s="223">
        <f t="shared" ref="D37:D44" si="14">C37*$D$9</f>
        <v>4174500</v>
      </c>
      <c r="E37" s="223">
        <f t="shared" ref="E37:E44" si="15">D37*$E$9</f>
        <v>0</v>
      </c>
      <c r="F37" s="224"/>
      <c r="G37" s="224"/>
      <c r="H37" s="224"/>
      <c r="I37" s="224">
        <f t="shared" ref="I37:I44" si="16">(D37+F37)*$I$9</f>
        <v>981007.5</v>
      </c>
      <c r="J37" s="224">
        <f t="shared" ref="J37:J44" si="17">SUM(D37:I37)</f>
        <v>5155507.5</v>
      </c>
      <c r="K37" s="224">
        <f>J37/K$10</f>
        <v>198288.75</v>
      </c>
      <c r="L37" s="222">
        <f t="shared" ref="L37:L46" si="18">$D$9/26*$L$9</f>
        <v>9730.7692307692323</v>
      </c>
    </row>
    <row r="38" spans="1:12">
      <c r="A38" s="217"/>
      <c r="B38" s="217">
        <v>2</v>
      </c>
      <c r="C38" s="225">
        <v>1.83</v>
      </c>
      <c r="D38" s="223">
        <f t="shared" si="14"/>
        <v>4629900</v>
      </c>
      <c r="E38" s="223">
        <f t="shared" si="15"/>
        <v>0</v>
      </c>
      <c r="F38" s="224"/>
      <c r="G38" s="224"/>
      <c r="H38" s="224"/>
      <c r="I38" s="224">
        <f t="shared" si="16"/>
        <v>1088026.5</v>
      </c>
      <c r="J38" s="224">
        <f t="shared" si="17"/>
        <v>5717926.5</v>
      </c>
      <c r="K38" s="224">
        <f t="shared" ref="K38:K44" si="19">J38/K$10</f>
        <v>219920.25</v>
      </c>
      <c r="L38" s="222">
        <f t="shared" si="18"/>
        <v>9730.7692307692323</v>
      </c>
    </row>
    <row r="39" spans="1:12">
      <c r="A39" s="217"/>
      <c r="B39" s="217">
        <v>3</v>
      </c>
      <c r="C39" s="225">
        <v>2.0099999999999998</v>
      </c>
      <c r="D39" s="223">
        <f t="shared" si="14"/>
        <v>5085299.9999999991</v>
      </c>
      <c r="E39" s="223">
        <f t="shared" si="15"/>
        <v>0</v>
      </c>
      <c r="F39" s="224"/>
      <c r="G39" s="224"/>
      <c r="H39" s="224"/>
      <c r="I39" s="224">
        <f t="shared" si="16"/>
        <v>1195045.4999999998</v>
      </c>
      <c r="J39" s="224">
        <f t="shared" si="17"/>
        <v>6280345.4999999991</v>
      </c>
      <c r="K39" s="224">
        <f t="shared" si="19"/>
        <v>241551.74999999997</v>
      </c>
      <c r="L39" s="222">
        <f t="shared" si="18"/>
        <v>9730.7692307692323</v>
      </c>
    </row>
    <row r="40" spans="1:12">
      <c r="A40" s="217"/>
      <c r="B40" s="217">
        <v>4</v>
      </c>
      <c r="C40" s="225">
        <v>2.19</v>
      </c>
      <c r="D40" s="223">
        <f t="shared" si="14"/>
        <v>5540700</v>
      </c>
      <c r="E40" s="223">
        <f t="shared" si="15"/>
        <v>0</v>
      </c>
      <c r="F40" s="224"/>
      <c r="G40" s="224"/>
      <c r="H40" s="224"/>
      <c r="I40" s="224">
        <f t="shared" si="16"/>
        <v>1302064.5</v>
      </c>
      <c r="J40" s="224">
        <f t="shared" si="17"/>
        <v>6842764.5</v>
      </c>
      <c r="K40" s="224">
        <f t="shared" si="19"/>
        <v>263183.25</v>
      </c>
      <c r="L40" s="222">
        <f t="shared" si="18"/>
        <v>9730.7692307692323</v>
      </c>
    </row>
    <row r="41" spans="1:12">
      <c r="A41" s="217"/>
      <c r="B41" s="217">
        <v>5</v>
      </c>
      <c r="C41" s="225">
        <v>2.37</v>
      </c>
      <c r="D41" s="223">
        <f t="shared" si="14"/>
        <v>5996100</v>
      </c>
      <c r="E41" s="223">
        <f t="shared" si="15"/>
        <v>0</v>
      </c>
      <c r="F41" s="224"/>
      <c r="G41" s="224"/>
      <c r="H41" s="224"/>
      <c r="I41" s="224">
        <f t="shared" si="16"/>
        <v>1409083.5</v>
      </c>
      <c r="J41" s="224">
        <f t="shared" si="17"/>
        <v>7405183.5</v>
      </c>
      <c r="K41" s="224">
        <f t="shared" si="19"/>
        <v>284814.75</v>
      </c>
      <c r="L41" s="222">
        <f>$D$9/26*$L$9</f>
        <v>9730.7692307692323</v>
      </c>
    </row>
    <row r="42" spans="1:12">
      <c r="A42" s="217"/>
      <c r="B42" s="217">
        <v>6</v>
      </c>
      <c r="C42" s="225">
        <v>2.5499999999999998</v>
      </c>
      <c r="D42" s="223">
        <f t="shared" si="14"/>
        <v>6451500</v>
      </c>
      <c r="E42" s="223">
        <f t="shared" si="15"/>
        <v>0</v>
      </c>
      <c r="F42" s="224"/>
      <c r="G42" s="224"/>
      <c r="H42" s="224"/>
      <c r="I42" s="224">
        <f t="shared" si="16"/>
        <v>1516102.5</v>
      </c>
      <c r="J42" s="224">
        <f t="shared" si="17"/>
        <v>7967602.5</v>
      </c>
      <c r="K42" s="224">
        <f t="shared" si="19"/>
        <v>306446.25</v>
      </c>
      <c r="L42" s="222">
        <f t="shared" si="18"/>
        <v>9730.7692307692323</v>
      </c>
    </row>
    <row r="43" spans="1:12">
      <c r="A43" s="217"/>
      <c r="B43" s="217">
        <v>7</v>
      </c>
      <c r="C43" s="225">
        <v>2.73</v>
      </c>
      <c r="D43" s="223">
        <f t="shared" si="14"/>
        <v>6906900</v>
      </c>
      <c r="E43" s="223">
        <f t="shared" si="15"/>
        <v>0</v>
      </c>
      <c r="F43" s="224"/>
      <c r="G43" s="224"/>
      <c r="H43" s="224"/>
      <c r="I43" s="224">
        <f t="shared" si="16"/>
        <v>1623121.5</v>
      </c>
      <c r="J43" s="224">
        <f t="shared" si="17"/>
        <v>8530021.5</v>
      </c>
      <c r="K43" s="224">
        <f t="shared" si="19"/>
        <v>328077.75</v>
      </c>
      <c r="L43" s="222">
        <f t="shared" si="18"/>
        <v>9730.7692307692323</v>
      </c>
    </row>
    <row r="44" spans="1:12">
      <c r="A44" s="217"/>
      <c r="B44" s="217">
        <v>8</v>
      </c>
      <c r="C44" s="225">
        <v>2.91</v>
      </c>
      <c r="D44" s="223">
        <f t="shared" si="14"/>
        <v>7362300</v>
      </c>
      <c r="E44" s="223">
        <f t="shared" si="15"/>
        <v>0</v>
      </c>
      <c r="F44" s="224"/>
      <c r="G44" s="224"/>
      <c r="H44" s="224"/>
      <c r="I44" s="224">
        <f t="shared" si="16"/>
        <v>1730140.5</v>
      </c>
      <c r="J44" s="224">
        <f t="shared" si="17"/>
        <v>9092440.5</v>
      </c>
      <c r="K44" s="224">
        <f t="shared" si="19"/>
        <v>349709.25</v>
      </c>
      <c r="L44" s="222">
        <f t="shared" si="18"/>
        <v>9730.7692307692323</v>
      </c>
    </row>
    <row r="45" spans="1:12" hidden="1">
      <c r="A45" s="216" t="s">
        <v>186</v>
      </c>
      <c r="B45" s="216" t="s">
        <v>187</v>
      </c>
      <c r="C45" s="225"/>
      <c r="D45" s="223"/>
      <c r="E45" s="223"/>
      <c r="F45" s="223"/>
      <c r="G45" s="224"/>
      <c r="H45" s="224"/>
      <c r="I45" s="224"/>
      <c r="J45" s="224"/>
      <c r="K45" s="224"/>
      <c r="L45" s="222">
        <f t="shared" si="18"/>
        <v>9730.7692307692323</v>
      </c>
    </row>
    <row r="46" spans="1:12" hidden="1">
      <c r="A46" s="217"/>
      <c r="B46" s="217">
        <v>3</v>
      </c>
      <c r="C46" s="225">
        <v>3.05</v>
      </c>
      <c r="D46" s="223">
        <f>C46*$D$9</f>
        <v>7716500</v>
      </c>
      <c r="E46" s="223">
        <f>D46*$E$9</f>
        <v>0</v>
      </c>
      <c r="F46" s="224"/>
      <c r="G46" s="224"/>
      <c r="H46" s="224"/>
      <c r="I46" s="224">
        <f>(D46+F46)*$I$9</f>
        <v>1813377.5</v>
      </c>
      <c r="J46" s="224">
        <f>SUM(D46:I46)</f>
        <v>9529877.5</v>
      </c>
      <c r="K46" s="224">
        <f>J46/K$10</f>
        <v>366533.75</v>
      </c>
      <c r="L46" s="222">
        <f t="shared" si="18"/>
        <v>9730.7692307692323</v>
      </c>
    </row>
    <row r="47" spans="1:12">
      <c r="A47" s="217"/>
      <c r="B47" s="217"/>
      <c r="C47" s="225"/>
      <c r="D47" s="223"/>
      <c r="E47" s="223"/>
      <c r="F47" s="224"/>
      <c r="G47" s="224"/>
      <c r="H47" s="224"/>
      <c r="I47" s="224"/>
      <c r="J47" s="224"/>
      <c r="K47" s="224"/>
      <c r="L47" s="222"/>
    </row>
    <row r="48" spans="1:12">
      <c r="A48" s="1189" t="s">
        <v>42</v>
      </c>
      <c r="B48" s="1190"/>
      <c r="C48" s="1190"/>
      <c r="D48" s="1191"/>
      <c r="E48" s="221"/>
      <c r="F48" s="221"/>
      <c r="G48" s="221"/>
      <c r="H48" s="221"/>
      <c r="I48" s="224"/>
      <c r="J48" s="224"/>
      <c r="K48" s="221"/>
      <c r="L48" s="222"/>
    </row>
    <row r="49" spans="1:12">
      <c r="A49" s="216" t="s">
        <v>0</v>
      </c>
      <c r="B49" s="1186" t="s">
        <v>183</v>
      </c>
      <c r="C49" s="1187"/>
      <c r="D49" s="1188"/>
      <c r="E49" s="221"/>
      <c r="F49" s="221"/>
      <c r="G49" s="221"/>
      <c r="H49" s="221"/>
      <c r="I49" s="221"/>
      <c r="J49" s="221"/>
      <c r="K49" s="221"/>
      <c r="L49" s="222"/>
    </row>
    <row r="50" spans="1:12">
      <c r="A50" s="217"/>
      <c r="B50" s="217">
        <v>1</v>
      </c>
      <c r="C50" s="217">
        <v>2.34</v>
      </c>
      <c r="D50" s="223">
        <f t="shared" ref="D50:D58" si="20">C50*$D$9</f>
        <v>5920200</v>
      </c>
      <c r="E50" s="223">
        <f t="shared" ref="E50:E58" si="21">D50*$E$9</f>
        <v>0</v>
      </c>
      <c r="F50" s="223"/>
      <c r="G50" s="224"/>
      <c r="H50" s="224"/>
      <c r="I50" s="224">
        <f t="shared" ref="I50:I58" si="22">(D50+F50)*$I$9</f>
        <v>1391247</v>
      </c>
      <c r="J50" s="224">
        <f t="shared" ref="J50:J58" si="23">SUM(D50:I50)</f>
        <v>7311447</v>
      </c>
      <c r="K50" s="224">
        <f>J50/K$10</f>
        <v>281209.5</v>
      </c>
      <c r="L50" s="222">
        <f t="shared" ref="L50:L58" si="24">$D$9/26*$L$9</f>
        <v>9730.7692307692323</v>
      </c>
    </row>
    <row r="51" spans="1:12">
      <c r="A51" s="217"/>
      <c r="B51" s="217">
        <v>2</v>
      </c>
      <c r="C51" s="225">
        <f t="shared" ref="C51:C58" si="25">C50+0.33</f>
        <v>2.67</v>
      </c>
      <c r="D51" s="223">
        <f t="shared" si="20"/>
        <v>6755100</v>
      </c>
      <c r="E51" s="223">
        <f t="shared" si="21"/>
        <v>0</v>
      </c>
      <c r="F51" s="223"/>
      <c r="G51" s="224"/>
      <c r="H51" s="224"/>
      <c r="I51" s="224">
        <f t="shared" si="22"/>
        <v>1587448.5</v>
      </c>
      <c r="J51" s="224">
        <f t="shared" si="23"/>
        <v>8342548.5</v>
      </c>
      <c r="K51" s="224">
        <f t="shared" ref="K51:K58" si="26">J51/K$10</f>
        <v>320867.25</v>
      </c>
      <c r="L51" s="222">
        <f t="shared" si="24"/>
        <v>9730.7692307692323</v>
      </c>
    </row>
    <row r="52" spans="1:12">
      <c r="A52" s="217"/>
      <c r="B52" s="217">
        <v>3</v>
      </c>
      <c r="C52" s="225">
        <f t="shared" si="25"/>
        <v>3</v>
      </c>
      <c r="D52" s="223">
        <f t="shared" si="20"/>
        <v>7590000</v>
      </c>
      <c r="E52" s="223">
        <f t="shared" si="21"/>
        <v>0</v>
      </c>
      <c r="F52" s="223"/>
      <c r="G52" s="224"/>
      <c r="H52" s="224"/>
      <c r="I52" s="224">
        <f t="shared" si="22"/>
        <v>1783650</v>
      </c>
      <c r="J52" s="224">
        <f t="shared" si="23"/>
        <v>9373650</v>
      </c>
      <c r="K52" s="224">
        <f t="shared" si="26"/>
        <v>360525</v>
      </c>
      <c r="L52" s="222">
        <f t="shared" si="24"/>
        <v>9730.7692307692323</v>
      </c>
    </row>
    <row r="53" spans="1:12">
      <c r="A53" s="217"/>
      <c r="B53" s="217">
        <v>4</v>
      </c>
      <c r="C53" s="225">
        <f t="shared" si="25"/>
        <v>3.33</v>
      </c>
      <c r="D53" s="223">
        <f t="shared" si="20"/>
        <v>8424900</v>
      </c>
      <c r="E53" s="223">
        <f t="shared" si="21"/>
        <v>0</v>
      </c>
      <c r="F53" s="223"/>
      <c r="G53" s="224"/>
      <c r="H53" s="224"/>
      <c r="I53" s="224">
        <f t="shared" si="22"/>
        <v>1979851.5</v>
      </c>
      <c r="J53" s="224">
        <f t="shared" si="23"/>
        <v>10404751.5</v>
      </c>
      <c r="K53" s="224">
        <f t="shared" si="26"/>
        <v>400182.75</v>
      </c>
      <c r="L53" s="222">
        <f t="shared" si="24"/>
        <v>9730.7692307692323</v>
      </c>
    </row>
    <row r="54" spans="1:12">
      <c r="A54" s="217"/>
      <c r="B54" s="217">
        <v>5</v>
      </c>
      <c r="C54" s="225">
        <f t="shared" si="25"/>
        <v>3.66</v>
      </c>
      <c r="D54" s="223">
        <f t="shared" si="20"/>
        <v>9259800</v>
      </c>
      <c r="E54" s="223">
        <f t="shared" si="21"/>
        <v>0</v>
      </c>
      <c r="F54" s="224"/>
      <c r="G54" s="224"/>
      <c r="H54" s="224"/>
      <c r="I54" s="224">
        <f t="shared" si="22"/>
        <v>2176053</v>
      </c>
      <c r="J54" s="224">
        <f t="shared" si="23"/>
        <v>11435853</v>
      </c>
      <c r="K54" s="224">
        <f t="shared" si="26"/>
        <v>439840.5</v>
      </c>
      <c r="L54" s="222">
        <f t="shared" si="24"/>
        <v>9730.7692307692323</v>
      </c>
    </row>
    <row r="55" spans="1:12">
      <c r="A55" s="217"/>
      <c r="B55" s="217">
        <v>6</v>
      </c>
      <c r="C55" s="225">
        <f t="shared" si="25"/>
        <v>3.99</v>
      </c>
      <c r="D55" s="223">
        <f t="shared" si="20"/>
        <v>10094700</v>
      </c>
      <c r="E55" s="223">
        <f t="shared" si="21"/>
        <v>0</v>
      </c>
      <c r="F55" s="224"/>
      <c r="G55" s="224"/>
      <c r="H55" s="224"/>
      <c r="I55" s="224">
        <f t="shared" si="22"/>
        <v>2372254.5</v>
      </c>
      <c r="J55" s="224">
        <f t="shared" si="23"/>
        <v>12466954.5</v>
      </c>
      <c r="K55" s="224">
        <f t="shared" si="26"/>
        <v>479498.25</v>
      </c>
      <c r="L55" s="222">
        <f t="shared" si="24"/>
        <v>9730.7692307692323</v>
      </c>
    </row>
    <row r="56" spans="1:12">
      <c r="A56" s="217"/>
      <c r="B56" s="217">
        <v>7</v>
      </c>
      <c r="C56" s="225">
        <f t="shared" si="25"/>
        <v>4.32</v>
      </c>
      <c r="D56" s="223">
        <f t="shared" si="20"/>
        <v>10929600</v>
      </c>
      <c r="E56" s="223">
        <f t="shared" si="21"/>
        <v>0</v>
      </c>
      <c r="F56" s="224"/>
      <c r="G56" s="224"/>
      <c r="H56" s="224"/>
      <c r="I56" s="224">
        <f t="shared" si="22"/>
        <v>2568456</v>
      </c>
      <c r="J56" s="224">
        <f t="shared" si="23"/>
        <v>13498056</v>
      </c>
      <c r="K56" s="224">
        <f t="shared" si="26"/>
        <v>519156</v>
      </c>
      <c r="L56" s="222">
        <f t="shared" si="24"/>
        <v>9730.7692307692323</v>
      </c>
    </row>
    <row r="57" spans="1:12">
      <c r="A57" s="217"/>
      <c r="B57" s="217">
        <v>8</v>
      </c>
      <c r="C57" s="225">
        <f t="shared" si="25"/>
        <v>4.6500000000000004</v>
      </c>
      <c r="D57" s="223">
        <f t="shared" si="20"/>
        <v>11764500</v>
      </c>
      <c r="E57" s="223">
        <f t="shared" si="21"/>
        <v>0</v>
      </c>
      <c r="F57" s="224"/>
      <c r="G57" s="224"/>
      <c r="H57" s="224"/>
      <c r="I57" s="224">
        <f t="shared" si="22"/>
        <v>2764657.5</v>
      </c>
      <c r="J57" s="224">
        <f t="shared" si="23"/>
        <v>14529157.5</v>
      </c>
      <c r="K57" s="224">
        <f t="shared" si="26"/>
        <v>558813.75</v>
      </c>
      <c r="L57" s="222">
        <f t="shared" si="24"/>
        <v>9730.7692307692323</v>
      </c>
    </row>
    <row r="58" spans="1:12">
      <c r="A58" s="217"/>
      <c r="B58" s="217">
        <v>9</v>
      </c>
      <c r="C58" s="225">
        <f t="shared" si="25"/>
        <v>4.9800000000000004</v>
      </c>
      <c r="D58" s="223">
        <f t="shared" si="20"/>
        <v>12599400.000000002</v>
      </c>
      <c r="E58" s="223">
        <f t="shared" si="21"/>
        <v>0</v>
      </c>
      <c r="F58" s="224"/>
      <c r="G58" s="224"/>
      <c r="H58" s="224"/>
      <c r="I58" s="224">
        <f t="shared" si="22"/>
        <v>2960859.0000000005</v>
      </c>
      <c r="J58" s="224">
        <f t="shared" si="23"/>
        <v>15560259.000000002</v>
      </c>
      <c r="K58" s="224">
        <f t="shared" si="26"/>
        <v>598471.50000000012</v>
      </c>
      <c r="L58" s="222">
        <f t="shared" si="24"/>
        <v>9730.7692307692323</v>
      </c>
    </row>
    <row r="59" spans="1:12">
      <c r="A59" s="216" t="s">
        <v>1</v>
      </c>
      <c r="B59" s="1186" t="s">
        <v>184</v>
      </c>
      <c r="C59" s="1187"/>
      <c r="D59" s="1188"/>
      <c r="E59" s="223"/>
      <c r="F59" s="223"/>
      <c r="G59" s="224"/>
      <c r="H59" s="224"/>
      <c r="I59" s="224"/>
      <c r="J59" s="224"/>
      <c r="K59" s="224"/>
      <c r="L59" s="222"/>
    </row>
    <row r="60" spans="1:12">
      <c r="A60" s="217"/>
      <c r="B60" s="217">
        <v>1</v>
      </c>
      <c r="C60" s="225">
        <v>1.86</v>
      </c>
      <c r="D60" s="223">
        <f>C60*$D$9</f>
        <v>4705800</v>
      </c>
      <c r="E60" s="223">
        <f>D60*$E$9</f>
        <v>0</v>
      </c>
      <c r="F60" s="224"/>
      <c r="G60" s="224"/>
      <c r="H60" s="224"/>
      <c r="I60" s="224">
        <f t="shared" ref="I60:I71" si="27">(D60+F60)*$I$9</f>
        <v>1105863</v>
      </c>
      <c r="J60" s="224">
        <f t="shared" ref="J60:J71" si="28">SUM(D60:I60)</f>
        <v>5811663</v>
      </c>
      <c r="K60" s="224">
        <f>J60/K$10</f>
        <v>223525.5</v>
      </c>
      <c r="L60" s="222">
        <f t="shared" ref="L60:L71" si="29">$D$9/26*$L$9</f>
        <v>9730.7692307692323</v>
      </c>
    </row>
    <row r="61" spans="1:12">
      <c r="A61" s="217"/>
      <c r="B61" s="217">
        <v>2</v>
      </c>
      <c r="C61" s="225">
        <f t="shared" ref="C61:C71" si="30">C60+0.2</f>
        <v>2.06</v>
      </c>
      <c r="D61" s="223">
        <f>C61*$D$9</f>
        <v>5211800</v>
      </c>
      <c r="E61" s="223">
        <f>D61*$E$9</f>
        <v>0</v>
      </c>
      <c r="F61" s="224"/>
      <c r="G61" s="224"/>
      <c r="H61" s="224"/>
      <c r="I61" s="224">
        <f t="shared" si="27"/>
        <v>1224773</v>
      </c>
      <c r="J61" s="224">
        <f t="shared" si="28"/>
        <v>6436573</v>
      </c>
      <c r="K61" s="224">
        <f t="shared" ref="K61:K71" si="31">J61/K$10</f>
        <v>247560.5</v>
      </c>
      <c r="L61" s="222">
        <f t="shared" si="29"/>
        <v>9730.7692307692323</v>
      </c>
    </row>
    <row r="62" spans="1:12">
      <c r="A62" s="217"/>
      <c r="B62" s="217">
        <v>3</v>
      </c>
      <c r="C62" s="225">
        <f t="shared" si="30"/>
        <v>2.2600000000000002</v>
      </c>
      <c r="D62" s="223">
        <f>C62*$D$9</f>
        <v>5717800.0000000009</v>
      </c>
      <c r="E62" s="223">
        <f>D62*$E$9</f>
        <v>0</v>
      </c>
      <c r="F62" s="224"/>
      <c r="G62" s="224"/>
      <c r="H62" s="224"/>
      <c r="I62" s="224">
        <f t="shared" si="27"/>
        <v>1343683.0000000002</v>
      </c>
      <c r="J62" s="224">
        <f t="shared" si="28"/>
        <v>7061483.0000000009</v>
      </c>
      <c r="K62" s="224">
        <f t="shared" si="31"/>
        <v>271595.50000000006</v>
      </c>
      <c r="L62" s="222">
        <f t="shared" si="29"/>
        <v>9730.7692307692323</v>
      </c>
    </row>
    <row r="63" spans="1:12">
      <c r="A63" s="217"/>
      <c r="B63" s="217">
        <v>4</v>
      </c>
      <c r="C63" s="225">
        <f t="shared" si="30"/>
        <v>2.4600000000000004</v>
      </c>
      <c r="D63" s="223">
        <f t="shared" ref="D63:D71" si="32">C63*$D$9</f>
        <v>6223800.0000000009</v>
      </c>
      <c r="E63" s="223">
        <f t="shared" ref="E63:E71" si="33">D63*$E$9</f>
        <v>0</v>
      </c>
      <c r="F63" s="223"/>
      <c r="G63" s="224"/>
      <c r="H63" s="224"/>
      <c r="I63" s="224">
        <f t="shared" si="27"/>
        <v>1462593.0000000002</v>
      </c>
      <c r="J63" s="224">
        <f t="shared" si="28"/>
        <v>7686393.0000000009</v>
      </c>
      <c r="K63" s="224">
        <f t="shared" si="31"/>
        <v>295630.50000000006</v>
      </c>
      <c r="L63" s="222">
        <f t="shared" si="29"/>
        <v>9730.7692307692323</v>
      </c>
    </row>
    <row r="64" spans="1:12">
      <c r="A64" s="217"/>
      <c r="B64" s="217">
        <v>5</v>
      </c>
      <c r="C64" s="225">
        <f t="shared" si="30"/>
        <v>2.6600000000000006</v>
      </c>
      <c r="D64" s="223">
        <f t="shared" si="32"/>
        <v>6729800.0000000019</v>
      </c>
      <c r="E64" s="223">
        <f t="shared" si="33"/>
        <v>0</v>
      </c>
      <c r="F64" s="223"/>
      <c r="G64" s="224"/>
      <c r="H64" s="224"/>
      <c r="I64" s="224">
        <f t="shared" si="27"/>
        <v>1581503.0000000002</v>
      </c>
      <c r="J64" s="224">
        <f t="shared" si="28"/>
        <v>8311303.0000000019</v>
      </c>
      <c r="K64" s="224">
        <f t="shared" si="31"/>
        <v>319665.50000000006</v>
      </c>
      <c r="L64" s="222">
        <f t="shared" si="29"/>
        <v>9730.7692307692323</v>
      </c>
    </row>
    <row r="65" spans="1:12">
      <c r="A65" s="217"/>
      <c r="B65" s="217">
        <v>6</v>
      </c>
      <c r="C65" s="225">
        <f t="shared" si="30"/>
        <v>2.8600000000000008</v>
      </c>
      <c r="D65" s="223">
        <f t="shared" si="32"/>
        <v>7235800.0000000019</v>
      </c>
      <c r="E65" s="223">
        <f t="shared" si="33"/>
        <v>0</v>
      </c>
      <c r="F65" s="223"/>
      <c r="G65" s="224"/>
      <c r="H65" s="224"/>
      <c r="I65" s="224">
        <f t="shared" si="27"/>
        <v>1700413.0000000002</v>
      </c>
      <c r="J65" s="224">
        <f t="shared" si="28"/>
        <v>8936213.0000000019</v>
      </c>
      <c r="K65" s="224">
        <f t="shared" si="31"/>
        <v>343700.50000000006</v>
      </c>
      <c r="L65" s="222">
        <f t="shared" si="29"/>
        <v>9730.7692307692323</v>
      </c>
    </row>
    <row r="66" spans="1:12">
      <c r="A66" s="217"/>
      <c r="B66" s="217">
        <v>7</v>
      </c>
      <c r="C66" s="225">
        <f t="shared" si="30"/>
        <v>3.0600000000000009</v>
      </c>
      <c r="D66" s="223">
        <f t="shared" si="32"/>
        <v>7741800.0000000028</v>
      </c>
      <c r="E66" s="223">
        <f t="shared" si="33"/>
        <v>0</v>
      </c>
      <c r="F66" s="223"/>
      <c r="G66" s="224"/>
      <c r="H66" s="224"/>
      <c r="I66" s="224">
        <f t="shared" si="27"/>
        <v>1819323.0000000005</v>
      </c>
      <c r="J66" s="224">
        <f t="shared" si="28"/>
        <v>9561123.0000000037</v>
      </c>
      <c r="K66" s="224">
        <f t="shared" si="31"/>
        <v>367735.50000000012</v>
      </c>
      <c r="L66" s="222">
        <f t="shared" si="29"/>
        <v>9730.7692307692323</v>
      </c>
    </row>
    <row r="67" spans="1:12">
      <c r="A67" s="217"/>
      <c r="B67" s="217">
        <v>8</v>
      </c>
      <c r="C67" s="225">
        <f t="shared" si="30"/>
        <v>3.2600000000000011</v>
      </c>
      <c r="D67" s="223">
        <f t="shared" si="32"/>
        <v>8247800.0000000028</v>
      </c>
      <c r="E67" s="223">
        <f t="shared" si="33"/>
        <v>0</v>
      </c>
      <c r="F67" s="223"/>
      <c r="G67" s="224"/>
      <c r="H67" s="224"/>
      <c r="I67" s="224">
        <f t="shared" si="27"/>
        <v>1938233.0000000005</v>
      </c>
      <c r="J67" s="224">
        <f t="shared" si="28"/>
        <v>10186033.000000004</v>
      </c>
      <c r="K67" s="224">
        <f t="shared" si="31"/>
        <v>391770.50000000012</v>
      </c>
      <c r="L67" s="222">
        <f t="shared" si="29"/>
        <v>9730.7692307692323</v>
      </c>
    </row>
    <row r="68" spans="1:12">
      <c r="A68" s="217"/>
      <c r="B68" s="217">
        <v>9</v>
      </c>
      <c r="C68" s="225">
        <f t="shared" si="30"/>
        <v>3.4600000000000013</v>
      </c>
      <c r="D68" s="223">
        <f t="shared" si="32"/>
        <v>8753800.0000000037</v>
      </c>
      <c r="E68" s="223">
        <f t="shared" si="33"/>
        <v>0</v>
      </c>
      <c r="F68" s="223"/>
      <c r="G68" s="224"/>
      <c r="H68" s="224"/>
      <c r="I68" s="224">
        <f t="shared" si="27"/>
        <v>2057143.0000000007</v>
      </c>
      <c r="J68" s="224">
        <f t="shared" si="28"/>
        <v>10810943.000000004</v>
      </c>
      <c r="K68" s="224">
        <f t="shared" si="31"/>
        <v>415805.50000000012</v>
      </c>
      <c r="L68" s="222">
        <f t="shared" si="29"/>
        <v>9730.7692307692323</v>
      </c>
    </row>
    <row r="69" spans="1:12">
      <c r="A69" s="217"/>
      <c r="B69" s="217">
        <v>10</v>
      </c>
      <c r="C69" s="225">
        <f t="shared" si="30"/>
        <v>3.6600000000000015</v>
      </c>
      <c r="D69" s="223">
        <f t="shared" si="32"/>
        <v>9259800.0000000037</v>
      </c>
      <c r="E69" s="223">
        <f t="shared" si="33"/>
        <v>0</v>
      </c>
      <c r="F69" s="223"/>
      <c r="G69" s="224"/>
      <c r="H69" s="224"/>
      <c r="I69" s="224">
        <f t="shared" si="27"/>
        <v>2176053.0000000009</v>
      </c>
      <c r="J69" s="224">
        <f t="shared" si="28"/>
        <v>11435853.000000004</v>
      </c>
      <c r="K69" s="224">
        <f t="shared" si="31"/>
        <v>439840.50000000012</v>
      </c>
      <c r="L69" s="222">
        <f t="shared" si="29"/>
        <v>9730.7692307692323</v>
      </c>
    </row>
    <row r="70" spans="1:12">
      <c r="A70" s="217"/>
      <c r="B70" s="217">
        <v>11</v>
      </c>
      <c r="C70" s="225">
        <f t="shared" si="30"/>
        <v>3.8600000000000017</v>
      </c>
      <c r="D70" s="223">
        <f t="shared" si="32"/>
        <v>9765800.0000000037</v>
      </c>
      <c r="E70" s="223">
        <f t="shared" si="33"/>
        <v>0</v>
      </c>
      <c r="F70" s="224"/>
      <c r="G70" s="224"/>
      <c r="H70" s="224"/>
      <c r="I70" s="224">
        <f t="shared" si="27"/>
        <v>2294963.0000000009</v>
      </c>
      <c r="J70" s="224">
        <f t="shared" si="28"/>
        <v>12060763.000000004</v>
      </c>
      <c r="K70" s="224">
        <f t="shared" si="31"/>
        <v>463875.50000000012</v>
      </c>
      <c r="L70" s="222">
        <f t="shared" si="29"/>
        <v>9730.7692307692323</v>
      </c>
    </row>
    <row r="71" spans="1:12">
      <c r="A71" s="217"/>
      <c r="B71" s="217">
        <v>12</v>
      </c>
      <c r="C71" s="225">
        <f t="shared" si="30"/>
        <v>4.0600000000000014</v>
      </c>
      <c r="D71" s="223">
        <f t="shared" si="32"/>
        <v>10271800.000000004</v>
      </c>
      <c r="E71" s="223">
        <f t="shared" si="33"/>
        <v>0</v>
      </c>
      <c r="F71" s="224"/>
      <c r="G71" s="224"/>
      <c r="H71" s="224"/>
      <c r="I71" s="224">
        <f t="shared" si="27"/>
        <v>2413873.0000000009</v>
      </c>
      <c r="J71" s="224">
        <f t="shared" si="28"/>
        <v>12685673.000000004</v>
      </c>
      <c r="K71" s="224">
        <f t="shared" si="31"/>
        <v>487910.50000000012</v>
      </c>
      <c r="L71" s="222">
        <f t="shared" si="29"/>
        <v>9730.7692307692323</v>
      </c>
    </row>
    <row r="72" spans="1:12">
      <c r="A72" s="216" t="s">
        <v>185</v>
      </c>
      <c r="B72" s="1186" t="s">
        <v>354</v>
      </c>
      <c r="C72" s="1187"/>
      <c r="D72" s="1188"/>
      <c r="E72" s="223"/>
      <c r="F72" s="223"/>
      <c r="G72" s="224"/>
      <c r="H72" s="224"/>
      <c r="I72" s="224"/>
      <c r="J72" s="224"/>
      <c r="K72" s="224"/>
      <c r="L72" s="222"/>
    </row>
    <row r="73" spans="1:12">
      <c r="A73" s="217"/>
      <c r="B73" s="217">
        <v>1</v>
      </c>
      <c r="C73" s="225">
        <v>1.65</v>
      </c>
      <c r="D73" s="223">
        <f t="shared" ref="D73:D80" si="34">C73*$D$9</f>
        <v>4174500</v>
      </c>
      <c r="E73" s="223">
        <f t="shared" ref="E73:E80" si="35">D73*$E$9</f>
        <v>0</v>
      </c>
      <c r="F73" s="224"/>
      <c r="G73" s="224"/>
      <c r="H73" s="224"/>
      <c r="I73" s="224">
        <f t="shared" ref="I73:I80" si="36">(D73+F73)*$I$9</f>
        <v>981007.5</v>
      </c>
      <c r="J73" s="224">
        <f t="shared" ref="J73:J80" si="37">SUM(D73:I73)</f>
        <v>5155507.5</v>
      </c>
      <c r="K73" s="224">
        <f>J73/K$10</f>
        <v>198288.75</v>
      </c>
      <c r="L73" s="222">
        <f t="shared" ref="L73:L80" si="38">$D$9/26*$L$9</f>
        <v>9730.7692307692323</v>
      </c>
    </row>
    <row r="74" spans="1:12">
      <c r="A74" s="217"/>
      <c r="B74" s="217">
        <v>2</v>
      </c>
      <c r="C74" s="225">
        <v>1.83</v>
      </c>
      <c r="D74" s="223">
        <f t="shared" si="34"/>
        <v>4629900</v>
      </c>
      <c r="E74" s="223">
        <f t="shared" si="35"/>
        <v>0</v>
      </c>
      <c r="F74" s="224"/>
      <c r="G74" s="224"/>
      <c r="H74" s="224"/>
      <c r="I74" s="224">
        <f t="shared" si="36"/>
        <v>1088026.5</v>
      </c>
      <c r="J74" s="224">
        <f t="shared" si="37"/>
        <v>5717926.5</v>
      </c>
      <c r="K74" s="224">
        <f t="shared" ref="K74:K80" si="39">J74/K$10</f>
        <v>219920.25</v>
      </c>
      <c r="L74" s="222">
        <f t="shared" si="38"/>
        <v>9730.7692307692323</v>
      </c>
    </row>
    <row r="75" spans="1:12">
      <c r="A75" s="217"/>
      <c r="B75" s="217">
        <v>3</v>
      </c>
      <c r="C75" s="225">
        <v>2.0099999999999998</v>
      </c>
      <c r="D75" s="223">
        <f t="shared" si="34"/>
        <v>5085299.9999999991</v>
      </c>
      <c r="E75" s="223">
        <f t="shared" si="35"/>
        <v>0</v>
      </c>
      <c r="F75" s="224"/>
      <c r="G75" s="224"/>
      <c r="H75" s="224"/>
      <c r="I75" s="224">
        <f t="shared" si="36"/>
        <v>1195045.4999999998</v>
      </c>
      <c r="J75" s="224">
        <f t="shared" si="37"/>
        <v>6280345.4999999991</v>
      </c>
      <c r="K75" s="224">
        <f t="shared" si="39"/>
        <v>241551.74999999997</v>
      </c>
      <c r="L75" s="222">
        <f t="shared" si="38"/>
        <v>9730.7692307692323</v>
      </c>
    </row>
    <row r="76" spans="1:12">
      <c r="A76" s="217"/>
      <c r="B76" s="217">
        <v>4</v>
      </c>
      <c r="C76" s="225">
        <v>2.19</v>
      </c>
      <c r="D76" s="223">
        <f t="shared" si="34"/>
        <v>5540700</v>
      </c>
      <c r="E76" s="223">
        <f t="shared" si="35"/>
        <v>0</v>
      </c>
      <c r="F76" s="224"/>
      <c r="G76" s="224"/>
      <c r="H76" s="224"/>
      <c r="I76" s="224">
        <f t="shared" si="36"/>
        <v>1302064.5</v>
      </c>
      <c r="J76" s="224">
        <f t="shared" si="37"/>
        <v>6842764.5</v>
      </c>
      <c r="K76" s="224">
        <f t="shared" si="39"/>
        <v>263183.25</v>
      </c>
      <c r="L76" s="222">
        <f t="shared" si="38"/>
        <v>9730.7692307692323</v>
      </c>
    </row>
    <row r="77" spans="1:12">
      <c r="A77" s="217"/>
      <c r="B77" s="217">
        <v>5</v>
      </c>
      <c r="C77" s="225">
        <v>2.37</v>
      </c>
      <c r="D77" s="223">
        <f t="shared" si="34"/>
        <v>5996100</v>
      </c>
      <c r="E77" s="223">
        <f t="shared" si="35"/>
        <v>0</v>
      </c>
      <c r="F77" s="224"/>
      <c r="G77" s="224"/>
      <c r="H77" s="224"/>
      <c r="I77" s="224">
        <f t="shared" si="36"/>
        <v>1409083.5</v>
      </c>
      <c r="J77" s="224">
        <f t="shared" si="37"/>
        <v>7405183.5</v>
      </c>
      <c r="K77" s="224">
        <f t="shared" si="39"/>
        <v>284814.75</v>
      </c>
      <c r="L77" s="222">
        <f t="shared" si="38"/>
        <v>9730.7692307692323</v>
      </c>
    </row>
    <row r="78" spans="1:12">
      <c r="A78" s="217"/>
      <c r="B78" s="217">
        <v>6</v>
      </c>
      <c r="C78" s="225">
        <v>2.5499999999999998</v>
      </c>
      <c r="D78" s="223">
        <f t="shared" si="34"/>
        <v>6451500</v>
      </c>
      <c r="E78" s="223">
        <f t="shared" si="35"/>
        <v>0</v>
      </c>
      <c r="F78" s="224"/>
      <c r="G78" s="224"/>
      <c r="H78" s="224"/>
      <c r="I78" s="224">
        <f t="shared" si="36"/>
        <v>1516102.5</v>
      </c>
      <c r="J78" s="224">
        <f t="shared" si="37"/>
        <v>7967602.5</v>
      </c>
      <c r="K78" s="224">
        <f t="shared" si="39"/>
        <v>306446.25</v>
      </c>
      <c r="L78" s="222">
        <f t="shared" si="38"/>
        <v>9730.7692307692323</v>
      </c>
    </row>
    <row r="79" spans="1:12">
      <c r="A79" s="217"/>
      <c r="B79" s="217">
        <v>7</v>
      </c>
      <c r="C79" s="225">
        <v>2.73</v>
      </c>
      <c r="D79" s="223">
        <f t="shared" si="34"/>
        <v>6906900</v>
      </c>
      <c r="E79" s="223">
        <f t="shared" si="35"/>
        <v>0</v>
      </c>
      <c r="F79" s="224"/>
      <c r="G79" s="224"/>
      <c r="H79" s="224"/>
      <c r="I79" s="224">
        <f t="shared" si="36"/>
        <v>1623121.5</v>
      </c>
      <c r="J79" s="224">
        <f t="shared" si="37"/>
        <v>8530021.5</v>
      </c>
      <c r="K79" s="224">
        <f t="shared" si="39"/>
        <v>328077.75</v>
      </c>
      <c r="L79" s="222">
        <f t="shared" si="38"/>
        <v>9730.7692307692323</v>
      </c>
    </row>
    <row r="80" spans="1:12">
      <c r="A80" s="217"/>
      <c r="B80" s="217">
        <v>8</v>
      </c>
      <c r="C80" s="225">
        <v>2.91</v>
      </c>
      <c r="D80" s="223">
        <f t="shared" si="34"/>
        <v>7362300</v>
      </c>
      <c r="E80" s="223">
        <f t="shared" si="35"/>
        <v>0</v>
      </c>
      <c r="F80" s="224"/>
      <c r="G80" s="224"/>
      <c r="H80" s="224"/>
      <c r="I80" s="224">
        <f t="shared" si="36"/>
        <v>1730140.5</v>
      </c>
      <c r="J80" s="224">
        <f t="shared" si="37"/>
        <v>9092440.5</v>
      </c>
      <c r="K80" s="224">
        <f t="shared" si="39"/>
        <v>349709.25</v>
      </c>
      <c r="L80" s="222">
        <f t="shared" si="38"/>
        <v>9730.7692307692323</v>
      </c>
    </row>
    <row r="81" spans="1:12">
      <c r="A81" s="217"/>
      <c r="B81" s="217"/>
      <c r="C81" s="225"/>
      <c r="D81" s="223"/>
      <c r="E81" s="223"/>
      <c r="F81" s="223"/>
      <c r="G81" s="224"/>
      <c r="H81" s="224"/>
      <c r="I81" s="224"/>
      <c r="J81" s="224"/>
      <c r="K81" s="224"/>
      <c r="L81" s="219"/>
    </row>
    <row r="82" spans="1:12">
      <c r="A82" s="1189" t="s">
        <v>585</v>
      </c>
      <c r="B82" s="1190"/>
      <c r="C82" s="1190"/>
      <c r="D82" s="1191"/>
      <c r="E82" s="223"/>
      <c r="F82" s="223"/>
      <c r="G82" s="224"/>
      <c r="H82" s="224"/>
      <c r="I82" s="224"/>
      <c r="J82" s="224"/>
      <c r="K82" s="224"/>
      <c r="L82" s="219"/>
    </row>
    <row r="83" spans="1:12">
      <c r="A83" s="220"/>
      <c r="B83" s="1186" t="s">
        <v>57</v>
      </c>
      <c r="C83" s="1187"/>
      <c r="D83" s="1188"/>
      <c r="E83" s="223"/>
      <c r="F83" s="223"/>
      <c r="G83" s="224"/>
      <c r="H83" s="224"/>
      <c r="I83" s="224"/>
      <c r="J83" s="224"/>
      <c r="K83" s="224"/>
      <c r="L83" s="219"/>
    </row>
    <row r="84" spans="1:12">
      <c r="A84" s="217">
        <v>1</v>
      </c>
      <c r="B84" s="1193" t="s">
        <v>182</v>
      </c>
      <c r="C84" s="1193"/>
      <c r="D84" s="223">
        <f>$D$9*$L$9</f>
        <v>253000</v>
      </c>
      <c r="E84" s="223"/>
      <c r="F84" s="223"/>
      <c r="G84" s="226">
        <v>1.28</v>
      </c>
      <c r="H84" s="224"/>
      <c r="I84" s="224"/>
      <c r="J84" s="224">
        <f>(D84+I84)</f>
        <v>253000</v>
      </c>
      <c r="K84" s="224">
        <f>J84/K$10</f>
        <v>9730.7692307692305</v>
      </c>
      <c r="L84" s="219"/>
    </row>
    <row r="85" spans="1:12">
      <c r="A85" s="217">
        <v>2</v>
      </c>
      <c r="B85" s="1193" t="s">
        <v>188</v>
      </c>
      <c r="C85" s="1193"/>
      <c r="D85" s="223">
        <f>$D$9*$L$9</f>
        <v>253000</v>
      </c>
      <c r="E85" s="223"/>
      <c r="F85" s="223"/>
      <c r="G85" s="226">
        <v>1.25</v>
      </c>
      <c r="H85" s="224"/>
      <c r="I85" s="224"/>
      <c r="J85" s="224">
        <f t="shared" ref="J85:J90" si="40">(D85+I85)</f>
        <v>253000</v>
      </c>
      <c r="K85" s="224">
        <f t="shared" ref="K85:K90" si="41">J85/K$10</f>
        <v>9730.7692307692305</v>
      </c>
      <c r="L85" s="219"/>
    </row>
    <row r="86" spans="1:12">
      <c r="A86" s="217">
        <v>3</v>
      </c>
      <c r="B86" s="1193" t="s">
        <v>189</v>
      </c>
      <c r="C86" s="1193"/>
      <c r="D86" s="223">
        <f>$D$9*$L$9</f>
        <v>253000</v>
      </c>
      <c r="E86" s="223"/>
      <c r="F86" s="223"/>
      <c r="G86" s="226">
        <v>1.2</v>
      </c>
      <c r="H86" s="224"/>
      <c r="I86" s="224"/>
      <c r="J86" s="224">
        <f t="shared" si="40"/>
        <v>253000</v>
      </c>
      <c r="K86" s="224">
        <f>J86/K$10</f>
        <v>9730.7692307692305</v>
      </c>
      <c r="L86" s="219"/>
    </row>
    <row r="87" spans="1:12">
      <c r="A87" s="220"/>
      <c r="B87" s="1186" t="s">
        <v>58</v>
      </c>
      <c r="C87" s="1187"/>
      <c r="D87" s="1188"/>
      <c r="E87" s="223"/>
      <c r="F87" s="223"/>
      <c r="G87" s="224"/>
      <c r="H87" s="224"/>
      <c r="I87" s="224"/>
      <c r="J87" s="224">
        <f t="shared" si="40"/>
        <v>0</v>
      </c>
      <c r="K87" s="224"/>
      <c r="L87" s="219"/>
    </row>
    <row r="88" spans="1:12">
      <c r="A88" s="217">
        <v>1</v>
      </c>
      <c r="B88" s="1193" t="s">
        <v>182</v>
      </c>
      <c r="C88" s="1193"/>
      <c r="D88" s="223">
        <f>$D$9*$L$9</f>
        <v>253000</v>
      </c>
      <c r="E88" s="223"/>
      <c r="F88" s="223"/>
      <c r="G88" s="226">
        <v>1.1499999999999999</v>
      </c>
      <c r="H88" s="224"/>
      <c r="I88" s="224"/>
      <c r="J88" s="224">
        <f t="shared" si="40"/>
        <v>253000</v>
      </c>
      <c r="K88" s="224">
        <f t="shared" si="41"/>
        <v>9730.7692307692305</v>
      </c>
      <c r="L88" s="219"/>
    </row>
    <row r="89" spans="1:12">
      <c r="A89" s="217">
        <v>2</v>
      </c>
      <c r="B89" s="1193" t="s">
        <v>188</v>
      </c>
      <c r="C89" s="1193"/>
      <c r="D89" s="223">
        <f>$D$9*$L$9</f>
        <v>253000</v>
      </c>
      <c r="E89" s="223"/>
      <c r="F89" s="223"/>
      <c r="G89" s="226">
        <v>1.1499999999999999</v>
      </c>
      <c r="H89" s="224"/>
      <c r="I89" s="224"/>
      <c r="J89" s="224">
        <f t="shared" si="40"/>
        <v>253000</v>
      </c>
      <c r="K89" s="224">
        <f t="shared" si="41"/>
        <v>9730.7692307692305</v>
      </c>
      <c r="L89" s="219"/>
    </row>
    <row r="90" spans="1:12">
      <c r="A90" s="217">
        <v>3</v>
      </c>
      <c r="B90" s="1193" t="s">
        <v>189</v>
      </c>
      <c r="C90" s="1193"/>
      <c r="D90" s="223">
        <f>$D$9*$L$9</f>
        <v>253000</v>
      </c>
      <c r="E90" s="223"/>
      <c r="F90" s="223"/>
      <c r="G90" s="226">
        <v>1.1499999999999999</v>
      </c>
      <c r="H90" s="224"/>
      <c r="I90" s="224"/>
      <c r="J90" s="224">
        <f t="shared" si="40"/>
        <v>253000</v>
      </c>
      <c r="K90" s="224">
        <f t="shared" si="41"/>
        <v>9730.7692307692305</v>
      </c>
      <c r="L90" s="219"/>
    </row>
    <row r="91" spans="1:12">
      <c r="A91" s="217"/>
      <c r="B91" s="1192"/>
      <c r="C91" s="1192"/>
      <c r="D91" s="223"/>
      <c r="E91" s="223"/>
      <c r="F91" s="223"/>
      <c r="G91" s="224"/>
      <c r="H91" s="224"/>
      <c r="I91" s="224"/>
      <c r="J91" s="224"/>
      <c r="K91" s="224"/>
      <c r="L91" s="219"/>
    </row>
    <row r="92" spans="1:12">
      <c r="A92" s="1189" t="s">
        <v>320</v>
      </c>
      <c r="B92" s="1190"/>
      <c r="C92" s="1190"/>
      <c r="D92" s="1191"/>
      <c r="E92" s="223"/>
      <c r="F92" s="223"/>
      <c r="G92" s="224"/>
      <c r="H92" s="224"/>
      <c r="I92" s="351"/>
      <c r="J92" s="224"/>
      <c r="K92" s="900">
        <f>K95</f>
        <v>181923.07692307694</v>
      </c>
      <c r="L92" s="219"/>
    </row>
    <row r="93" spans="1:12">
      <c r="A93" s="216"/>
      <c r="B93" s="216"/>
      <c r="C93" s="225"/>
      <c r="D93" s="223"/>
      <c r="E93" s="223"/>
      <c r="F93" s="223"/>
      <c r="G93" s="224"/>
      <c r="H93" s="224"/>
      <c r="I93" s="224"/>
      <c r="J93" s="224"/>
      <c r="K93" s="224"/>
      <c r="L93" s="219"/>
    </row>
    <row r="94" spans="1:12">
      <c r="A94" s="217"/>
      <c r="B94" s="227" t="s">
        <v>515</v>
      </c>
      <c r="C94" s="247"/>
      <c r="D94" s="247"/>
      <c r="E94" s="228"/>
      <c r="F94" s="228"/>
      <c r="G94" s="228"/>
      <c r="H94" s="228"/>
      <c r="I94" s="352"/>
      <c r="J94" s="224">
        <v>5310000</v>
      </c>
      <c r="K94" s="354">
        <f>J94/26</f>
        <v>204230.76923076922</v>
      </c>
      <c r="L94" s="219"/>
    </row>
    <row r="95" spans="1:12">
      <c r="A95" s="217"/>
      <c r="B95" s="227" t="s">
        <v>516</v>
      </c>
      <c r="C95" s="247"/>
      <c r="D95" s="247"/>
      <c r="E95" s="229"/>
      <c r="F95" s="229"/>
      <c r="G95" s="229"/>
      <c r="H95" s="229"/>
      <c r="I95" s="299"/>
      <c r="J95" s="224">
        <v>4730000</v>
      </c>
      <c r="K95" s="354">
        <f t="shared" ref="K95:K97" si="42">J95/26</f>
        <v>181923.07692307694</v>
      </c>
      <c r="L95" s="219"/>
    </row>
    <row r="96" spans="1:12">
      <c r="A96" s="217"/>
      <c r="B96" s="227" t="s">
        <v>517</v>
      </c>
      <c r="C96" s="247"/>
      <c r="D96" s="247"/>
      <c r="E96" s="247"/>
      <c r="F96" s="247"/>
      <c r="G96" s="247"/>
      <c r="H96" s="247"/>
      <c r="I96" s="353"/>
      <c r="J96" s="224">
        <v>4140000</v>
      </c>
      <c r="K96" s="354">
        <f t="shared" si="42"/>
        <v>159230.76923076922</v>
      </c>
      <c r="L96" s="219"/>
    </row>
    <row r="97" spans="1:12">
      <c r="A97" s="217"/>
      <c r="B97" s="227" t="s">
        <v>518</v>
      </c>
      <c r="C97" s="247"/>
      <c r="D97" s="247"/>
      <c r="E97" s="247"/>
      <c r="F97" s="247"/>
      <c r="G97" s="247"/>
      <c r="H97" s="247"/>
      <c r="I97" s="353"/>
      <c r="J97" s="224">
        <v>3700000</v>
      </c>
      <c r="K97" s="354">
        <f t="shared" si="42"/>
        <v>142307.69230769231</v>
      </c>
      <c r="L97" s="219"/>
    </row>
    <row r="99" spans="1:12" hidden="1">
      <c r="B99" s="230" t="s">
        <v>579</v>
      </c>
    </row>
  </sheetData>
  <mergeCells count="25">
    <mergeCell ref="A1:K1"/>
    <mergeCell ref="B84:C84"/>
    <mergeCell ref="B85:C85"/>
    <mergeCell ref="B86:C86"/>
    <mergeCell ref="A3:K3"/>
    <mergeCell ref="A4:K4"/>
    <mergeCell ref="A5:K5"/>
    <mergeCell ref="B8:B9"/>
    <mergeCell ref="A8:A9"/>
    <mergeCell ref="A82:D82"/>
    <mergeCell ref="B23:D23"/>
    <mergeCell ref="A12:D12"/>
    <mergeCell ref="B13:D13"/>
    <mergeCell ref="B49:D49"/>
    <mergeCell ref="B83:D83"/>
    <mergeCell ref="B36:D36"/>
    <mergeCell ref="B87:D87"/>
    <mergeCell ref="A92:D92"/>
    <mergeCell ref="B72:D72"/>
    <mergeCell ref="B59:D59"/>
    <mergeCell ref="A48:D48"/>
    <mergeCell ref="B91:C91"/>
    <mergeCell ref="B88:C88"/>
    <mergeCell ref="B89:C89"/>
    <mergeCell ref="B90:C90"/>
  </mergeCells>
  <phoneticPr fontId="0" type="noConversion"/>
  <printOptions horizontalCentered="1"/>
  <pageMargins left="0.35433070866141736" right="0.11811023622047245" top="0.43307086614173229" bottom="0.59055118110236227" header="0.23622047244094491" footer="0.23622047244094491"/>
  <pageSetup paperSize="9" scale="95" firstPageNumber="60" orientation="portrait" useFirstPageNumber="1" horizontalDpi="4294967295" verticalDpi="4294967295"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M34"/>
  <sheetViews>
    <sheetView showZeros="0" topLeftCell="A7" zoomScale="120" workbookViewId="0">
      <selection activeCell="Q14" sqref="Q14"/>
    </sheetView>
  </sheetViews>
  <sheetFormatPr defaultColWidth="8" defaultRowHeight="13"/>
  <cols>
    <col min="1" max="1" width="8.4609375" style="92" customWidth="1"/>
    <col min="2" max="2" width="8" style="92" customWidth="1"/>
    <col min="3" max="3" width="9.69140625" style="92" bestFit="1" customWidth="1"/>
    <col min="4" max="4" width="9.4609375" style="92" bestFit="1" customWidth="1"/>
    <col min="5" max="5" width="7.4609375" style="92" customWidth="1"/>
    <col min="6" max="6" width="9.23046875" style="92" customWidth="1"/>
    <col min="7" max="7" width="7" style="92" customWidth="1"/>
    <col min="8" max="8" width="8.4609375" style="92" customWidth="1"/>
    <col min="9" max="9" width="9" style="92" customWidth="1"/>
    <col min="10" max="10" width="8.69140625" style="92" customWidth="1"/>
    <col min="11" max="11" width="7.69140625" style="92" customWidth="1"/>
    <col min="12" max="12" width="9.4609375" style="92" customWidth="1"/>
    <col min="13" max="13" width="7.84375" style="92" customWidth="1"/>
    <col min="14" max="16384" width="8" style="92"/>
  </cols>
  <sheetData>
    <row r="1" spans="1:13" s="94" customFormat="1">
      <c r="A1" s="1224" t="s">
        <v>350</v>
      </c>
      <c r="B1" s="1224"/>
      <c r="C1" s="1224"/>
      <c r="D1" s="1224"/>
      <c r="E1" s="1224"/>
      <c r="F1" s="1224"/>
      <c r="G1" s="1224"/>
      <c r="H1" s="1224"/>
      <c r="I1" s="1224"/>
      <c r="J1" s="1224"/>
      <c r="K1" s="1224"/>
      <c r="L1" s="1224"/>
      <c r="M1" s="1224"/>
    </row>
    <row r="3" spans="1:13" s="94" customFormat="1">
      <c r="A3" s="93" t="s">
        <v>220</v>
      </c>
      <c r="B3" s="1220" t="s">
        <v>351</v>
      </c>
      <c r="C3" s="1220"/>
      <c r="D3" s="1220"/>
      <c r="E3" s="1220"/>
      <c r="F3" s="1220"/>
      <c r="G3" s="1220"/>
      <c r="H3" s="1220"/>
      <c r="I3" s="1220"/>
      <c r="J3" s="1220"/>
      <c r="K3" s="1220"/>
      <c r="L3" s="1220"/>
      <c r="M3" s="1220"/>
    </row>
    <row r="4" spans="1:13">
      <c r="A4" s="95" t="s">
        <v>124</v>
      </c>
      <c r="B4" s="1225" t="s">
        <v>352</v>
      </c>
      <c r="C4" s="1225"/>
      <c r="D4" s="1225"/>
      <c r="E4" s="1225"/>
      <c r="F4" s="1225"/>
      <c r="G4" s="1225"/>
      <c r="H4" s="1225"/>
      <c r="I4" s="1225"/>
      <c r="J4" s="1225"/>
      <c r="K4" s="1225"/>
      <c r="L4" s="1225"/>
      <c r="M4" s="1225"/>
    </row>
    <row r="5" spans="1:13">
      <c r="A5" s="95" t="s">
        <v>125</v>
      </c>
      <c r="B5" s="1225" t="s">
        <v>353</v>
      </c>
      <c r="C5" s="1225"/>
      <c r="D5" s="1225"/>
      <c r="E5" s="1225"/>
      <c r="F5" s="1225"/>
      <c r="G5" s="1225"/>
      <c r="H5" s="1225"/>
      <c r="I5" s="1225"/>
      <c r="J5" s="1225"/>
      <c r="K5" s="1225"/>
      <c r="L5" s="1225"/>
      <c r="M5" s="1225"/>
    </row>
    <row r="6" spans="1:13" ht="26.5" customHeight="1">
      <c r="A6" s="95" t="s">
        <v>126</v>
      </c>
      <c r="B6" s="1225" t="s">
        <v>634</v>
      </c>
      <c r="C6" s="1225"/>
      <c r="D6" s="1225"/>
      <c r="E6" s="1225"/>
      <c r="F6" s="1225"/>
      <c r="G6" s="1225"/>
      <c r="H6" s="1225"/>
      <c r="I6" s="1225"/>
      <c r="J6" s="1225"/>
      <c r="K6" s="1225"/>
      <c r="L6" s="1225"/>
      <c r="M6" s="1225"/>
    </row>
    <row r="7" spans="1:13" ht="26.5" customHeight="1">
      <c r="A7" s="95" t="s">
        <v>127</v>
      </c>
      <c r="B7" s="1225" t="s">
        <v>632</v>
      </c>
      <c r="C7" s="1225"/>
      <c r="D7" s="1225"/>
      <c r="E7" s="1225"/>
      <c r="F7" s="1225"/>
      <c r="G7" s="1225"/>
      <c r="H7" s="1225"/>
      <c r="I7" s="1225"/>
      <c r="J7" s="1225"/>
      <c r="K7" s="1225"/>
      <c r="L7" s="1225"/>
      <c r="M7" s="1225"/>
    </row>
    <row r="8" spans="1:13" ht="18.75" customHeight="1">
      <c r="A8" s="95" t="s">
        <v>128</v>
      </c>
      <c r="B8" s="1225" t="s">
        <v>633</v>
      </c>
      <c r="C8" s="1225"/>
      <c r="D8" s="1225"/>
      <c r="E8" s="1225"/>
      <c r="F8" s="1225"/>
      <c r="G8" s="1225"/>
      <c r="H8" s="1225"/>
      <c r="I8" s="1225"/>
      <c r="J8" s="1225"/>
      <c r="K8" s="1225"/>
      <c r="L8" s="1225"/>
      <c r="M8" s="1225"/>
    </row>
    <row r="9" spans="1:13">
      <c r="A9" s="95"/>
    </row>
    <row r="10" spans="1:13">
      <c r="A10" s="95"/>
    </row>
    <row r="11" spans="1:13" ht="14.5" thickBot="1">
      <c r="A11" s="1213" t="s">
        <v>319</v>
      </c>
      <c r="B11" s="1213"/>
      <c r="C11" s="1213"/>
      <c r="D11" s="1213"/>
      <c r="E11" s="1213"/>
      <c r="F11" s="1213"/>
      <c r="G11" s="1213"/>
      <c r="H11" s="1213"/>
      <c r="I11" s="1213"/>
      <c r="J11" s="1213"/>
      <c r="K11" s="1213"/>
      <c r="L11" s="1213"/>
      <c r="M11" s="1213"/>
    </row>
    <row r="12" spans="1:13" ht="18" customHeight="1">
      <c r="A12" s="1210" t="s">
        <v>311</v>
      </c>
      <c r="B12" s="1218" t="s">
        <v>124</v>
      </c>
      <c r="C12" s="1218"/>
      <c r="D12" s="1218" t="s">
        <v>125</v>
      </c>
      <c r="E12" s="1218"/>
      <c r="F12" s="1218" t="s">
        <v>126</v>
      </c>
      <c r="G12" s="1218"/>
      <c r="H12" s="1218" t="s">
        <v>127</v>
      </c>
      <c r="I12" s="1218"/>
      <c r="J12" s="1218" t="s">
        <v>128</v>
      </c>
      <c r="K12" s="1218"/>
      <c r="L12" s="1218" t="s">
        <v>129</v>
      </c>
      <c r="M12" s="1219"/>
    </row>
    <row r="13" spans="1:13" ht="18" customHeight="1">
      <c r="A13" s="1211"/>
      <c r="B13" s="90" t="s">
        <v>314</v>
      </c>
      <c r="C13" s="1208" t="s">
        <v>316</v>
      </c>
      <c r="D13" s="90" t="s">
        <v>314</v>
      </c>
      <c r="E13" s="1208" t="s">
        <v>316</v>
      </c>
      <c r="F13" s="90" t="s">
        <v>314</v>
      </c>
      <c r="G13" s="1208" t="s">
        <v>316</v>
      </c>
      <c r="H13" s="90" t="s">
        <v>314</v>
      </c>
      <c r="I13" s="1208" t="s">
        <v>316</v>
      </c>
      <c r="J13" s="90" t="s">
        <v>314</v>
      </c>
      <c r="K13" s="1208" t="s">
        <v>316</v>
      </c>
      <c r="L13" s="90" t="s">
        <v>314</v>
      </c>
      <c r="M13" s="1207" t="s">
        <v>316</v>
      </c>
    </row>
    <row r="14" spans="1:13" ht="18" customHeight="1">
      <c r="A14" s="1212"/>
      <c r="B14" s="90" t="s">
        <v>315</v>
      </c>
      <c r="C14" s="1208"/>
      <c r="D14" s="90" t="s">
        <v>315</v>
      </c>
      <c r="E14" s="1208"/>
      <c r="F14" s="90" t="s">
        <v>315</v>
      </c>
      <c r="G14" s="1208"/>
      <c r="H14" s="90" t="s">
        <v>315</v>
      </c>
      <c r="I14" s="1208"/>
      <c r="J14" s="90" t="s">
        <v>315</v>
      </c>
      <c r="K14" s="1208"/>
      <c r="L14" s="90" t="s">
        <v>315</v>
      </c>
      <c r="M14" s="1207"/>
    </row>
    <row r="15" spans="1:13" ht="18" customHeight="1">
      <c r="A15" s="1216" t="s">
        <v>22</v>
      </c>
      <c r="B15" s="96">
        <v>60</v>
      </c>
      <c r="C15" s="1201">
        <f>(B15+B16)/2</f>
        <v>67</v>
      </c>
      <c r="D15" s="97">
        <v>75</v>
      </c>
      <c r="E15" s="1201">
        <f>(D15+D16)/2</f>
        <v>82</v>
      </c>
      <c r="F15" s="97">
        <v>90</v>
      </c>
      <c r="G15" s="1201">
        <f>(F15+F16)/2</f>
        <v>97</v>
      </c>
      <c r="H15" s="97">
        <v>105</v>
      </c>
      <c r="I15" s="1201">
        <f>(H15+H16)/2</f>
        <v>112.5</v>
      </c>
      <c r="J15" s="97"/>
      <c r="K15" s="1205"/>
      <c r="L15" s="96"/>
      <c r="M15" s="98"/>
    </row>
    <row r="16" spans="1:13" ht="18" customHeight="1">
      <c r="A16" s="1217"/>
      <c r="B16" s="99">
        <v>74</v>
      </c>
      <c r="C16" s="1202"/>
      <c r="D16" s="99">
        <v>89</v>
      </c>
      <c r="E16" s="1202"/>
      <c r="F16" s="99">
        <v>104</v>
      </c>
      <c r="G16" s="1202"/>
      <c r="H16" s="99">
        <v>120</v>
      </c>
      <c r="I16" s="1202"/>
      <c r="J16" s="99"/>
      <c r="K16" s="1206"/>
      <c r="L16" s="99"/>
      <c r="M16" s="100"/>
    </row>
    <row r="17" spans="1:13" ht="18" customHeight="1">
      <c r="A17" s="1216" t="s">
        <v>23</v>
      </c>
      <c r="B17" s="810">
        <v>25</v>
      </c>
      <c r="C17" s="1201">
        <f>(B17+B18)/2</f>
        <v>32</v>
      </c>
      <c r="D17" s="812">
        <v>40</v>
      </c>
      <c r="E17" s="1201">
        <f>(D17+D18)/2</f>
        <v>42</v>
      </c>
      <c r="F17" s="812">
        <v>45</v>
      </c>
      <c r="G17" s="1201">
        <f>(F17+F18)/2</f>
        <v>49.5</v>
      </c>
      <c r="H17" s="812">
        <v>55</v>
      </c>
      <c r="I17" s="1201">
        <f>(H17+H18)/2</f>
        <v>59.5</v>
      </c>
      <c r="J17" s="812">
        <v>65</v>
      </c>
      <c r="K17" s="1201">
        <f>(J17+J18)/2</f>
        <v>70</v>
      </c>
      <c r="L17" s="96"/>
      <c r="M17" s="98"/>
    </row>
    <row r="18" spans="1:13" ht="18" customHeight="1">
      <c r="A18" s="1217"/>
      <c r="B18" s="811">
        <v>39</v>
      </c>
      <c r="C18" s="1202"/>
      <c r="D18" s="811">
        <v>44</v>
      </c>
      <c r="E18" s="1202"/>
      <c r="F18" s="811">
        <v>54</v>
      </c>
      <c r="G18" s="1202"/>
      <c r="H18" s="811">
        <v>64</v>
      </c>
      <c r="I18" s="1202"/>
      <c r="J18" s="811">
        <v>75</v>
      </c>
      <c r="K18" s="1202"/>
      <c r="L18" s="99"/>
      <c r="M18" s="100"/>
    </row>
    <row r="19" spans="1:13" ht="18" customHeight="1">
      <c r="A19" s="1216" t="s">
        <v>32</v>
      </c>
      <c r="B19" s="96">
        <v>30</v>
      </c>
      <c r="C19" s="1201">
        <f>(B19+B20)/2</f>
        <v>34.5</v>
      </c>
      <c r="D19" s="97">
        <v>40</v>
      </c>
      <c r="E19" s="1201">
        <f>(D19+D20)/2</f>
        <v>44.5</v>
      </c>
      <c r="F19" s="97">
        <v>50</v>
      </c>
      <c r="G19" s="1201">
        <f>(F19+F20)/2</f>
        <v>54.5</v>
      </c>
      <c r="H19" s="97">
        <v>15</v>
      </c>
      <c r="I19" s="1201">
        <f>(H19+H20)/2</f>
        <v>17</v>
      </c>
      <c r="J19" s="97">
        <v>20</v>
      </c>
      <c r="K19" s="1201">
        <f>(J19+J20)/2</f>
        <v>22.5</v>
      </c>
      <c r="L19" s="96"/>
      <c r="M19" s="1221"/>
    </row>
    <row r="20" spans="1:13" ht="18" customHeight="1">
      <c r="A20" s="1217"/>
      <c r="B20" s="99">
        <v>39</v>
      </c>
      <c r="C20" s="1202"/>
      <c r="D20" s="99">
        <v>49</v>
      </c>
      <c r="E20" s="1202"/>
      <c r="F20" s="99">
        <v>59</v>
      </c>
      <c r="G20" s="1202"/>
      <c r="H20" s="99">
        <v>19</v>
      </c>
      <c r="I20" s="1202"/>
      <c r="J20" s="99">
        <v>25</v>
      </c>
      <c r="K20" s="1202"/>
      <c r="L20" s="99"/>
      <c r="M20" s="1222"/>
    </row>
    <row r="21" spans="1:13" ht="18" customHeight="1">
      <c r="A21" s="1216" t="s">
        <v>312</v>
      </c>
      <c r="B21" s="96">
        <v>5</v>
      </c>
      <c r="C21" s="1201">
        <f>(B21+B22)/2</f>
        <v>7</v>
      </c>
      <c r="D21" s="97">
        <v>10</v>
      </c>
      <c r="E21" s="1201">
        <f>(D21+D22)/2</f>
        <v>14.5</v>
      </c>
      <c r="F21" s="97">
        <v>20</v>
      </c>
      <c r="G21" s="1201">
        <f>(F21+F22)/2</f>
        <v>24.5</v>
      </c>
      <c r="H21" s="97">
        <v>4</v>
      </c>
      <c r="I21" s="1201">
        <f>(H21+H22)/2</f>
        <v>5.5</v>
      </c>
      <c r="J21" s="97">
        <v>8</v>
      </c>
      <c r="K21" s="1201">
        <f>(J21+J22)/2</f>
        <v>8.5</v>
      </c>
      <c r="L21" s="96"/>
      <c r="M21" s="1221"/>
    </row>
    <row r="22" spans="1:13" ht="18" customHeight="1">
      <c r="A22" s="1217"/>
      <c r="B22" s="99">
        <v>9</v>
      </c>
      <c r="C22" s="1202"/>
      <c r="D22" s="99">
        <v>19</v>
      </c>
      <c r="E22" s="1202"/>
      <c r="F22" s="99">
        <v>29</v>
      </c>
      <c r="G22" s="1202"/>
      <c r="H22" s="99">
        <v>7</v>
      </c>
      <c r="I22" s="1202"/>
      <c r="J22" s="99">
        <v>9</v>
      </c>
      <c r="K22" s="1202"/>
      <c r="L22" s="99"/>
      <c r="M22" s="1222"/>
    </row>
    <row r="23" spans="1:13" ht="18" customHeight="1">
      <c r="A23" s="1216" t="s">
        <v>313</v>
      </c>
      <c r="B23" s="96">
        <v>0.2</v>
      </c>
      <c r="C23" s="1203">
        <f>(B23+B24)/2</f>
        <v>1.1000000000000001</v>
      </c>
      <c r="D23" s="97">
        <v>2</v>
      </c>
      <c r="E23" s="1203">
        <f>(D23+D24)/2</f>
        <v>3</v>
      </c>
      <c r="F23" s="97">
        <v>5</v>
      </c>
      <c r="G23" s="1203">
        <f>(F23+F24)/2</f>
        <v>6</v>
      </c>
      <c r="H23" s="97">
        <v>8</v>
      </c>
      <c r="I23" s="1203">
        <f>(H23+H24)/2</f>
        <v>8.5</v>
      </c>
      <c r="J23" s="97"/>
      <c r="K23" s="1201"/>
      <c r="L23" s="96"/>
      <c r="M23" s="1221"/>
    </row>
    <row r="24" spans="1:13" ht="18" customHeight="1" thickBot="1">
      <c r="A24" s="1226"/>
      <c r="B24" s="101">
        <v>2</v>
      </c>
      <c r="C24" s="1204"/>
      <c r="D24" s="101">
        <v>4</v>
      </c>
      <c r="E24" s="1204"/>
      <c r="F24" s="101">
        <v>7</v>
      </c>
      <c r="G24" s="1204"/>
      <c r="H24" s="101">
        <v>9</v>
      </c>
      <c r="I24" s="1204"/>
      <c r="J24" s="101"/>
      <c r="K24" s="1209"/>
      <c r="L24" s="101"/>
      <c r="M24" s="1223"/>
    </row>
    <row r="25" spans="1:13" ht="18" customHeight="1">
      <c r="A25" s="93"/>
      <c r="B25" s="102"/>
      <c r="C25" s="93"/>
      <c r="D25" s="95"/>
      <c r="E25" s="93"/>
      <c r="F25" s="95"/>
      <c r="G25" s="93"/>
      <c r="H25" s="95"/>
      <c r="I25" s="93"/>
      <c r="J25" s="95"/>
      <c r="K25" s="95"/>
      <c r="L25" s="95"/>
      <c r="M25" s="95"/>
    </row>
    <row r="26" spans="1:13" ht="14.5" thickBot="1">
      <c r="A26" s="1213" t="s">
        <v>319</v>
      </c>
      <c r="B26" s="1213"/>
      <c r="C26" s="1213"/>
      <c r="D26" s="1213"/>
      <c r="E26" s="1213"/>
      <c r="F26" s="1213"/>
      <c r="G26" s="1213"/>
      <c r="H26" s="1213"/>
      <c r="I26" s="1213"/>
      <c r="J26" s="1213"/>
      <c r="K26" s="1213"/>
      <c r="L26" s="1213"/>
      <c r="M26" s="1213"/>
    </row>
    <row r="27" spans="1:13" ht="20.149999999999999" customHeight="1">
      <c r="A27" s="1210" t="s">
        <v>311</v>
      </c>
      <c r="B27" s="1214" t="s">
        <v>124</v>
      </c>
      <c r="C27" s="1214"/>
      <c r="D27" s="1214" t="s">
        <v>125</v>
      </c>
      <c r="E27" s="1214"/>
      <c r="F27" s="1214" t="s">
        <v>126</v>
      </c>
      <c r="G27" s="1214"/>
      <c r="H27" s="1214" t="s">
        <v>127</v>
      </c>
      <c r="I27" s="1214"/>
      <c r="J27" s="1214" t="s">
        <v>128</v>
      </c>
      <c r="K27" s="1214"/>
      <c r="L27" s="1214" t="s">
        <v>129</v>
      </c>
      <c r="M27" s="1215"/>
    </row>
    <row r="28" spans="1:13">
      <c r="A28" s="1211"/>
      <c r="B28" s="1208" t="s">
        <v>318</v>
      </c>
      <c r="C28" s="1208"/>
      <c r="D28" s="1208" t="s">
        <v>318</v>
      </c>
      <c r="E28" s="1208"/>
      <c r="F28" s="1208" t="s">
        <v>318</v>
      </c>
      <c r="G28" s="1208"/>
      <c r="H28" s="1208" t="s">
        <v>318</v>
      </c>
      <c r="I28" s="1208"/>
      <c r="J28" s="1208" t="s">
        <v>318</v>
      </c>
      <c r="K28" s="1208"/>
      <c r="L28" s="1208" t="s">
        <v>318</v>
      </c>
      <c r="M28" s="1207"/>
    </row>
    <row r="29" spans="1:13">
      <c r="A29" s="1212"/>
      <c r="B29" s="90" t="s">
        <v>317</v>
      </c>
      <c r="C29" s="90" t="s">
        <v>198</v>
      </c>
      <c r="D29" s="90" t="s">
        <v>317</v>
      </c>
      <c r="E29" s="90" t="s">
        <v>198</v>
      </c>
      <c r="F29" s="90" t="s">
        <v>317</v>
      </c>
      <c r="G29" s="90" t="s">
        <v>198</v>
      </c>
      <c r="H29" s="90" t="s">
        <v>317</v>
      </c>
      <c r="I29" s="90" t="s">
        <v>198</v>
      </c>
      <c r="J29" s="90" t="s">
        <v>317</v>
      </c>
      <c r="K29" s="90" t="s">
        <v>198</v>
      </c>
      <c r="L29" s="90" t="s">
        <v>317</v>
      </c>
      <c r="M29" s="91" t="s">
        <v>198</v>
      </c>
    </row>
    <row r="30" spans="1:13" ht="20.149999999999999" customHeight="1">
      <c r="A30" s="103" t="s">
        <v>22</v>
      </c>
      <c r="B30" s="104">
        <f>C15</f>
        <v>67</v>
      </c>
      <c r="C30" s="245">
        <f>B30</f>
        <v>67</v>
      </c>
      <c r="D30" s="104">
        <f>E15</f>
        <v>82</v>
      </c>
      <c r="E30" s="245">
        <f>D30</f>
        <v>82</v>
      </c>
      <c r="F30" s="104">
        <f>G15</f>
        <v>97</v>
      </c>
      <c r="G30" s="245">
        <f>F30</f>
        <v>97</v>
      </c>
      <c r="H30" s="104">
        <f>I15</f>
        <v>112.5</v>
      </c>
      <c r="I30" s="245">
        <f>H30</f>
        <v>112.5</v>
      </c>
      <c r="J30" s="104">
        <f>K15</f>
        <v>0</v>
      </c>
      <c r="K30" s="245">
        <f>J30</f>
        <v>0</v>
      </c>
      <c r="L30" s="104">
        <f>M15</f>
        <v>0</v>
      </c>
      <c r="M30" s="245">
        <f>L30</f>
        <v>0</v>
      </c>
    </row>
    <row r="31" spans="1:13" ht="20.149999999999999" customHeight="1">
      <c r="A31" s="103" t="s">
        <v>23</v>
      </c>
      <c r="B31" s="104">
        <f>C17</f>
        <v>32</v>
      </c>
      <c r="C31" s="245">
        <f>ROUND(B31*6.25,0)</f>
        <v>200</v>
      </c>
      <c r="D31" s="104">
        <f>E17</f>
        <v>42</v>
      </c>
      <c r="E31" s="245">
        <f>ROUND(D31*6.25,0)</f>
        <v>263</v>
      </c>
      <c r="F31" s="104">
        <f>G17</f>
        <v>49.5</v>
      </c>
      <c r="G31" s="245">
        <f>ROUND(F31*6.25,0)</f>
        <v>309</v>
      </c>
      <c r="H31" s="104">
        <f>I17</f>
        <v>59.5</v>
      </c>
      <c r="I31" s="245">
        <f>ROUND(H31*6.25,0)</f>
        <v>372</v>
      </c>
      <c r="J31" s="104">
        <f>K17</f>
        <v>70</v>
      </c>
      <c r="K31" s="245">
        <f>ROUND(J31*6.25,0)</f>
        <v>438</v>
      </c>
      <c r="L31" s="104">
        <f>M17</f>
        <v>0</v>
      </c>
      <c r="M31" s="245">
        <f>ROUND(L31*6.25,0)</f>
        <v>0</v>
      </c>
    </row>
    <row r="32" spans="1:13" ht="20.149999999999999" customHeight="1">
      <c r="A32" s="103" t="s">
        <v>32</v>
      </c>
      <c r="B32" s="104">
        <f>C19</f>
        <v>34.5</v>
      </c>
      <c r="C32" s="245">
        <f>ROUND(B32*25,0)</f>
        <v>863</v>
      </c>
      <c r="D32" s="104">
        <f>E19</f>
        <v>44.5</v>
      </c>
      <c r="E32" s="245">
        <f>ROUND(D32*25,0)</f>
        <v>1113</v>
      </c>
      <c r="F32" s="104">
        <f>G19</f>
        <v>54.5</v>
      </c>
      <c r="G32" s="245">
        <f>ROUND(F32*25,0)</f>
        <v>1363</v>
      </c>
      <c r="H32" s="104">
        <f>I19</f>
        <v>17</v>
      </c>
      <c r="I32" s="245">
        <f>ROUND(H32*25,0)</f>
        <v>425</v>
      </c>
      <c r="J32" s="104">
        <f>K19</f>
        <v>22.5</v>
      </c>
      <c r="K32" s="245">
        <f>ROUND(J32*25,0)</f>
        <v>563</v>
      </c>
      <c r="L32" s="104">
        <f>M19</f>
        <v>0</v>
      </c>
      <c r="M32" s="245">
        <f>ROUND(L32*25,0)</f>
        <v>0</v>
      </c>
    </row>
    <row r="33" spans="1:13" ht="20.149999999999999" customHeight="1">
      <c r="A33" s="105" t="s">
        <v>312</v>
      </c>
      <c r="B33" s="104">
        <f>C21</f>
        <v>7</v>
      </c>
      <c r="C33" s="245">
        <f>ROUND(B33*100,0)</f>
        <v>700</v>
      </c>
      <c r="D33" s="104">
        <f>E21</f>
        <v>14.5</v>
      </c>
      <c r="E33" s="245">
        <f>ROUND(D33*100,0)</f>
        <v>1450</v>
      </c>
      <c r="F33" s="104">
        <f>G21</f>
        <v>24.5</v>
      </c>
      <c r="G33" s="245">
        <f>ROUND(F33*100,0)</f>
        <v>2450</v>
      </c>
      <c r="H33" s="104">
        <f>I21</f>
        <v>5.5</v>
      </c>
      <c r="I33" s="245">
        <f>ROUND(H33*100,0)</f>
        <v>550</v>
      </c>
      <c r="J33" s="104">
        <f>K21</f>
        <v>8.5</v>
      </c>
      <c r="K33" s="245">
        <f>ROUND(J33*100,0)</f>
        <v>850</v>
      </c>
      <c r="L33" s="104">
        <f>M21</f>
        <v>0</v>
      </c>
      <c r="M33" s="245">
        <f>ROUND(L33*100,0)</f>
        <v>0</v>
      </c>
    </row>
    <row r="34" spans="1:13" ht="20.149999999999999" customHeight="1" thickBot="1">
      <c r="A34" s="106" t="s">
        <v>313</v>
      </c>
      <c r="B34" s="107">
        <f>C23</f>
        <v>1.1000000000000001</v>
      </c>
      <c r="C34" s="246">
        <f>ROUND(B34*900,0)</f>
        <v>990</v>
      </c>
      <c r="D34" s="107">
        <f>E23</f>
        <v>3</v>
      </c>
      <c r="E34" s="246">
        <f>ROUND(D34*900,0)</f>
        <v>2700</v>
      </c>
      <c r="F34" s="107">
        <f>G23</f>
        <v>6</v>
      </c>
      <c r="G34" s="246">
        <f>ROUND(F34*900,0)</f>
        <v>5400</v>
      </c>
      <c r="H34" s="107">
        <f>I23</f>
        <v>8.5</v>
      </c>
      <c r="I34" s="246">
        <f>ROUND(H34*900,0)</f>
        <v>7650</v>
      </c>
      <c r="J34" s="107">
        <f>K23</f>
        <v>0</v>
      </c>
      <c r="K34" s="246">
        <f>ROUND(J34*900,0)</f>
        <v>0</v>
      </c>
      <c r="L34" s="107">
        <f>M23</f>
        <v>0</v>
      </c>
      <c r="M34" s="246">
        <f>ROUND(L34*900,0)</f>
        <v>0</v>
      </c>
    </row>
  </sheetData>
  <mergeCells count="68">
    <mergeCell ref="B3:M3"/>
    <mergeCell ref="M19:M20"/>
    <mergeCell ref="M21:M22"/>
    <mergeCell ref="M23:M24"/>
    <mergeCell ref="A1:M1"/>
    <mergeCell ref="B4:M4"/>
    <mergeCell ref="B5:M5"/>
    <mergeCell ref="B6:M6"/>
    <mergeCell ref="B7:M7"/>
    <mergeCell ref="B8:M8"/>
    <mergeCell ref="A15:A16"/>
    <mergeCell ref="E15:E16"/>
    <mergeCell ref="C15:C16"/>
    <mergeCell ref="I17:I18"/>
    <mergeCell ref="I15:I16"/>
    <mergeCell ref="A23:A24"/>
    <mergeCell ref="A17:A18"/>
    <mergeCell ref="A19:A20"/>
    <mergeCell ref="C19:C20"/>
    <mergeCell ref="E19:E20"/>
    <mergeCell ref="G19:G20"/>
    <mergeCell ref="F27:G27"/>
    <mergeCell ref="H27:I27"/>
    <mergeCell ref="C23:C24"/>
    <mergeCell ref="A21:A22"/>
    <mergeCell ref="A11:M11"/>
    <mergeCell ref="C13:C14"/>
    <mergeCell ref="E13:E14"/>
    <mergeCell ref="G13:G14"/>
    <mergeCell ref="L12:M12"/>
    <mergeCell ref="A12:A14"/>
    <mergeCell ref="B12:C12"/>
    <mergeCell ref="F12:G12"/>
    <mergeCell ref="H12:I12"/>
    <mergeCell ref="J12:K12"/>
    <mergeCell ref="I13:I14"/>
    <mergeCell ref="D12:E12"/>
    <mergeCell ref="M13:M14"/>
    <mergeCell ref="K13:K14"/>
    <mergeCell ref="K21:K22"/>
    <mergeCell ref="K23:K24"/>
    <mergeCell ref="A27:A29"/>
    <mergeCell ref="A26:M26"/>
    <mergeCell ref="B28:C28"/>
    <mergeCell ref="D28:E28"/>
    <mergeCell ref="F28:G28"/>
    <mergeCell ref="J27:K27"/>
    <mergeCell ref="L27:M27"/>
    <mergeCell ref="H28:I28"/>
    <mergeCell ref="J28:K28"/>
    <mergeCell ref="L28:M28"/>
    <mergeCell ref="B27:C27"/>
    <mergeCell ref="D27:E27"/>
    <mergeCell ref="C21:C22"/>
    <mergeCell ref="I23:I24"/>
    <mergeCell ref="K15:K16"/>
    <mergeCell ref="E23:E24"/>
    <mergeCell ref="I19:I20"/>
    <mergeCell ref="G17:G18"/>
    <mergeCell ref="C17:C18"/>
    <mergeCell ref="G15:G16"/>
    <mergeCell ref="I21:I22"/>
    <mergeCell ref="G23:G24"/>
    <mergeCell ref="E21:E22"/>
    <mergeCell ref="G21:G22"/>
    <mergeCell ref="K17:K18"/>
    <mergeCell ref="K19:K20"/>
    <mergeCell ref="E17:E18"/>
  </mergeCells>
  <phoneticPr fontId="0" type="noConversion"/>
  <printOptions horizontalCentered="1"/>
  <pageMargins left="0.5" right="0.5" top="0.5" bottom="0.5" header="0.5" footer="0.5"/>
  <pageSetup paperSize="9" orientation="landscape" horizontalDpi="300" verticalDpi="300" r:id="rId1"/>
  <headerFooter alignWithMargins="0"/>
  <ignoredErrors>
    <ignoredError sqref="A25:M33 E16 A17 C17 A18 C18 E15 G15 G16:M16 I15:M15 E18 G17 G18 I17 I18 K17:M17 K18:M18 A19 C19 E17 A20 C20 E19 E20 G19 G20 I19 I20 K19 K20 A21 C21 A22 C22 E21 E22 G21 G22 I21 I22 K21 K22 A23 A24 E23 E24 G23 G24 I23 I24 A34:B34 C34:M34"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T66"/>
  <sheetViews>
    <sheetView topLeftCell="A4" zoomScale="110" zoomScaleNormal="110" workbookViewId="0">
      <pane ySplit="3" topLeftCell="A52" activePane="bottomLeft" state="frozen"/>
      <selection activeCell="A4" sqref="A4"/>
      <selection pane="bottomLeft" activeCell="X51" sqref="X51"/>
    </sheetView>
  </sheetViews>
  <sheetFormatPr defaultColWidth="9" defaultRowHeight="13"/>
  <cols>
    <col min="1" max="1" width="3.84375" style="125" bestFit="1" customWidth="1"/>
    <col min="2" max="2" width="24.23046875" style="83" customWidth="1"/>
    <col min="3" max="5" width="5.4609375" style="125" bestFit="1" customWidth="1"/>
    <col min="6" max="6" width="5.4609375" style="126" bestFit="1" customWidth="1"/>
    <col min="7" max="7" width="5.84375" style="125" customWidth="1"/>
    <col min="8" max="8" width="6" style="125" customWidth="1"/>
    <col min="9" max="9" width="6.07421875" style="126" customWidth="1"/>
    <col min="10" max="12" width="5.23046875" style="126" hidden="1" customWidth="1"/>
    <col min="13" max="14" width="5.84375" style="125" customWidth="1"/>
    <col min="15" max="15" width="5.69140625" style="125" customWidth="1"/>
    <col min="16" max="16" width="5.23046875" style="125" hidden="1" customWidth="1"/>
    <col min="17" max="17" width="4.4609375" style="126" customWidth="1"/>
    <col min="18" max="18" width="12.69140625" style="127" bestFit="1" customWidth="1"/>
    <col min="19" max="19" width="8.69140625" style="83" customWidth="1"/>
    <col min="20" max="20" width="9" style="83"/>
    <col min="21" max="21" width="10.07421875" style="83" bestFit="1" customWidth="1"/>
    <col min="22" max="16384" width="9" style="83"/>
  </cols>
  <sheetData>
    <row r="1" spans="1:20" s="124" customFormat="1" ht="18">
      <c r="A1" s="1227" t="s">
        <v>50</v>
      </c>
      <c r="B1" s="1227"/>
      <c r="C1" s="1227"/>
      <c r="D1" s="1227"/>
      <c r="E1" s="1227"/>
      <c r="F1" s="1227"/>
      <c r="G1" s="1227"/>
      <c r="H1" s="1227"/>
      <c r="I1" s="1227"/>
      <c r="J1" s="1227"/>
      <c r="K1" s="1227"/>
      <c r="L1" s="1227"/>
      <c r="M1" s="1227"/>
      <c r="N1" s="1227"/>
      <c r="O1" s="1227"/>
      <c r="P1" s="1227"/>
      <c r="Q1" s="1227"/>
      <c r="R1" s="1227"/>
      <c r="S1" s="1227"/>
    </row>
    <row r="2" spans="1:20" s="124" customFormat="1" ht="18">
      <c r="A2" s="1227" t="s">
        <v>51</v>
      </c>
      <c r="B2" s="1227"/>
      <c r="C2" s="1227"/>
      <c r="D2" s="1227"/>
      <c r="E2" s="1227"/>
      <c r="F2" s="1227"/>
      <c r="G2" s="1227"/>
      <c r="H2" s="1227"/>
      <c r="I2" s="1227"/>
      <c r="J2" s="1227"/>
      <c r="K2" s="1227"/>
      <c r="L2" s="1227"/>
      <c r="M2" s="1227"/>
      <c r="N2" s="1227"/>
      <c r="O2" s="1227"/>
      <c r="P2" s="1227"/>
      <c r="Q2" s="1227"/>
      <c r="R2" s="1227"/>
      <c r="S2" s="1227"/>
    </row>
    <row r="3" spans="1:20" ht="13.5" thickBot="1">
      <c r="B3" s="125"/>
      <c r="R3" s="127" t="s">
        <v>43</v>
      </c>
      <c r="S3" s="125"/>
    </row>
    <row r="4" spans="1:20" s="51" customFormat="1" ht="26">
      <c r="A4" s="85" t="s">
        <v>2</v>
      </c>
      <c r="B4" s="86" t="s">
        <v>53</v>
      </c>
      <c r="C4" s="86" t="s">
        <v>446</v>
      </c>
      <c r="D4" s="86" t="s">
        <v>355</v>
      </c>
      <c r="E4" s="86" t="s">
        <v>356</v>
      </c>
      <c r="F4" s="86" t="s">
        <v>357</v>
      </c>
      <c r="G4" s="86" t="s">
        <v>3</v>
      </c>
      <c r="H4" s="86" t="s">
        <v>4</v>
      </c>
      <c r="I4" s="86" t="s">
        <v>5</v>
      </c>
      <c r="J4" s="86" t="s">
        <v>6</v>
      </c>
      <c r="K4" s="86" t="s">
        <v>7</v>
      </c>
      <c r="L4" s="86" t="s">
        <v>8</v>
      </c>
      <c r="M4" s="86" t="s">
        <v>9</v>
      </c>
      <c r="N4" s="86" t="s">
        <v>10</v>
      </c>
      <c r="O4" s="86" t="s">
        <v>11</v>
      </c>
      <c r="P4" s="86" t="s">
        <v>12</v>
      </c>
      <c r="Q4" s="86" t="s">
        <v>54</v>
      </c>
      <c r="R4" s="87" t="s">
        <v>55</v>
      </c>
      <c r="S4" s="88" t="s">
        <v>321</v>
      </c>
    </row>
    <row r="5" spans="1:20" s="133" customFormat="1">
      <c r="A5" s="128"/>
      <c r="B5" s="129" t="s">
        <v>309</v>
      </c>
      <c r="C5" s="130">
        <f>L_CBac!K92</f>
        <v>181923.07692307694</v>
      </c>
      <c r="D5" s="130">
        <f>L_CBac!K39</f>
        <v>241551.74999999997</v>
      </c>
      <c r="E5" s="130">
        <f>L_CBac!K40</f>
        <v>263183.25</v>
      </c>
      <c r="F5" s="130">
        <f>L_CBac!K41</f>
        <v>284814.75</v>
      </c>
      <c r="G5" s="130">
        <f>L_CBac!K27</f>
        <v>295630.50000000006</v>
      </c>
      <c r="H5" s="130">
        <f>L_CBac!K28</f>
        <v>319665.50000000006</v>
      </c>
      <c r="I5" s="130">
        <f>L_CBac!K29</f>
        <v>343700.50000000006</v>
      </c>
      <c r="J5" s="130">
        <f>L_CBac!K30</f>
        <v>367735.50000000012</v>
      </c>
      <c r="K5" s="130">
        <f>L_CBac!K31</f>
        <v>391770.50000000012</v>
      </c>
      <c r="L5" s="130">
        <f>L_CBac!K32</f>
        <v>415805.50000000012</v>
      </c>
      <c r="M5" s="130">
        <f>L_CBac!K33</f>
        <v>439840.50000000012</v>
      </c>
      <c r="N5" s="130">
        <f>L_CBac!K15</f>
        <v>320867.25</v>
      </c>
      <c r="O5" s="130">
        <f>L_CBac!K16</f>
        <v>360525</v>
      </c>
      <c r="P5" s="130">
        <f>L_CBac!K17</f>
        <v>400182.75</v>
      </c>
      <c r="Q5" s="131"/>
      <c r="R5" s="131"/>
      <c r="S5" s="132"/>
    </row>
    <row r="6" spans="1:20" s="133" customFormat="1">
      <c r="A6" s="134"/>
      <c r="B6" s="135" t="s">
        <v>310</v>
      </c>
      <c r="C6" s="136"/>
      <c r="D6" s="136">
        <f>L_CBac!K75</f>
        <v>241551.74999999997</v>
      </c>
      <c r="E6" s="136">
        <f>L_CBac!K76</f>
        <v>263183.25</v>
      </c>
      <c r="F6" s="136">
        <f>L_CBac!K77</f>
        <v>284814.75</v>
      </c>
      <c r="G6" s="136">
        <f>L_CBac!K63</f>
        <v>295630.50000000006</v>
      </c>
      <c r="H6" s="136">
        <f>L_CBac!K64</f>
        <v>319665.50000000006</v>
      </c>
      <c r="I6" s="136">
        <f>L_CBac!K65</f>
        <v>343700.50000000006</v>
      </c>
      <c r="J6" s="136">
        <f>L_CBac!K66</f>
        <v>367735.50000000012</v>
      </c>
      <c r="K6" s="136">
        <f>L_CBac!K67</f>
        <v>391770.50000000012</v>
      </c>
      <c r="L6" s="136">
        <f>L_CBac!K68</f>
        <v>415805.50000000012</v>
      </c>
      <c r="M6" s="136">
        <f>L_CBac!K69</f>
        <v>439840.50000000012</v>
      </c>
      <c r="N6" s="136">
        <f>L_CBac!K51</f>
        <v>320867.25</v>
      </c>
      <c r="O6" s="136">
        <f>L_CBac!K52</f>
        <v>360525</v>
      </c>
      <c r="P6" s="136">
        <f>L_CBac!K53</f>
        <v>400182.75</v>
      </c>
      <c r="Q6" s="137"/>
      <c r="R6" s="137"/>
      <c r="S6" s="138"/>
    </row>
    <row r="7" spans="1:20" ht="23.25" customHeight="1">
      <c r="A7" s="902" t="s">
        <v>220</v>
      </c>
      <c r="B7" s="903" t="s">
        <v>81</v>
      </c>
      <c r="C7" s="140"/>
      <c r="D7" s="141"/>
      <c r="E7" s="141"/>
      <c r="F7" s="142"/>
      <c r="G7" s="141"/>
      <c r="H7" s="141"/>
      <c r="I7" s="142"/>
      <c r="J7" s="142"/>
      <c r="K7" s="142"/>
      <c r="L7" s="142"/>
      <c r="M7" s="141"/>
      <c r="N7" s="141"/>
      <c r="O7" s="141"/>
      <c r="P7" s="141"/>
      <c r="Q7" s="142"/>
      <c r="R7" s="141" t="s">
        <v>43</v>
      </c>
      <c r="S7" s="143"/>
    </row>
    <row r="8" spans="1:20" ht="19.5" customHeight="1">
      <c r="A8" s="66">
        <v>1</v>
      </c>
      <c r="B8" s="65" t="s">
        <v>635</v>
      </c>
      <c r="C8" s="144"/>
      <c r="D8" s="144">
        <v>1</v>
      </c>
      <c r="E8" s="145"/>
      <c r="F8" s="144"/>
      <c r="G8" s="144"/>
      <c r="H8" s="145"/>
      <c r="I8" s="144">
        <v>3</v>
      </c>
      <c r="J8" s="145"/>
      <c r="K8" s="145"/>
      <c r="L8" s="145"/>
      <c r="M8" s="145"/>
      <c r="N8" s="144"/>
      <c r="O8" s="144"/>
      <c r="P8" s="145"/>
      <c r="Q8" s="145">
        <f t="shared" ref="Q8:Q12" si="0">SUM(C8:P8)</f>
        <v>4</v>
      </c>
      <c r="R8" s="145" t="s">
        <v>461</v>
      </c>
      <c r="S8" s="146">
        <f>(C8*C$5+D8*D$5+E8*E$5+F8*F$5+G8*G$5+H8*H$5+I8*I$5+J8*J$5+K8*K$5+L8*L$5+M8*M$5+N8*N$5+O8*O$5+P8*P$5)</f>
        <v>1272653.2500000002</v>
      </c>
    </row>
    <row r="9" spans="1:20" ht="26">
      <c r="A9" s="66">
        <v>2</v>
      </c>
      <c r="B9" s="65" t="s">
        <v>68</v>
      </c>
      <c r="C9" s="144"/>
      <c r="D9" s="144">
        <v>1</v>
      </c>
      <c r="E9" s="145"/>
      <c r="F9" s="144"/>
      <c r="G9" s="144">
        <v>2</v>
      </c>
      <c r="H9" s="145"/>
      <c r="I9" s="144">
        <v>1</v>
      </c>
      <c r="J9" s="145"/>
      <c r="K9" s="145"/>
      <c r="L9" s="145"/>
      <c r="M9" s="145"/>
      <c r="N9" s="144"/>
      <c r="O9" s="144"/>
      <c r="P9" s="145"/>
      <c r="Q9" s="145">
        <f t="shared" si="0"/>
        <v>4</v>
      </c>
      <c r="R9" s="145" t="s">
        <v>462</v>
      </c>
      <c r="S9" s="146">
        <f>(C9*C$5+D9*D$5+E9*E$5+F9*F$5+G9*G$5+H9*H$5+I9*I$5+J9*J$5+K9*K$5+L9*L$5+M9*M$5+N9*N$5+O9*O$5+P9*P$5)</f>
        <v>1176513.2500000002</v>
      </c>
    </row>
    <row r="10" spans="1:20" ht="20.25" customHeight="1">
      <c r="A10" s="66">
        <v>3</v>
      </c>
      <c r="B10" s="65" t="s">
        <v>67</v>
      </c>
      <c r="C10" s="144"/>
      <c r="D10" s="144">
        <v>1</v>
      </c>
      <c r="E10" s="145"/>
      <c r="F10" s="144"/>
      <c r="G10" s="144"/>
      <c r="H10" s="145"/>
      <c r="I10" s="144">
        <v>3</v>
      </c>
      <c r="J10" s="145"/>
      <c r="K10" s="145"/>
      <c r="L10" s="145"/>
      <c r="M10" s="145"/>
      <c r="N10" s="144"/>
      <c r="O10" s="144"/>
      <c r="P10" s="145"/>
      <c r="Q10" s="145">
        <f t="shared" si="0"/>
        <v>4</v>
      </c>
      <c r="R10" s="145" t="s">
        <v>461</v>
      </c>
      <c r="S10" s="146">
        <f>(C10*C$5+D10*D$5+E10*E$5+F10*F$5+G10*G$5+H10*H$5+I10*I$5+J10*J$5+K10*K$5+L10*L$5+M10*M$5+N10*N$5+O10*O$5+P10*P$5)</f>
        <v>1272653.2500000002</v>
      </c>
    </row>
    <row r="11" spans="1:20" ht="26">
      <c r="A11" s="66">
        <v>4</v>
      </c>
      <c r="B11" s="65" t="s">
        <v>358</v>
      </c>
      <c r="C11" s="144"/>
      <c r="D11" s="144">
        <v>1</v>
      </c>
      <c r="E11" s="145"/>
      <c r="F11" s="144"/>
      <c r="G11" s="144"/>
      <c r="H11" s="145"/>
      <c r="I11" s="144">
        <v>2</v>
      </c>
      <c r="J11" s="145"/>
      <c r="K11" s="145"/>
      <c r="L11" s="145"/>
      <c r="M11" s="145"/>
      <c r="N11" s="144">
        <v>1</v>
      </c>
      <c r="O11" s="144">
        <v>1</v>
      </c>
      <c r="P11" s="145"/>
      <c r="Q11" s="145">
        <f t="shared" si="0"/>
        <v>5</v>
      </c>
      <c r="R11" s="145" t="s">
        <v>463</v>
      </c>
      <c r="S11" s="146">
        <f>(C11*C$5+D11*D$5+E11*E$5+F11*F$5+G11*G$5+H11*H$5+I11*I$5+J11*J$5+K11*K$5+L11*L$5+M11*M$5+N11*N$5+O11*O$5+P11*P$5)</f>
        <v>1610345</v>
      </c>
    </row>
    <row r="12" spans="1:20" ht="18.75" customHeight="1">
      <c r="A12" s="66">
        <v>5</v>
      </c>
      <c r="B12" s="65" t="s">
        <v>594</v>
      </c>
      <c r="C12" s="144"/>
      <c r="D12" s="144"/>
      <c r="E12" s="145"/>
      <c r="F12" s="144"/>
      <c r="G12" s="144"/>
      <c r="H12" s="145"/>
      <c r="I12" s="144"/>
      <c r="J12" s="145"/>
      <c r="K12" s="145"/>
      <c r="L12" s="145"/>
      <c r="M12" s="145"/>
      <c r="N12" s="144">
        <v>1</v>
      </c>
      <c r="O12" s="144">
        <v>1</v>
      </c>
      <c r="P12" s="145"/>
      <c r="Q12" s="145">
        <f t="shared" si="0"/>
        <v>2</v>
      </c>
      <c r="R12" s="145" t="s">
        <v>464</v>
      </c>
      <c r="S12" s="146">
        <f>(C12*C$6+D12*D$6+E12*E$6+F12*F$6+G12*G$6+H12*H$6+I12*I$6+J12*J$6+K12*K$6+L12*L$6+M12*M$6+N12*N$6+O12*O$6+P12*P$6)</f>
        <v>681392.25</v>
      </c>
      <c r="T12" s="180"/>
    </row>
    <row r="13" spans="1:20">
      <c r="A13" s="147"/>
      <c r="B13" s="108"/>
      <c r="C13" s="148"/>
      <c r="D13" s="148"/>
      <c r="E13" s="148"/>
      <c r="F13" s="149"/>
      <c r="G13" s="148"/>
      <c r="H13" s="148"/>
      <c r="I13" s="149"/>
      <c r="J13" s="149"/>
      <c r="K13" s="149"/>
      <c r="L13" s="149"/>
      <c r="M13" s="148"/>
      <c r="N13" s="148"/>
      <c r="O13" s="148"/>
      <c r="P13" s="148"/>
      <c r="Q13" s="149"/>
      <c r="R13" s="148" t="s">
        <v>43</v>
      </c>
      <c r="S13" s="150"/>
    </row>
    <row r="14" spans="1:20" s="68" customFormat="1" ht="26">
      <c r="A14" s="151" t="s">
        <v>248</v>
      </c>
      <c r="B14" s="904" t="s">
        <v>678</v>
      </c>
      <c r="C14" s="152"/>
      <c r="D14" s="153"/>
      <c r="E14" s="152"/>
      <c r="F14" s="152"/>
      <c r="G14" s="153"/>
      <c r="H14" s="152"/>
      <c r="I14" s="152"/>
      <c r="J14" s="152"/>
      <c r="K14" s="152"/>
      <c r="L14" s="152"/>
      <c r="M14" s="152"/>
      <c r="N14" s="152"/>
      <c r="O14" s="152"/>
      <c r="P14" s="152"/>
      <c r="Q14" s="152"/>
      <c r="R14" s="152"/>
      <c r="S14" s="154"/>
    </row>
    <row r="15" spans="1:20" ht="13.5">
      <c r="A15" s="155">
        <v>1</v>
      </c>
      <c r="B15" s="156" t="s">
        <v>190</v>
      </c>
      <c r="C15" s="145"/>
      <c r="D15" s="157"/>
      <c r="E15" s="145"/>
      <c r="F15" s="145"/>
      <c r="G15" s="157"/>
      <c r="H15" s="145"/>
      <c r="I15" s="145"/>
      <c r="J15" s="145"/>
      <c r="K15" s="145"/>
      <c r="L15" s="145"/>
      <c r="M15" s="145"/>
      <c r="N15" s="145"/>
      <c r="O15" s="145"/>
      <c r="P15" s="145"/>
      <c r="Q15" s="145"/>
      <c r="R15" s="145"/>
      <c r="S15" s="146"/>
    </row>
    <row r="16" spans="1:20" ht="26">
      <c r="A16" s="66" t="s">
        <v>359</v>
      </c>
      <c r="B16" s="65" t="s">
        <v>191</v>
      </c>
      <c r="C16" s="145"/>
      <c r="D16" s="157"/>
      <c r="E16" s="145"/>
      <c r="F16" s="145"/>
      <c r="G16" s="157">
        <v>1</v>
      </c>
      <c r="H16" s="145"/>
      <c r="I16" s="145">
        <v>2</v>
      </c>
      <c r="J16" s="145"/>
      <c r="K16" s="145"/>
      <c r="L16" s="145"/>
      <c r="M16" s="145">
        <v>1</v>
      </c>
      <c r="N16" s="145"/>
      <c r="O16" s="145"/>
      <c r="P16" s="145"/>
      <c r="Q16" s="145">
        <f t="shared" ref="Q16:Q21" si="1">SUM(C16:P16)</f>
        <v>4</v>
      </c>
      <c r="R16" s="145" t="s">
        <v>465</v>
      </c>
      <c r="S16" s="146">
        <f>(C16*C$5+D16*D$5+E16*E$5+F16*F$5+G16*G$5+H16*H$5+I16*I$5+J16*J$5+K16*K$5+L16*L$5+M16*M$5+N16*N$5+O16*O$5+P16*P$5)</f>
        <v>1422872.0000000005</v>
      </c>
    </row>
    <row r="17" spans="1:19" ht="26">
      <c r="A17" s="66" t="s">
        <v>269</v>
      </c>
      <c r="B17" s="65" t="s">
        <v>523</v>
      </c>
      <c r="C17" s="145"/>
      <c r="D17" s="157"/>
      <c r="E17" s="145"/>
      <c r="F17" s="145"/>
      <c r="G17" s="157">
        <v>2</v>
      </c>
      <c r="H17" s="145"/>
      <c r="I17" s="145">
        <v>2</v>
      </c>
      <c r="J17" s="145"/>
      <c r="K17" s="145"/>
      <c r="L17" s="145"/>
      <c r="M17" s="145">
        <v>1</v>
      </c>
      <c r="N17" s="145"/>
      <c r="O17" s="145"/>
      <c r="P17" s="145"/>
      <c r="Q17" s="145">
        <f t="shared" si="1"/>
        <v>5</v>
      </c>
      <c r="R17" s="145" t="s">
        <v>466</v>
      </c>
      <c r="S17" s="146">
        <f>(C17*C$5+D17*D$5+E17*E$5+F17*F$5+G17*G$5+H17*H$5+I17*I$5+J17*J$5+K17*K$5+L17*L$5+M17*M$5+N17*N$5+O17*O$5+P17*P$5)</f>
        <v>1718502.5000000005</v>
      </c>
    </row>
    <row r="18" spans="1:19" ht="26">
      <c r="A18" s="66" t="s">
        <v>36</v>
      </c>
      <c r="B18" s="65" t="s">
        <v>524</v>
      </c>
      <c r="C18" s="145"/>
      <c r="D18" s="157"/>
      <c r="E18" s="145"/>
      <c r="F18" s="145"/>
      <c r="G18" s="157"/>
      <c r="H18" s="145"/>
      <c r="I18" s="145">
        <v>2</v>
      </c>
      <c r="J18" s="145"/>
      <c r="K18" s="145"/>
      <c r="L18" s="145"/>
      <c r="M18" s="145"/>
      <c r="N18" s="145"/>
      <c r="O18" s="145"/>
      <c r="P18" s="145"/>
      <c r="Q18" s="145">
        <f t="shared" si="1"/>
        <v>2</v>
      </c>
      <c r="R18" s="145" t="s">
        <v>427</v>
      </c>
      <c r="S18" s="146">
        <f t="shared" ref="S18:S21" si="2">(C18*C$5+D18*D$5+E18*E$5+F18*F$5+G18*G$5+H18*H$5+I18*I$5+J18*J$5+K18*K$5+L18*L$5+M18*M$5+N18*N$5+O18*O$5+P18*P$5)</f>
        <v>687401.00000000012</v>
      </c>
    </row>
    <row r="19" spans="1:19" ht="26">
      <c r="A19" s="66" t="s">
        <v>270</v>
      </c>
      <c r="B19" s="65" t="s">
        <v>525</v>
      </c>
      <c r="C19" s="145"/>
      <c r="D19" s="157"/>
      <c r="E19" s="145"/>
      <c r="F19" s="145"/>
      <c r="G19" s="157">
        <v>2</v>
      </c>
      <c r="H19" s="145"/>
      <c r="I19" s="145">
        <v>2</v>
      </c>
      <c r="J19" s="145"/>
      <c r="K19" s="145"/>
      <c r="L19" s="145"/>
      <c r="M19" s="145">
        <v>1</v>
      </c>
      <c r="N19" s="145"/>
      <c r="O19" s="145"/>
      <c r="P19" s="145"/>
      <c r="Q19" s="145">
        <f t="shared" si="1"/>
        <v>5</v>
      </c>
      <c r="R19" s="145" t="s">
        <v>466</v>
      </c>
      <c r="S19" s="146">
        <f t="shared" si="2"/>
        <v>1718502.5000000005</v>
      </c>
    </row>
    <row r="20" spans="1:19">
      <c r="A20" s="66" t="s">
        <v>363</v>
      </c>
      <c r="B20" s="65" t="s">
        <v>201</v>
      </c>
      <c r="C20" s="145"/>
      <c r="D20" s="157"/>
      <c r="E20" s="145"/>
      <c r="F20" s="145"/>
      <c r="G20" s="157"/>
      <c r="H20" s="145"/>
      <c r="I20" s="145">
        <v>1</v>
      </c>
      <c r="J20" s="145"/>
      <c r="K20" s="145"/>
      <c r="L20" s="145"/>
      <c r="M20" s="145"/>
      <c r="N20" s="145"/>
      <c r="O20" s="145"/>
      <c r="P20" s="145"/>
      <c r="Q20" s="145">
        <f t="shared" si="1"/>
        <v>1</v>
      </c>
      <c r="R20" s="145" t="s">
        <v>426</v>
      </c>
      <c r="S20" s="146">
        <f t="shared" si="2"/>
        <v>343700.50000000006</v>
      </c>
    </row>
    <row r="21" spans="1:19" ht="26">
      <c r="A21" s="66" t="s">
        <v>364</v>
      </c>
      <c r="B21" s="65" t="s">
        <v>526</v>
      </c>
      <c r="C21" s="145"/>
      <c r="D21" s="157"/>
      <c r="E21" s="145"/>
      <c r="F21" s="145"/>
      <c r="G21" s="157"/>
      <c r="H21" s="145"/>
      <c r="I21" s="145">
        <v>1</v>
      </c>
      <c r="J21" s="145"/>
      <c r="K21" s="145"/>
      <c r="L21" s="145"/>
      <c r="M21" s="145"/>
      <c r="N21" s="145"/>
      <c r="O21" s="145"/>
      <c r="P21" s="145"/>
      <c r="Q21" s="145">
        <f t="shared" si="1"/>
        <v>1</v>
      </c>
      <c r="R21" s="145" t="s">
        <v>426</v>
      </c>
      <c r="S21" s="146">
        <f t="shared" si="2"/>
        <v>343700.50000000006</v>
      </c>
    </row>
    <row r="22" spans="1:19" ht="13.5">
      <c r="A22" s="155">
        <v>2</v>
      </c>
      <c r="B22" s="156" t="s">
        <v>192</v>
      </c>
      <c r="C22" s="145"/>
      <c r="D22" s="157"/>
      <c r="E22" s="145"/>
      <c r="F22" s="145"/>
      <c r="G22" s="157"/>
      <c r="H22" s="145"/>
      <c r="I22" s="145"/>
      <c r="J22" s="145"/>
      <c r="K22" s="145"/>
      <c r="L22" s="145"/>
      <c r="M22" s="145"/>
      <c r="N22" s="145"/>
      <c r="O22" s="145"/>
      <c r="P22" s="145"/>
      <c r="Q22" s="145"/>
      <c r="R22" s="145"/>
      <c r="S22" s="146"/>
    </row>
    <row r="23" spans="1:19">
      <c r="A23" s="123" t="s">
        <v>268</v>
      </c>
      <c r="B23" s="110" t="s">
        <v>527</v>
      </c>
      <c r="C23" s="145"/>
      <c r="D23" s="157"/>
      <c r="E23" s="145"/>
      <c r="F23" s="145"/>
      <c r="G23" s="157"/>
      <c r="H23" s="145"/>
      <c r="I23" s="145">
        <v>2</v>
      </c>
      <c r="J23" s="145"/>
      <c r="K23" s="145"/>
      <c r="L23" s="145"/>
      <c r="M23" s="145"/>
      <c r="N23" s="145"/>
      <c r="O23" s="145"/>
      <c r="P23" s="145"/>
      <c r="Q23" s="145">
        <f t="shared" ref="Q23:Q27" si="3">SUM(C23:P23)</f>
        <v>2</v>
      </c>
      <c r="R23" s="145" t="s">
        <v>427</v>
      </c>
      <c r="S23" s="146">
        <f t="shared" ref="S23:S29" si="4">(C23*C$6+D23*D$6+E23*E$6+F23*F$6+G23*G$6+H23*H$6+I23*I$6+J23*J$6+K23*K$6+L23*L$6+M23*M$6+N23*N$6+O23*O$6+P23*P$6)</f>
        <v>687401.00000000012</v>
      </c>
    </row>
    <row r="24" spans="1:19" ht="26">
      <c r="A24" s="66">
        <v>2.2000000000000002</v>
      </c>
      <c r="B24" s="159" t="s">
        <v>530</v>
      </c>
      <c r="C24" s="145"/>
      <c r="D24" s="157"/>
      <c r="E24" s="145"/>
      <c r="F24" s="145"/>
      <c r="G24" s="157"/>
      <c r="H24" s="145"/>
      <c r="I24" s="145">
        <v>1</v>
      </c>
      <c r="J24" s="145"/>
      <c r="K24" s="145"/>
      <c r="L24" s="145"/>
      <c r="M24" s="145"/>
      <c r="N24" s="145"/>
      <c r="O24" s="145"/>
      <c r="P24" s="145"/>
      <c r="Q24" s="145">
        <f>SUM(C24:P24)</f>
        <v>1</v>
      </c>
      <c r="R24" s="145" t="s">
        <v>426</v>
      </c>
      <c r="S24" s="146">
        <f>(C24*C$6+D24*D$6+E24*E$6+F24*F$6+G24*G$6+H24*H$6+I24*I$6+J24*J$6+K24*K$6+L24*L$6+M24*M$6+N24*N$6+O24*O$6+P24*P$6)</f>
        <v>343700.50000000006</v>
      </c>
    </row>
    <row r="25" spans="1:19" s="821" customFormat="1" ht="26">
      <c r="A25" s="822">
        <v>2.2999999999999998</v>
      </c>
      <c r="B25" s="823" t="s">
        <v>588</v>
      </c>
      <c r="C25" s="818"/>
      <c r="D25" s="824"/>
      <c r="E25" s="818"/>
      <c r="F25" s="818"/>
      <c r="G25" s="824"/>
      <c r="H25" s="818"/>
      <c r="I25" s="818">
        <v>1</v>
      </c>
      <c r="J25" s="818"/>
      <c r="K25" s="818"/>
      <c r="L25" s="818"/>
      <c r="M25" s="818"/>
      <c r="N25" s="818"/>
      <c r="O25" s="818"/>
      <c r="P25" s="818"/>
      <c r="Q25" s="818">
        <f>SUM(C25:P25)</f>
        <v>1</v>
      </c>
      <c r="R25" s="818" t="s">
        <v>426</v>
      </c>
      <c r="S25" s="825">
        <f>(C25*C$6+D25*D$6+E25*E$6+F25*F$6+G25*G$6+H25*H$6+I25*I$6+J25*J$6+K25*K$6+L25*L$6+M25*M$6+N25*N$6+O25*O$6+P25*P$6)</f>
        <v>343700.50000000006</v>
      </c>
    </row>
    <row r="26" spans="1:19" s="821" customFormat="1" ht="22.5" customHeight="1">
      <c r="A26" s="826">
        <v>2.4</v>
      </c>
      <c r="B26" s="827" t="s">
        <v>528</v>
      </c>
      <c r="C26" s="818"/>
      <c r="D26" s="819"/>
      <c r="E26" s="818"/>
      <c r="F26" s="818"/>
      <c r="G26" s="819"/>
      <c r="H26" s="818"/>
      <c r="I26" s="818">
        <v>1</v>
      </c>
      <c r="J26" s="818"/>
      <c r="K26" s="818"/>
      <c r="L26" s="818"/>
      <c r="M26" s="818"/>
      <c r="N26" s="818"/>
      <c r="O26" s="818"/>
      <c r="P26" s="818"/>
      <c r="Q26" s="818">
        <f t="shared" si="3"/>
        <v>1</v>
      </c>
      <c r="R26" s="818" t="s">
        <v>426</v>
      </c>
      <c r="S26" s="820">
        <f t="shared" si="4"/>
        <v>343700.50000000006</v>
      </c>
    </row>
    <row r="27" spans="1:19" ht="39">
      <c r="A27" s="158">
        <v>2.5</v>
      </c>
      <c r="B27" s="159" t="s">
        <v>529</v>
      </c>
      <c r="C27" s="145"/>
      <c r="D27" s="157"/>
      <c r="E27" s="145"/>
      <c r="F27" s="145"/>
      <c r="G27" s="157"/>
      <c r="H27" s="145"/>
      <c r="I27" s="145">
        <v>1</v>
      </c>
      <c r="J27" s="145"/>
      <c r="K27" s="145"/>
      <c r="L27" s="145"/>
      <c r="M27" s="145"/>
      <c r="N27" s="145"/>
      <c r="O27" s="145"/>
      <c r="P27" s="145"/>
      <c r="Q27" s="145">
        <f t="shared" si="3"/>
        <v>1</v>
      </c>
      <c r="R27" s="145" t="s">
        <v>426</v>
      </c>
      <c r="S27" s="146">
        <f t="shared" si="4"/>
        <v>343700.50000000006</v>
      </c>
    </row>
    <row r="28" spans="1:19">
      <c r="A28" s="66">
        <v>2.6</v>
      </c>
      <c r="B28" s="159" t="s">
        <v>531</v>
      </c>
      <c r="C28" s="145"/>
      <c r="D28" s="157"/>
      <c r="E28" s="145"/>
      <c r="F28" s="145"/>
      <c r="G28" s="157"/>
      <c r="H28" s="145"/>
      <c r="I28" s="145">
        <v>1</v>
      </c>
      <c r="J28" s="145"/>
      <c r="K28" s="145"/>
      <c r="L28" s="145"/>
      <c r="M28" s="145"/>
      <c r="N28" s="145"/>
      <c r="O28" s="145"/>
      <c r="P28" s="145"/>
      <c r="Q28" s="145">
        <f>SUM(C28:P28)</f>
        <v>1</v>
      </c>
      <c r="R28" s="145" t="s">
        <v>426</v>
      </c>
      <c r="S28" s="146">
        <f>(C28*C$6+D28*D$6+E28*E$6+F28*F$6+G28*G$6+H28*H$6+I28*I$6+J28*J$6+K28*K$6+L28*L$6+M28*M$6+N28*N$6+O28*O$6+P28*P$6)</f>
        <v>343700.50000000006</v>
      </c>
    </row>
    <row r="29" spans="1:19" ht="26">
      <c r="A29" s="66">
        <v>2.7</v>
      </c>
      <c r="B29" s="159" t="s">
        <v>532</v>
      </c>
      <c r="C29" s="145"/>
      <c r="D29" s="157"/>
      <c r="E29" s="145"/>
      <c r="F29" s="145"/>
      <c r="G29" s="157"/>
      <c r="H29" s="145"/>
      <c r="I29" s="145">
        <v>2</v>
      </c>
      <c r="J29" s="145"/>
      <c r="K29" s="145"/>
      <c r="L29" s="145"/>
      <c r="M29" s="145"/>
      <c r="N29" s="145"/>
      <c r="O29" s="145"/>
      <c r="P29" s="145"/>
      <c r="Q29" s="145">
        <f>SUM(C29:P29)</f>
        <v>2</v>
      </c>
      <c r="R29" s="145" t="s">
        <v>427</v>
      </c>
      <c r="S29" s="146">
        <f t="shared" si="4"/>
        <v>687401.00000000012</v>
      </c>
    </row>
    <row r="30" spans="1:19">
      <c r="A30" s="147"/>
      <c r="B30" s="108"/>
      <c r="C30" s="160"/>
      <c r="D30" s="161"/>
      <c r="E30" s="160"/>
      <c r="F30" s="160"/>
      <c r="G30" s="161"/>
      <c r="H30" s="160"/>
      <c r="I30" s="160"/>
      <c r="J30" s="160"/>
      <c r="K30" s="160"/>
      <c r="L30" s="160"/>
      <c r="M30" s="160"/>
      <c r="N30" s="160"/>
      <c r="O30" s="160"/>
      <c r="P30" s="160"/>
      <c r="Q30" s="160"/>
      <c r="R30" s="160"/>
      <c r="S30" s="162"/>
    </row>
    <row r="31" spans="1:19" s="68" customFormat="1" ht="26">
      <c r="A31" s="163" t="s">
        <v>297</v>
      </c>
      <c r="B31" s="164" t="s">
        <v>193</v>
      </c>
      <c r="C31" s="152"/>
      <c r="D31" s="153"/>
      <c r="E31" s="152"/>
      <c r="F31" s="152"/>
      <c r="G31" s="153"/>
      <c r="H31" s="152"/>
      <c r="I31" s="152"/>
      <c r="J31" s="152"/>
      <c r="K31" s="152"/>
      <c r="L31" s="152"/>
      <c r="M31" s="152"/>
      <c r="N31" s="152"/>
      <c r="O31" s="152"/>
      <c r="P31" s="152"/>
      <c r="Q31" s="152"/>
      <c r="R31" s="152" t="s">
        <v>43</v>
      </c>
      <c r="S31" s="154"/>
    </row>
    <row r="32" spans="1:19" s="68" customFormat="1">
      <c r="A32" s="163">
        <v>1</v>
      </c>
      <c r="B32" s="111" t="s">
        <v>636</v>
      </c>
      <c r="C32" s="165"/>
      <c r="D32" s="166"/>
      <c r="E32" s="167"/>
      <c r="F32" s="167"/>
      <c r="G32" s="166"/>
      <c r="H32" s="167"/>
      <c r="I32" s="167"/>
      <c r="J32" s="167"/>
      <c r="K32" s="167"/>
      <c r="L32" s="167"/>
      <c r="M32" s="167"/>
      <c r="N32" s="167"/>
      <c r="O32" s="167"/>
      <c r="P32" s="167"/>
      <c r="Q32" s="145"/>
      <c r="R32" s="167"/>
      <c r="S32" s="146"/>
    </row>
    <row r="33" spans="1:19">
      <c r="A33" s="64" t="s">
        <v>359</v>
      </c>
      <c r="B33" s="122" t="s">
        <v>637</v>
      </c>
      <c r="C33" s="145"/>
      <c r="D33" s="157"/>
      <c r="E33" s="145"/>
      <c r="F33" s="145"/>
      <c r="G33" s="157"/>
      <c r="H33" s="145"/>
      <c r="I33" s="145">
        <v>1</v>
      </c>
      <c r="J33" s="145"/>
      <c r="K33" s="145"/>
      <c r="L33" s="145"/>
      <c r="M33" s="145"/>
      <c r="N33" s="145"/>
      <c r="O33" s="145"/>
      <c r="P33" s="145"/>
      <c r="Q33" s="145">
        <f>SUM(C33:P33)</f>
        <v>1</v>
      </c>
      <c r="R33" s="145" t="s">
        <v>426</v>
      </c>
      <c r="S33" s="146">
        <f>(C33*C$6+G33*G$6+H33*H$6+I33*I$6+J33*J$6+K33*K$6+L33*L$6+M33*M$6+N33*N$6+O33*O$6+P33*P$6)</f>
        <v>343700.50000000006</v>
      </c>
    </row>
    <row r="34" spans="1:19">
      <c r="A34" s="66" t="s">
        <v>269</v>
      </c>
      <c r="B34" s="65" t="s">
        <v>375</v>
      </c>
      <c r="C34" s="145"/>
      <c r="D34" s="157"/>
      <c r="E34" s="145"/>
      <c r="F34" s="145"/>
      <c r="G34" s="157"/>
      <c r="H34" s="145"/>
      <c r="I34" s="145">
        <v>1</v>
      </c>
      <c r="J34" s="145"/>
      <c r="K34" s="145"/>
      <c r="L34" s="145"/>
      <c r="M34" s="145"/>
      <c r="N34" s="145"/>
      <c r="O34" s="145"/>
      <c r="P34" s="145"/>
      <c r="Q34" s="145">
        <f>SUM(C34:P34)</f>
        <v>1</v>
      </c>
      <c r="R34" s="145" t="s">
        <v>426</v>
      </c>
      <c r="S34" s="146">
        <f>(C34*C$6+G34*G$6+H34*H$6+I34*I$6+J34*J$6+K34*K$6+L34*L$6+M34*M$6+N34*N$6+O34*O$6+P34*P$6)</f>
        <v>343700.50000000006</v>
      </c>
    </row>
    <row r="35" spans="1:19">
      <c r="A35" s="66" t="s">
        <v>36</v>
      </c>
      <c r="B35" s="65" t="s">
        <v>376</v>
      </c>
      <c r="C35" s="145"/>
      <c r="D35" s="157"/>
      <c r="E35" s="145"/>
      <c r="F35" s="145"/>
      <c r="G35" s="157"/>
      <c r="H35" s="145"/>
      <c r="I35" s="145">
        <v>1</v>
      </c>
      <c r="J35" s="145"/>
      <c r="K35" s="145"/>
      <c r="L35" s="145"/>
      <c r="M35" s="145"/>
      <c r="N35" s="145"/>
      <c r="O35" s="145"/>
      <c r="P35" s="145"/>
      <c r="Q35" s="145">
        <f>SUM(C35:P35)</f>
        <v>1</v>
      </c>
      <c r="R35" s="145" t="s">
        <v>426</v>
      </c>
      <c r="S35" s="146">
        <f>(C35*C$6+G35*G$6+H35*H$6+I35*I$6+J35*J$6+K35*K$6+L35*L$6+M35*M$6+N35*N$6+O35*O$6+P35*P$6)</f>
        <v>343700.50000000006</v>
      </c>
    </row>
    <row r="36" spans="1:19">
      <c r="A36" s="66" t="s">
        <v>270</v>
      </c>
      <c r="B36" s="65" t="s">
        <v>368</v>
      </c>
      <c r="C36" s="145"/>
      <c r="D36" s="157"/>
      <c r="E36" s="145"/>
      <c r="F36" s="145"/>
      <c r="G36" s="157"/>
      <c r="H36" s="145"/>
      <c r="I36" s="145">
        <v>1</v>
      </c>
      <c r="J36" s="145"/>
      <c r="K36" s="145"/>
      <c r="L36" s="145"/>
      <c r="M36" s="145"/>
      <c r="N36" s="145"/>
      <c r="O36" s="145"/>
      <c r="P36" s="145"/>
      <c r="Q36" s="145">
        <f>SUM(C36:P36)</f>
        <v>1</v>
      </c>
      <c r="R36" s="145" t="s">
        <v>426</v>
      </c>
      <c r="S36" s="146">
        <f>(C36*C$6+G36*G$6+H36*H$6+I36*I$6+J36*J$6+K36*K$6+L36*L$6+M36*M$6+N36*N$6+O36*O$6+P36*P$6)</f>
        <v>343700.50000000006</v>
      </c>
    </row>
    <row r="37" spans="1:19" ht="39">
      <c r="A37" s="168">
        <v>2</v>
      </c>
      <c r="B37" s="109" t="s">
        <v>377</v>
      </c>
      <c r="C37" s="145"/>
      <c r="D37" s="157"/>
      <c r="E37" s="145"/>
      <c r="F37" s="145"/>
      <c r="G37" s="157"/>
      <c r="H37" s="145"/>
      <c r="I37" s="145"/>
      <c r="J37" s="145"/>
      <c r="K37" s="145"/>
      <c r="L37" s="145"/>
      <c r="M37" s="145"/>
      <c r="N37" s="145"/>
      <c r="O37" s="145"/>
      <c r="P37" s="145"/>
      <c r="Q37" s="145"/>
      <c r="R37" s="145"/>
      <c r="S37" s="146"/>
    </row>
    <row r="38" spans="1:19" ht="26">
      <c r="A38" s="66" t="s">
        <v>268</v>
      </c>
      <c r="B38" s="67" t="s">
        <v>378</v>
      </c>
      <c r="C38" s="145"/>
      <c r="D38" s="157"/>
      <c r="E38" s="145"/>
      <c r="F38" s="145"/>
      <c r="G38" s="157"/>
      <c r="H38" s="145"/>
      <c r="I38" s="145"/>
      <c r="J38" s="145"/>
      <c r="K38" s="145"/>
      <c r="L38" s="145"/>
      <c r="M38" s="145"/>
      <c r="N38" s="145">
        <v>1</v>
      </c>
      <c r="O38" s="145">
        <v>1</v>
      </c>
      <c r="P38" s="145"/>
      <c r="Q38" s="145">
        <f t="shared" ref="Q38:Q43" si="5">SUM(C38:P38)</f>
        <v>2</v>
      </c>
      <c r="R38" s="145" t="s">
        <v>467</v>
      </c>
      <c r="S38" s="146">
        <f>(C38*C$6+G38*G$6+H38*H$6+I38*I$6+J38*J$6+K38*K$6+L38*L$6+M38*M$6+N38*N$6+O38*O$6+P38*P$6)</f>
        <v>681392.25</v>
      </c>
    </row>
    <row r="39" spans="1:19">
      <c r="A39" s="66" t="s">
        <v>34</v>
      </c>
      <c r="B39" s="67" t="s">
        <v>379</v>
      </c>
      <c r="C39" s="145"/>
      <c r="D39" s="157"/>
      <c r="E39" s="145"/>
      <c r="F39" s="145"/>
      <c r="G39" s="157"/>
      <c r="H39" s="145"/>
      <c r="I39" s="145"/>
      <c r="J39" s="145"/>
      <c r="K39" s="145"/>
      <c r="L39" s="145"/>
      <c r="M39" s="145"/>
      <c r="N39" s="145"/>
      <c r="O39" s="145"/>
      <c r="P39" s="145"/>
      <c r="Q39" s="145"/>
      <c r="R39" s="145"/>
      <c r="S39" s="146"/>
    </row>
    <row r="40" spans="1:19">
      <c r="A40" s="66" t="s">
        <v>195</v>
      </c>
      <c r="B40" s="67" t="s">
        <v>380</v>
      </c>
      <c r="C40" s="145"/>
      <c r="D40" s="157"/>
      <c r="E40" s="145"/>
      <c r="F40" s="145"/>
      <c r="G40" s="157"/>
      <c r="H40" s="145"/>
      <c r="I40" s="145">
        <v>1</v>
      </c>
      <c r="J40" s="145"/>
      <c r="K40" s="145"/>
      <c r="L40" s="145"/>
      <c r="M40" s="145"/>
      <c r="N40" s="145"/>
      <c r="O40" s="145"/>
      <c r="P40" s="145"/>
      <c r="Q40" s="145">
        <f t="shared" si="5"/>
        <v>1</v>
      </c>
      <c r="R40" s="145" t="s">
        <v>426</v>
      </c>
      <c r="S40" s="146">
        <f>(C40*C$6+G40*G$6+H40*H$6+I40*I$6+J40*J$6+K40*K$6+L40*L$6+M40*M$6+N40*N$6+O40*O$6+P40*P$6)</f>
        <v>343700.50000000006</v>
      </c>
    </row>
    <row r="41" spans="1:19" ht="26">
      <c r="A41" s="66" t="s">
        <v>196</v>
      </c>
      <c r="B41" s="67" t="s">
        <v>381</v>
      </c>
      <c r="C41" s="145"/>
      <c r="D41" s="157"/>
      <c r="E41" s="145"/>
      <c r="F41" s="145"/>
      <c r="G41" s="157"/>
      <c r="H41" s="145"/>
      <c r="I41" s="145">
        <v>1</v>
      </c>
      <c r="J41" s="145"/>
      <c r="K41" s="145"/>
      <c r="L41" s="145"/>
      <c r="M41" s="145"/>
      <c r="N41" s="145"/>
      <c r="O41" s="145"/>
      <c r="P41" s="145"/>
      <c r="Q41" s="145">
        <f t="shared" si="5"/>
        <v>1</v>
      </c>
      <c r="R41" s="145" t="s">
        <v>426</v>
      </c>
      <c r="S41" s="146">
        <f>(C41*C$6+G41*G$6+H41*H$6+I41*I$6+J41*J$6+K41*K$6+L41*L$6+M41*M$6+N41*N$6+O41*O$6+P41*P$6)</f>
        <v>343700.50000000006</v>
      </c>
    </row>
    <row r="42" spans="1:19">
      <c r="A42" s="66" t="s">
        <v>208</v>
      </c>
      <c r="B42" s="67" t="s">
        <v>376</v>
      </c>
      <c r="C42" s="145"/>
      <c r="D42" s="157"/>
      <c r="E42" s="145"/>
      <c r="F42" s="145"/>
      <c r="G42" s="157"/>
      <c r="H42" s="145"/>
      <c r="I42" s="145">
        <v>1</v>
      </c>
      <c r="J42" s="145"/>
      <c r="K42" s="145"/>
      <c r="L42" s="145"/>
      <c r="M42" s="145"/>
      <c r="N42" s="145"/>
      <c r="O42" s="145"/>
      <c r="P42" s="145"/>
      <c r="Q42" s="145">
        <f t="shared" si="5"/>
        <v>1</v>
      </c>
      <c r="R42" s="145" t="s">
        <v>426</v>
      </c>
      <c r="S42" s="146">
        <f>(C42*C$6+G42*G$6+H42*H$6+I42*I$6+J42*J$6+K42*K$6+L42*L$6+M42*M$6+N42*N$6+O42*O$6+P42*P$6)</f>
        <v>343700.50000000006</v>
      </c>
    </row>
    <row r="43" spans="1:19">
      <c r="A43" s="64" t="s">
        <v>209</v>
      </c>
      <c r="B43" s="67" t="s">
        <v>368</v>
      </c>
      <c r="C43" s="145"/>
      <c r="D43" s="157"/>
      <c r="E43" s="145"/>
      <c r="F43" s="145"/>
      <c r="G43" s="157"/>
      <c r="H43" s="145"/>
      <c r="I43" s="145">
        <v>1</v>
      </c>
      <c r="J43" s="145"/>
      <c r="K43" s="145"/>
      <c r="L43" s="145"/>
      <c r="M43" s="145"/>
      <c r="N43" s="145"/>
      <c r="O43" s="145"/>
      <c r="P43" s="145"/>
      <c r="Q43" s="145">
        <f t="shared" si="5"/>
        <v>1</v>
      </c>
      <c r="R43" s="145" t="s">
        <v>426</v>
      </c>
      <c r="S43" s="146">
        <f>(C43*C$6+G43*G$6+H43*H$6+I43*I$6+J43*J$6+K43*K$6+L43*L$6+M43*M$6+N43*N$6+O43*O$6+P43*P$6)</f>
        <v>343700.50000000006</v>
      </c>
    </row>
    <row r="44" spans="1:19" ht="26">
      <c r="A44" s="112" t="s">
        <v>428</v>
      </c>
      <c r="B44" s="139" t="s">
        <v>194</v>
      </c>
      <c r="C44" s="169"/>
      <c r="D44" s="170"/>
      <c r="E44" s="169"/>
      <c r="F44" s="169"/>
      <c r="G44" s="170"/>
      <c r="H44" s="169"/>
      <c r="I44" s="169"/>
      <c r="J44" s="169"/>
      <c r="K44" s="169"/>
      <c r="L44" s="169"/>
      <c r="M44" s="169"/>
      <c r="N44" s="169"/>
      <c r="O44" s="169"/>
      <c r="P44" s="169"/>
      <c r="Q44" s="169"/>
      <c r="R44" s="169" t="s">
        <v>43</v>
      </c>
      <c r="S44" s="171"/>
    </row>
    <row r="45" spans="1:19" ht="13.5">
      <c r="A45" s="155">
        <v>1</v>
      </c>
      <c r="B45" s="156" t="s">
        <v>190</v>
      </c>
      <c r="C45" s="145"/>
      <c r="D45" s="157"/>
      <c r="E45" s="145"/>
      <c r="F45" s="145"/>
      <c r="G45" s="157"/>
      <c r="H45" s="145"/>
      <c r="I45" s="145"/>
      <c r="J45" s="145"/>
      <c r="K45" s="145"/>
      <c r="L45" s="145"/>
      <c r="M45" s="145"/>
      <c r="N45" s="145"/>
      <c r="O45" s="145"/>
      <c r="P45" s="145"/>
      <c r="Q45" s="145"/>
      <c r="R45" s="145"/>
      <c r="S45" s="146"/>
    </row>
    <row r="46" spans="1:19" ht="21.75" customHeight="1">
      <c r="A46" s="66" t="s">
        <v>359</v>
      </c>
      <c r="B46" s="65" t="s">
        <v>383</v>
      </c>
      <c r="C46" s="145"/>
      <c r="D46" s="157"/>
      <c r="E46" s="145"/>
      <c r="F46" s="145"/>
      <c r="G46" s="157">
        <v>1</v>
      </c>
      <c r="H46" s="145"/>
      <c r="I46" s="145">
        <v>1</v>
      </c>
      <c r="J46" s="145"/>
      <c r="K46" s="145"/>
      <c r="L46" s="145"/>
      <c r="M46" s="145"/>
      <c r="N46" s="145"/>
      <c r="O46" s="145"/>
      <c r="P46" s="145"/>
      <c r="Q46" s="145">
        <f>SUM(C46:P46)</f>
        <v>2</v>
      </c>
      <c r="R46" s="145" t="s">
        <v>468</v>
      </c>
      <c r="S46" s="146">
        <f>(C46*C$5+G46*G$5+H46*H$5+I46*I$5+J46*J$5+K46*K$5+L46*L$5+M46*M$5+N46*N$5+O46*O$5+P46*P$5)</f>
        <v>639331.00000000012</v>
      </c>
    </row>
    <row r="47" spans="1:19" ht="26">
      <c r="A47" s="66" t="s">
        <v>269</v>
      </c>
      <c r="B47" s="65" t="s">
        <v>384</v>
      </c>
      <c r="C47" s="145"/>
      <c r="D47" s="157"/>
      <c r="E47" s="145"/>
      <c r="F47" s="145"/>
      <c r="G47" s="157">
        <v>2</v>
      </c>
      <c r="H47" s="145"/>
      <c r="I47" s="145">
        <v>2</v>
      </c>
      <c r="J47" s="145"/>
      <c r="K47" s="145"/>
      <c r="L47" s="145"/>
      <c r="M47" s="145">
        <v>1</v>
      </c>
      <c r="N47" s="145"/>
      <c r="O47" s="145"/>
      <c r="P47" s="145"/>
      <c r="Q47" s="145">
        <f>SUM(C47:P47)</f>
        <v>5</v>
      </c>
      <c r="R47" s="145" t="s">
        <v>466</v>
      </c>
      <c r="S47" s="146">
        <f>(C47*C$5+G47*G$5+H47*H$5+I47*I$5+J47*J$5+K47*K$5+L47*L$5+M47*M$5+N47*N$5+O47*O$5+P47*P$5)</f>
        <v>1718502.5000000005</v>
      </c>
    </row>
    <row r="48" spans="1:19" ht="52">
      <c r="A48" s="66" t="s">
        <v>36</v>
      </c>
      <c r="B48" s="65" t="s">
        <v>533</v>
      </c>
      <c r="C48" s="145"/>
      <c r="D48" s="157"/>
      <c r="E48" s="145"/>
      <c r="F48" s="145"/>
      <c r="G48" s="157">
        <v>2</v>
      </c>
      <c r="H48" s="145"/>
      <c r="I48" s="145">
        <v>2</v>
      </c>
      <c r="J48" s="145"/>
      <c r="K48" s="145"/>
      <c r="L48" s="145"/>
      <c r="M48" s="145">
        <v>1</v>
      </c>
      <c r="N48" s="145"/>
      <c r="O48" s="145"/>
      <c r="P48" s="145"/>
      <c r="Q48" s="145">
        <f>SUM(C48:P48)</f>
        <v>5</v>
      </c>
      <c r="R48" s="145" t="s">
        <v>466</v>
      </c>
      <c r="S48" s="146">
        <f>(C48*C$5+G48*G$5+H48*H$5+I48*I$5+J48*J$5+K48*K$5+L48*L$5+M48*M$5+N48*N$5+O48*O$5+P48*P$5)</f>
        <v>1718502.5000000005</v>
      </c>
    </row>
    <row r="49" spans="1:19" ht="13.5">
      <c r="A49" s="155">
        <v>2</v>
      </c>
      <c r="B49" s="156" t="s">
        <v>192</v>
      </c>
      <c r="C49" s="145"/>
      <c r="D49" s="157"/>
      <c r="E49" s="145"/>
      <c r="F49" s="145"/>
      <c r="G49" s="157"/>
      <c r="H49" s="145"/>
      <c r="I49" s="145"/>
      <c r="J49" s="145"/>
      <c r="K49" s="145"/>
      <c r="L49" s="145"/>
      <c r="M49" s="145"/>
      <c r="N49" s="145"/>
      <c r="O49" s="145"/>
      <c r="P49" s="145"/>
      <c r="Q49" s="145"/>
      <c r="R49" s="145"/>
      <c r="S49" s="146"/>
    </row>
    <row r="50" spans="1:19" s="821" customFormat="1" ht="26">
      <c r="A50" s="816" t="s">
        <v>268</v>
      </c>
      <c r="B50" s="817" t="s">
        <v>630</v>
      </c>
      <c r="C50" s="818"/>
      <c r="D50" s="819"/>
      <c r="E50" s="818"/>
      <c r="F50" s="818"/>
      <c r="G50" s="819"/>
      <c r="H50" s="818"/>
      <c r="I50" s="818">
        <v>1</v>
      </c>
      <c r="J50" s="818"/>
      <c r="K50" s="818"/>
      <c r="L50" s="818"/>
      <c r="M50" s="818"/>
      <c r="N50" s="818"/>
      <c r="O50" s="818"/>
      <c r="P50" s="818"/>
      <c r="Q50" s="818">
        <f t="shared" ref="Q50:Q56" si="6">SUM(C50:P50)</f>
        <v>1</v>
      </c>
      <c r="R50" s="818" t="s">
        <v>426</v>
      </c>
      <c r="S50" s="820">
        <f t="shared" ref="S50:S55" si="7">(C50*C$6+G50*G$6+H50*H$6+I50*I$6+J50*J$6+K50*K$6+L50*L$6+M50*M$6+N50*N$6+O50*O$6+P50*P$6)</f>
        <v>343700.50000000006</v>
      </c>
    </row>
    <row r="51" spans="1:19" ht="26">
      <c r="A51" s="66" t="s">
        <v>34</v>
      </c>
      <c r="B51" s="65" t="s">
        <v>534</v>
      </c>
      <c r="C51" s="172"/>
      <c r="D51" s="157"/>
      <c r="E51" s="145"/>
      <c r="F51" s="145"/>
      <c r="G51" s="157"/>
      <c r="H51" s="145"/>
      <c r="I51" s="145">
        <v>1</v>
      </c>
      <c r="J51" s="145"/>
      <c r="K51" s="145"/>
      <c r="L51" s="145"/>
      <c r="M51" s="145">
        <v>1</v>
      </c>
      <c r="N51" s="145"/>
      <c r="O51" s="145"/>
      <c r="P51" s="145"/>
      <c r="Q51" s="145">
        <f t="shared" si="6"/>
        <v>2</v>
      </c>
      <c r="R51" s="145" t="s">
        <v>469</v>
      </c>
      <c r="S51" s="146">
        <f t="shared" si="7"/>
        <v>783541.00000000023</v>
      </c>
    </row>
    <row r="52" spans="1:19" ht="26">
      <c r="A52" s="66" t="s">
        <v>246</v>
      </c>
      <c r="B52" s="65" t="s">
        <v>595</v>
      </c>
      <c r="C52" s="172"/>
      <c r="D52" s="157"/>
      <c r="E52" s="145"/>
      <c r="F52" s="145"/>
      <c r="G52" s="157"/>
      <c r="H52" s="145"/>
      <c r="I52" s="145">
        <v>1</v>
      </c>
      <c r="J52" s="145"/>
      <c r="K52" s="145"/>
      <c r="L52" s="145"/>
      <c r="M52" s="145"/>
      <c r="N52" s="145"/>
      <c r="O52" s="145"/>
      <c r="P52" s="145"/>
      <c r="Q52" s="145">
        <f t="shared" si="6"/>
        <v>1</v>
      </c>
      <c r="R52" s="145" t="s">
        <v>426</v>
      </c>
      <c r="S52" s="146">
        <f t="shared" si="7"/>
        <v>343700.50000000006</v>
      </c>
    </row>
    <row r="53" spans="1:19" ht="26">
      <c r="A53" s="66" t="s">
        <v>271</v>
      </c>
      <c r="B53" s="65" t="s">
        <v>535</v>
      </c>
      <c r="C53" s="172"/>
      <c r="D53" s="157"/>
      <c r="E53" s="145"/>
      <c r="F53" s="145"/>
      <c r="G53" s="157"/>
      <c r="H53" s="145"/>
      <c r="I53" s="145">
        <v>1</v>
      </c>
      <c r="J53" s="145"/>
      <c r="K53" s="145"/>
      <c r="L53" s="145"/>
      <c r="M53" s="145"/>
      <c r="N53" s="145"/>
      <c r="O53" s="145"/>
      <c r="P53" s="145"/>
      <c r="Q53" s="145">
        <f t="shared" si="6"/>
        <v>1</v>
      </c>
      <c r="R53" s="145" t="s">
        <v>426</v>
      </c>
      <c r="S53" s="146">
        <f t="shared" si="7"/>
        <v>343700.50000000006</v>
      </c>
    </row>
    <row r="54" spans="1:19" ht="26">
      <c r="A54" s="66" t="s">
        <v>365</v>
      </c>
      <c r="B54" s="65" t="s">
        <v>385</v>
      </c>
      <c r="C54" s="172"/>
      <c r="D54" s="157"/>
      <c r="E54" s="145"/>
      <c r="F54" s="145"/>
      <c r="G54" s="157"/>
      <c r="H54" s="145"/>
      <c r="I54" s="145">
        <v>1</v>
      </c>
      <c r="J54" s="145"/>
      <c r="K54" s="145"/>
      <c r="L54" s="145"/>
      <c r="M54" s="145"/>
      <c r="N54" s="145"/>
      <c r="O54" s="145"/>
      <c r="P54" s="145"/>
      <c r="Q54" s="145">
        <f t="shared" si="6"/>
        <v>1</v>
      </c>
      <c r="R54" s="145" t="s">
        <v>426</v>
      </c>
      <c r="S54" s="146">
        <f t="shared" si="7"/>
        <v>343700.50000000006</v>
      </c>
    </row>
    <row r="55" spans="1:19" ht="26">
      <c r="A55" s="66" t="s">
        <v>366</v>
      </c>
      <c r="B55" s="65" t="s">
        <v>386</v>
      </c>
      <c r="C55" s="172"/>
      <c r="D55" s="157"/>
      <c r="E55" s="145"/>
      <c r="F55" s="145"/>
      <c r="G55" s="157"/>
      <c r="H55" s="145"/>
      <c r="I55" s="145">
        <v>1</v>
      </c>
      <c r="J55" s="145"/>
      <c r="K55" s="145"/>
      <c r="L55" s="145"/>
      <c r="M55" s="145"/>
      <c r="N55" s="145"/>
      <c r="O55" s="145"/>
      <c r="P55" s="145"/>
      <c r="Q55" s="145">
        <f t="shared" si="6"/>
        <v>1</v>
      </c>
      <c r="R55" s="145" t="s">
        <v>426</v>
      </c>
      <c r="S55" s="146">
        <f t="shared" si="7"/>
        <v>343700.50000000006</v>
      </c>
    </row>
    <row r="56" spans="1:19" ht="15.5">
      <c r="A56" s="66" t="s">
        <v>367</v>
      </c>
      <c r="B56" s="65" t="s">
        <v>387</v>
      </c>
      <c r="C56" s="173"/>
      <c r="D56" s="157"/>
      <c r="E56" s="145"/>
      <c r="F56" s="145"/>
      <c r="G56" s="157"/>
      <c r="H56" s="145"/>
      <c r="I56" s="145">
        <v>2</v>
      </c>
      <c r="J56" s="145"/>
      <c r="K56" s="145"/>
      <c r="L56" s="145"/>
      <c r="M56" s="145"/>
      <c r="N56" s="145"/>
      <c r="O56" s="145"/>
      <c r="P56" s="145"/>
      <c r="Q56" s="145">
        <f t="shared" si="6"/>
        <v>2</v>
      </c>
      <c r="R56" s="145" t="s">
        <v>427</v>
      </c>
      <c r="S56" s="146">
        <f>(C56*C$6+G56*G$6+H56*H$6+I56*I$6+J56*J$6+K56*K$6+L56*L$6+M56*M$6+N56*N$6+O56*O$6+P56*P$6)</f>
        <v>687401.00000000012</v>
      </c>
    </row>
    <row r="57" spans="1:19" ht="26">
      <c r="A57" s="112" t="s">
        <v>429</v>
      </c>
      <c r="B57" s="139" t="s">
        <v>197</v>
      </c>
      <c r="C57" s="169"/>
      <c r="D57" s="170"/>
      <c r="E57" s="169"/>
      <c r="F57" s="169"/>
      <c r="G57" s="170"/>
      <c r="H57" s="169"/>
      <c r="I57" s="169"/>
      <c r="J57" s="169"/>
      <c r="K57" s="169"/>
      <c r="L57" s="169"/>
      <c r="M57" s="169"/>
      <c r="N57" s="169"/>
      <c r="O57" s="169"/>
      <c r="P57" s="169"/>
      <c r="Q57" s="169"/>
      <c r="R57" s="169" t="s">
        <v>43</v>
      </c>
      <c r="S57" s="171"/>
    </row>
    <row r="58" spans="1:19" s="68" customFormat="1" ht="13.5">
      <c r="A58" s="155" t="s">
        <v>390</v>
      </c>
      <c r="B58" s="156" t="s">
        <v>589</v>
      </c>
      <c r="C58" s="145"/>
      <c r="D58" s="157"/>
      <c r="E58" s="145"/>
      <c r="F58" s="145"/>
      <c r="G58" s="157"/>
      <c r="H58" s="145"/>
      <c r="I58" s="145"/>
      <c r="J58" s="145"/>
      <c r="K58" s="145"/>
      <c r="L58" s="145"/>
      <c r="M58" s="145"/>
      <c r="N58" s="145"/>
      <c r="O58" s="145"/>
      <c r="P58" s="145"/>
      <c r="Q58" s="145"/>
      <c r="R58" s="145"/>
      <c r="S58" s="146"/>
    </row>
    <row r="59" spans="1:19">
      <c r="A59" s="66" t="s">
        <v>359</v>
      </c>
      <c r="B59" s="65" t="s">
        <v>388</v>
      </c>
      <c r="C59" s="145"/>
      <c r="D59" s="157"/>
      <c r="E59" s="145"/>
      <c r="F59" s="145"/>
      <c r="G59" s="157">
        <v>1</v>
      </c>
      <c r="H59" s="145"/>
      <c r="I59" s="145">
        <v>2</v>
      </c>
      <c r="J59" s="145"/>
      <c r="K59" s="145"/>
      <c r="L59" s="145"/>
      <c r="M59" s="145"/>
      <c r="N59" s="145"/>
      <c r="O59" s="145"/>
      <c r="P59" s="145"/>
      <c r="Q59" s="145">
        <f t="shared" ref="Q59:Q63" si="8">SUM(C59:P59)</f>
        <v>3</v>
      </c>
      <c r="R59" s="145" t="s">
        <v>470</v>
      </c>
      <c r="S59" s="146">
        <f>(C59*C$5+G59*G$5+H59*H$5+I59*I$5+J59*J$5+K59*K$5+L59*L$5+M59*M$5+N59*N$5+O59*O$5+P59*P$5)</f>
        <v>983031.50000000023</v>
      </c>
    </row>
    <row r="60" spans="1:19">
      <c r="A60" s="66" t="s">
        <v>269</v>
      </c>
      <c r="B60" s="65" t="s">
        <v>389</v>
      </c>
      <c r="C60" s="145"/>
      <c r="D60" s="157"/>
      <c r="E60" s="145"/>
      <c r="F60" s="145"/>
      <c r="G60" s="157">
        <v>1</v>
      </c>
      <c r="H60" s="145"/>
      <c r="I60" s="145">
        <v>2</v>
      </c>
      <c r="J60" s="145"/>
      <c r="K60" s="145"/>
      <c r="L60" s="145"/>
      <c r="M60" s="145"/>
      <c r="N60" s="145"/>
      <c r="O60" s="145"/>
      <c r="P60" s="145"/>
      <c r="Q60" s="145">
        <f t="shared" si="8"/>
        <v>3</v>
      </c>
      <c r="R60" s="145" t="s">
        <v>470</v>
      </c>
      <c r="S60" s="146">
        <f>(C60*C$6+G60*G$6+H60*H$6+I60*I$6+J60*J$6+K60*K$6+L60*L$6+M60*M$6+N60*N$6+O60*O$6+P60*P$6)</f>
        <v>983031.50000000023</v>
      </c>
    </row>
    <row r="61" spans="1:19" ht="13.5">
      <c r="A61" s="155" t="s">
        <v>391</v>
      </c>
      <c r="B61" s="156" t="s">
        <v>590</v>
      </c>
      <c r="C61" s="145"/>
      <c r="D61" s="157"/>
      <c r="E61" s="145"/>
      <c r="F61" s="145"/>
      <c r="G61" s="157"/>
      <c r="H61" s="145"/>
      <c r="I61" s="145"/>
      <c r="J61" s="145"/>
      <c r="K61" s="145"/>
      <c r="L61" s="145"/>
      <c r="M61" s="145"/>
      <c r="N61" s="145"/>
      <c r="O61" s="145"/>
      <c r="P61" s="145"/>
      <c r="Q61" s="145"/>
      <c r="R61" s="145"/>
      <c r="S61" s="146"/>
    </row>
    <row r="62" spans="1:19">
      <c r="A62" s="66" t="s">
        <v>268</v>
      </c>
      <c r="B62" s="65" t="s">
        <v>388</v>
      </c>
      <c r="C62" s="145"/>
      <c r="D62" s="157"/>
      <c r="E62" s="145"/>
      <c r="F62" s="145"/>
      <c r="G62" s="157">
        <v>1</v>
      </c>
      <c r="H62" s="145"/>
      <c r="I62" s="145">
        <v>2</v>
      </c>
      <c r="J62" s="145"/>
      <c r="K62" s="145"/>
      <c r="L62" s="145"/>
      <c r="M62" s="145"/>
      <c r="N62" s="145"/>
      <c r="O62" s="145"/>
      <c r="P62" s="145"/>
      <c r="Q62" s="145">
        <f t="shared" si="8"/>
        <v>3</v>
      </c>
      <c r="R62" s="145" t="s">
        <v>470</v>
      </c>
      <c r="S62" s="146">
        <f>(C62*C$5+G62*G$5+H62*H$5+I62*I$5+J62*J$5+K62*K$5+L62*L$5+M62*M$5+N62*N$5+O62*O$5+P62*P$5)</f>
        <v>983031.50000000023</v>
      </c>
    </row>
    <row r="63" spans="1:19">
      <c r="A63" s="66" t="s">
        <v>34</v>
      </c>
      <c r="B63" s="65" t="s">
        <v>389</v>
      </c>
      <c r="C63" s="145"/>
      <c r="D63" s="157"/>
      <c r="E63" s="145"/>
      <c r="F63" s="145"/>
      <c r="G63" s="157">
        <v>1</v>
      </c>
      <c r="H63" s="145"/>
      <c r="I63" s="145">
        <v>2</v>
      </c>
      <c r="J63" s="145"/>
      <c r="K63" s="145"/>
      <c r="L63" s="145"/>
      <c r="M63" s="145"/>
      <c r="N63" s="145"/>
      <c r="O63" s="145"/>
      <c r="P63" s="145"/>
      <c r="Q63" s="145">
        <f t="shared" si="8"/>
        <v>3</v>
      </c>
      <c r="R63" s="145" t="s">
        <v>470</v>
      </c>
      <c r="S63" s="146">
        <f>(C63*C$6+G63*G$6+H63*H$6+I63*I$6+J63*J$6+K63*K$6+L63*L$6+M63*M$6+N63*N$6+O63*O$6+P63*P$6)</f>
        <v>983031.50000000023</v>
      </c>
    </row>
    <row r="64" spans="1:19" ht="63" customHeight="1">
      <c r="A64" s="112" t="s">
        <v>435</v>
      </c>
      <c r="B64" s="139" t="s">
        <v>437</v>
      </c>
      <c r="C64" s="169"/>
      <c r="D64" s="170"/>
      <c r="E64" s="169"/>
      <c r="F64" s="169"/>
      <c r="G64" s="170"/>
      <c r="H64" s="169"/>
      <c r="I64" s="169"/>
      <c r="J64" s="169"/>
      <c r="K64" s="169"/>
      <c r="L64" s="169"/>
      <c r="M64" s="169"/>
      <c r="N64" s="169"/>
      <c r="O64" s="169"/>
      <c r="P64" s="169"/>
      <c r="Q64" s="169"/>
      <c r="R64" s="169" t="s">
        <v>43</v>
      </c>
      <c r="S64" s="171"/>
    </row>
    <row r="65" spans="1:19" ht="32.25" customHeight="1">
      <c r="A65" s="112" t="s">
        <v>436</v>
      </c>
      <c r="B65" s="139" t="s">
        <v>438</v>
      </c>
      <c r="C65" s="169"/>
      <c r="D65" s="170"/>
      <c r="E65" s="169"/>
      <c r="F65" s="169"/>
      <c r="G65" s="170"/>
      <c r="H65" s="169"/>
      <c r="I65" s="169"/>
      <c r="J65" s="169"/>
      <c r="K65" s="169"/>
      <c r="L65" s="169"/>
      <c r="M65" s="169"/>
      <c r="N65" s="169"/>
      <c r="O65" s="169"/>
      <c r="P65" s="169"/>
      <c r="Q65" s="169"/>
      <c r="R65" s="169" t="s">
        <v>43</v>
      </c>
      <c r="S65" s="171"/>
    </row>
    <row r="66" spans="1:19" ht="13.5" thickBot="1">
      <c r="A66" s="174"/>
      <c r="B66" s="175"/>
      <c r="C66" s="176"/>
      <c r="D66" s="176"/>
      <c r="E66" s="176"/>
      <c r="F66" s="177"/>
      <c r="G66" s="176"/>
      <c r="H66" s="176"/>
      <c r="I66" s="177"/>
      <c r="J66" s="177"/>
      <c r="K66" s="177"/>
      <c r="L66" s="177"/>
      <c r="M66" s="176"/>
      <c r="N66" s="176"/>
      <c r="O66" s="176"/>
      <c r="P66" s="176"/>
      <c r="Q66" s="177"/>
      <c r="R66" s="176"/>
      <c r="S66" s="178"/>
    </row>
  </sheetData>
  <mergeCells count="2">
    <mergeCell ref="A1:S1"/>
    <mergeCell ref="A2:S2"/>
  </mergeCells>
  <phoneticPr fontId="0" type="noConversion"/>
  <printOptions horizontalCentered="1"/>
  <pageMargins left="0.75" right="0.5" top="0.5" bottom="0.5" header="0.5" footer="0.5"/>
  <pageSetup paperSize="9" scale="95" orientation="portrait" horizontalDpi="300" verticalDpi="300" r:id="rId1"/>
  <headerFooter alignWithMargins="0"/>
  <ignoredErrors>
    <ignoredError sqref="A16:A21 A30:A35 A22:A23 A24:A25 A36:A42 A43:A55 A56:A60 A61:A63 A64:A6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1" sqref="C1"/>
    </sheetView>
  </sheetViews>
  <sheetFormatPr defaultColWidth="8" defaultRowHeight="12.5"/>
  <cols>
    <col min="1" max="1" width="26.07421875" style="1" customWidth="1"/>
    <col min="2" max="2" width="1.07421875" style="1" customWidth="1"/>
    <col min="3" max="3" width="28.07421875" style="1" customWidth="1"/>
    <col min="4" max="16384" width="8" style="1"/>
  </cols>
  <sheetData>
    <row r="1" spans="1:3" ht="15.5">
      <c r="A1" s="2"/>
      <c r="C1" s="2"/>
    </row>
    <row r="2" spans="1:3" ht="16" thickBot="1">
      <c r="A2" s="2"/>
    </row>
    <row r="3" spans="1:3" ht="16" thickBot="1">
      <c r="A3" s="2"/>
      <c r="C3" s="2"/>
    </row>
    <row r="4" spans="1:3" ht="15.5">
      <c r="A4" s="2"/>
      <c r="C4" s="2"/>
    </row>
    <row r="5" spans="1:3" ht="15.5">
      <c r="C5" s="2"/>
    </row>
    <row r="6" spans="1:3" ht="16" thickBot="1">
      <c r="C6" s="2"/>
    </row>
    <row r="7" spans="1:3" ht="15.5">
      <c r="A7" s="2"/>
      <c r="C7" s="2"/>
    </row>
    <row r="8" spans="1:3" ht="15.5">
      <c r="A8" s="2"/>
      <c r="C8" s="2"/>
    </row>
    <row r="9" spans="1:3" ht="15.5">
      <c r="A9" s="2"/>
      <c r="C9" s="2"/>
    </row>
    <row r="10" spans="1:3" ht="15.5">
      <c r="A10" s="2"/>
      <c r="C10" s="2"/>
    </row>
    <row r="11" spans="1:3" ht="16" thickBot="1">
      <c r="A11" s="2"/>
      <c r="C11" s="2"/>
    </row>
    <row r="12" spans="1:3" ht="15.5">
      <c r="C12" s="2"/>
    </row>
    <row r="13" spans="1:3" ht="16" thickBot="1">
      <c r="C13" s="2"/>
    </row>
    <row r="14" spans="1:3" ht="16" thickBot="1">
      <c r="A14" s="2"/>
      <c r="C14" s="2"/>
    </row>
    <row r="15" spans="1:3" ht="15.5">
      <c r="A15" s="2"/>
    </row>
    <row r="16" spans="1:3" ht="16" thickBot="1">
      <c r="A16" s="2"/>
    </row>
    <row r="17" spans="1:3" ht="16" thickBot="1">
      <c r="A17" s="2"/>
      <c r="C17" s="2"/>
    </row>
    <row r="18" spans="1:3" ht="15.5">
      <c r="C18" s="2"/>
    </row>
    <row r="19" spans="1:3" ht="15.5">
      <c r="C19" s="2"/>
    </row>
    <row r="20" spans="1:3" ht="15.5">
      <c r="A20" s="2"/>
      <c r="C20" s="2"/>
    </row>
    <row r="21" spans="1:3" ht="15.5">
      <c r="A21" s="2"/>
      <c r="C21" s="2"/>
    </row>
    <row r="22" spans="1:3" ht="15.5">
      <c r="A22" s="2"/>
      <c r="C22" s="2"/>
    </row>
    <row r="23" spans="1:3" ht="15.5">
      <c r="A23" s="2"/>
      <c r="C23" s="2"/>
    </row>
    <row r="24" spans="1:3" ht="15.5">
      <c r="A24" s="2"/>
    </row>
    <row r="25" spans="1:3" ht="15.5">
      <c r="A25" s="2"/>
    </row>
    <row r="26" spans="1:3" ht="16" thickBot="1">
      <c r="A26" s="2"/>
      <c r="C26" s="2"/>
    </row>
    <row r="27" spans="1:3" ht="15.5">
      <c r="A27" s="2"/>
      <c r="C27" s="2"/>
    </row>
    <row r="28" spans="1:3" ht="15.5">
      <c r="A28" s="2"/>
      <c r="C28" s="2"/>
    </row>
    <row r="29" spans="1:3" ht="15.5">
      <c r="A29" s="2"/>
      <c r="C29" s="2"/>
    </row>
    <row r="30" spans="1:3" ht="15.5">
      <c r="A30" s="2"/>
      <c r="C30" s="2"/>
    </row>
    <row r="31" spans="1:3" ht="15.5">
      <c r="A31" s="2"/>
      <c r="C31" s="2"/>
    </row>
    <row r="32" spans="1:3" ht="15.5">
      <c r="A32" s="2"/>
      <c r="C32" s="2"/>
    </row>
    <row r="33" spans="1:3" ht="15.5">
      <c r="A33" s="2"/>
      <c r="C33" s="2"/>
    </row>
    <row r="34" spans="1:3" ht="15.5">
      <c r="A34" s="2"/>
      <c r="C34" s="2"/>
    </row>
    <row r="35" spans="1:3" ht="15.5">
      <c r="A35" s="2"/>
      <c r="C35" s="2"/>
    </row>
    <row r="36" spans="1:3" ht="15.5">
      <c r="A36" s="2"/>
      <c r="C36" s="2"/>
    </row>
    <row r="37" spans="1:3" ht="15.5">
      <c r="A37" s="2"/>
    </row>
    <row r="38" spans="1:3" ht="15.5">
      <c r="A38" s="2"/>
    </row>
    <row r="39" spans="1:3" ht="15.5">
      <c r="A39" s="2"/>
      <c r="C39" s="2"/>
    </row>
    <row r="40" spans="1:3" ht="15.5">
      <c r="A40" s="2"/>
      <c r="C40" s="2"/>
    </row>
    <row r="41" spans="1:3" ht="15.5">
      <c r="A41" s="2"/>
      <c r="C41" s="2"/>
    </row>
  </sheetData>
  <sheetProtection password="8863" sheet="1" objects="1"/>
  <phoneticPr fontId="1"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heetViews>
  <sheetFormatPr defaultColWidth="8" defaultRowHeight="12.5"/>
  <cols>
    <col min="1" max="1" width="26.07421875" style="1" customWidth="1"/>
    <col min="2" max="2" width="1.07421875" style="1" customWidth="1"/>
    <col min="3" max="3" width="28.07421875" style="1" customWidth="1"/>
    <col min="4" max="16384" width="8" style="1"/>
  </cols>
  <sheetData>
    <row r="1" spans="1:3" ht="15.5">
      <c r="A1" s="3"/>
      <c r="C1" s="3"/>
    </row>
    <row r="2" spans="1:3" ht="16" thickBot="1">
      <c r="A2" s="3"/>
    </row>
    <row r="3" spans="1:3" ht="16" thickBot="1">
      <c r="A3" s="3"/>
      <c r="C3" s="3"/>
    </row>
    <row r="4" spans="1:3" ht="15.5">
      <c r="A4" s="3"/>
      <c r="C4" s="3"/>
    </row>
    <row r="5" spans="1:3" ht="15.5">
      <c r="C5" s="3"/>
    </row>
    <row r="6" spans="1:3" ht="16" thickBot="1">
      <c r="C6" s="3"/>
    </row>
    <row r="7" spans="1:3" ht="15.5">
      <c r="A7" s="3"/>
      <c r="C7" s="3"/>
    </row>
    <row r="8" spans="1:3" ht="15.5">
      <c r="A8" s="3"/>
      <c r="C8" s="3"/>
    </row>
    <row r="9" spans="1:3" ht="15.5">
      <c r="A9" s="3"/>
      <c r="C9" s="3"/>
    </row>
    <row r="10" spans="1:3" ht="15.5">
      <c r="A10" s="3"/>
      <c r="C10" s="3"/>
    </row>
    <row r="11" spans="1:3" ht="16" thickBot="1">
      <c r="A11" s="3"/>
      <c r="C11" s="3"/>
    </row>
    <row r="12" spans="1:3" ht="15.5">
      <c r="C12" s="3"/>
    </row>
    <row r="13" spans="1:3" ht="16" thickBot="1">
      <c r="C13" s="3"/>
    </row>
    <row r="14" spans="1:3" ht="16" thickBot="1">
      <c r="A14" s="3"/>
      <c r="C14" s="3"/>
    </row>
    <row r="15" spans="1:3" ht="15.5">
      <c r="A15" s="3"/>
    </row>
    <row r="16" spans="1:3" ht="16" thickBot="1">
      <c r="A16" s="3"/>
    </row>
    <row r="17" spans="1:3" ht="16" thickBot="1">
      <c r="A17" s="3"/>
      <c r="C17" s="3"/>
    </row>
    <row r="18" spans="1:3" ht="15.5">
      <c r="C18" s="3"/>
    </row>
    <row r="19" spans="1:3" ht="15.5">
      <c r="C19" s="3"/>
    </row>
    <row r="20" spans="1:3" ht="15.5">
      <c r="A20" s="3"/>
      <c r="C20" s="3"/>
    </row>
    <row r="21" spans="1:3" ht="15.5">
      <c r="A21" s="3"/>
      <c r="C21" s="3"/>
    </row>
    <row r="22" spans="1:3" ht="15.5">
      <c r="A22" s="3"/>
      <c r="C22" s="3"/>
    </row>
    <row r="23" spans="1:3" ht="15.5">
      <c r="A23" s="3"/>
      <c r="C23" s="3"/>
    </row>
    <row r="24" spans="1:3" ht="15.5">
      <c r="A24" s="3"/>
    </row>
    <row r="25" spans="1:3" ht="15.5">
      <c r="A25" s="3"/>
    </row>
    <row r="26" spans="1:3" ht="16" thickBot="1">
      <c r="A26" s="3"/>
      <c r="C26" s="3"/>
    </row>
    <row r="27" spans="1:3" ht="15.5">
      <c r="A27" s="3"/>
      <c r="C27" s="3"/>
    </row>
    <row r="28" spans="1:3" ht="15.5">
      <c r="A28" s="3"/>
      <c r="C28" s="3"/>
    </row>
    <row r="29" spans="1:3" ht="15.5">
      <c r="A29" s="3"/>
      <c r="C29" s="3"/>
    </row>
    <row r="30" spans="1:3" ht="15.5">
      <c r="A30" s="3"/>
      <c r="C30" s="3"/>
    </row>
    <row r="31" spans="1:3" ht="15.5">
      <c r="A31" s="3"/>
      <c r="C31" s="3"/>
    </row>
    <row r="32" spans="1:3" ht="15.5">
      <c r="A32" s="3"/>
      <c r="C32" s="3"/>
    </row>
    <row r="33" spans="1:3" ht="15.5">
      <c r="A33" s="3"/>
      <c r="C33" s="3"/>
    </row>
    <row r="34" spans="1:3" ht="15.5">
      <c r="A34" s="3"/>
      <c r="C34" s="3"/>
    </row>
    <row r="35" spans="1:3" ht="15.5">
      <c r="A35" s="3"/>
      <c r="C35" s="3"/>
    </row>
    <row r="36" spans="1:3" ht="15.5">
      <c r="A36" s="3"/>
      <c r="C36" s="3"/>
    </row>
    <row r="37" spans="1:3" ht="15.5">
      <c r="A37" s="3"/>
    </row>
    <row r="38" spans="1:3" ht="15.5">
      <c r="A38" s="3"/>
    </row>
    <row r="39" spans="1:3" ht="15.5">
      <c r="A39" s="3"/>
      <c r="C39" s="3"/>
    </row>
    <row r="40" spans="1:3" ht="15.5">
      <c r="A40" s="3"/>
      <c r="C40" s="3"/>
    </row>
    <row r="41" spans="1:3" ht="15.5">
      <c r="A41" s="3"/>
      <c r="C41" s="3"/>
    </row>
  </sheetData>
  <sheetProtection password="8863" sheet="1" objects="1"/>
  <phoneticPr fontId="1"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1" sqref="C1"/>
    </sheetView>
  </sheetViews>
  <sheetFormatPr defaultColWidth="8" defaultRowHeight="12.5"/>
  <cols>
    <col min="1" max="1" width="26.07421875" style="1" customWidth="1"/>
    <col min="2" max="2" width="1.07421875" style="1" customWidth="1"/>
    <col min="3" max="3" width="28.07421875" style="1" customWidth="1"/>
    <col min="4" max="16384" width="8" style="1"/>
  </cols>
  <sheetData>
    <row r="1" spans="1:3" ht="15.5">
      <c r="A1" s="2"/>
      <c r="C1" s="4"/>
    </row>
    <row r="2" spans="1:3" ht="16" thickBot="1">
      <c r="A2" s="2"/>
    </row>
    <row r="3" spans="1:3" ht="16" thickBot="1">
      <c r="A3" s="2"/>
      <c r="C3" s="2"/>
    </row>
    <row r="4" spans="1:3" ht="15.5">
      <c r="A4" s="2"/>
      <c r="C4" s="2"/>
    </row>
    <row r="5" spans="1:3" ht="15.5">
      <c r="C5" s="2"/>
    </row>
    <row r="6" spans="1:3" ht="16" thickBot="1">
      <c r="C6" s="2"/>
    </row>
    <row r="7" spans="1:3" ht="15.5">
      <c r="A7" s="2"/>
      <c r="C7" s="2"/>
    </row>
    <row r="8" spans="1:3" ht="15.5">
      <c r="A8" s="2"/>
      <c r="C8" s="2"/>
    </row>
    <row r="9" spans="1:3" ht="15.5">
      <c r="A9" s="2"/>
      <c r="C9" s="2"/>
    </row>
    <row r="10" spans="1:3" ht="15.5">
      <c r="A10" s="2"/>
      <c r="C10" s="2"/>
    </row>
    <row r="11" spans="1:3" ht="16" thickBot="1">
      <c r="A11" s="2"/>
      <c r="C11" s="2"/>
    </row>
    <row r="12" spans="1:3" ht="15.5">
      <c r="C12" s="2"/>
    </row>
    <row r="13" spans="1:3" ht="16" thickBot="1">
      <c r="C13" s="2"/>
    </row>
    <row r="14" spans="1:3" ht="16" thickBot="1">
      <c r="A14" s="2"/>
      <c r="C14" s="2"/>
    </row>
    <row r="15" spans="1:3" ht="15.5">
      <c r="A15" s="2"/>
    </row>
    <row r="16" spans="1:3" ht="16" thickBot="1">
      <c r="A16" s="2"/>
    </row>
    <row r="17" spans="1:3" ht="16" thickBot="1">
      <c r="A17" s="2"/>
      <c r="C17" s="2"/>
    </row>
    <row r="18" spans="1:3" ht="15.5">
      <c r="C18" s="2"/>
    </row>
    <row r="19" spans="1:3" ht="15.5">
      <c r="C19" s="2"/>
    </row>
    <row r="20" spans="1:3" ht="15.5">
      <c r="A20" s="2"/>
      <c r="C20" s="2"/>
    </row>
    <row r="21" spans="1:3" ht="15.5">
      <c r="A21" s="2"/>
      <c r="C21" s="2"/>
    </row>
    <row r="22" spans="1:3" ht="15.5">
      <c r="A22" s="2"/>
      <c r="C22" s="2"/>
    </row>
    <row r="23" spans="1:3" ht="15.5">
      <c r="A23" s="2"/>
      <c r="C23" s="2"/>
    </row>
    <row r="24" spans="1:3" ht="15.5">
      <c r="A24" s="2"/>
    </row>
    <row r="25" spans="1:3" ht="15.5">
      <c r="A25" s="2"/>
    </row>
    <row r="26" spans="1:3" ht="16" thickBot="1">
      <c r="A26" s="2"/>
      <c r="C26" s="2"/>
    </row>
    <row r="27" spans="1:3" ht="15.5">
      <c r="A27" s="2"/>
      <c r="C27" s="2"/>
    </row>
    <row r="28" spans="1:3" ht="15.5">
      <c r="A28" s="2"/>
      <c r="C28" s="2"/>
    </row>
    <row r="29" spans="1:3" ht="15.5">
      <c r="A29" s="2"/>
      <c r="C29" s="2"/>
    </row>
    <row r="30" spans="1:3" ht="15.5">
      <c r="A30" s="2"/>
      <c r="C30" s="2"/>
    </row>
    <row r="31" spans="1:3" ht="15.5">
      <c r="A31" s="2"/>
      <c r="C31" s="2"/>
    </row>
    <row r="32" spans="1:3" ht="15.5">
      <c r="A32" s="2"/>
      <c r="C32" s="2"/>
    </row>
    <row r="33" spans="1:3" ht="15.5">
      <c r="A33" s="2"/>
      <c r="C33" s="2"/>
    </row>
    <row r="34" spans="1:3" ht="15.5">
      <c r="A34" s="2"/>
      <c r="C34" s="2"/>
    </row>
    <row r="35" spans="1:3" ht="15.5">
      <c r="A35" s="2"/>
      <c r="C35" s="2"/>
    </row>
    <row r="36" spans="1:3" ht="15.5">
      <c r="A36" s="2"/>
      <c r="C36" s="2"/>
    </row>
    <row r="37" spans="1:3" ht="15.5">
      <c r="A37" s="2"/>
    </row>
    <row r="38" spans="1:3" ht="15.5">
      <c r="A38" s="2"/>
    </row>
    <row r="39" spans="1:3" ht="15.5">
      <c r="A39" s="2"/>
      <c r="C39" s="2"/>
    </row>
    <row r="40" spans="1:3" ht="15.5">
      <c r="A40" s="2"/>
      <c r="C40" s="2"/>
    </row>
    <row r="41" spans="1:3" ht="15.5">
      <c r="A41" s="2"/>
      <c r="C41" s="2"/>
    </row>
  </sheetData>
  <sheetProtection password="8863" sheet="1" objects="1"/>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41"/>
  <sheetViews>
    <sheetView showZeros="0" tabSelected="1" zoomScale="110" zoomScaleNormal="110" workbookViewId="0">
      <pane xSplit="4" ySplit="5" topLeftCell="E6" activePane="bottomRight" state="frozen"/>
      <selection pane="topRight" activeCell="E1" sqref="E1"/>
      <selection pane="bottomLeft" activeCell="A6" sqref="A6"/>
      <selection pane="bottomRight" activeCell="G488" sqref="G488"/>
    </sheetView>
  </sheetViews>
  <sheetFormatPr defaultColWidth="9" defaultRowHeight="13"/>
  <cols>
    <col min="1" max="1" width="4.765625" style="235" customWidth="1"/>
    <col min="2" max="2" width="23.765625" style="236" customWidth="1"/>
    <col min="3" max="3" width="5.69140625" style="235" customWidth="1"/>
    <col min="4" max="4" width="7.07421875" style="235" bestFit="1" customWidth="1"/>
    <col min="5" max="5" width="8.3046875" style="236" bestFit="1" customWidth="1"/>
    <col min="6" max="6" width="9" style="236" bestFit="1" customWidth="1"/>
    <col min="7" max="7" width="7.765625" style="236" customWidth="1"/>
    <col min="8" max="8" width="7.61328125" style="236" bestFit="1" customWidth="1"/>
    <col min="9" max="9" width="7.69140625" style="236" bestFit="1" customWidth="1"/>
    <col min="10" max="10" width="7.765625" style="236" customWidth="1"/>
    <col min="11" max="11" width="8.3046875" style="236" bestFit="1" customWidth="1"/>
    <col min="12" max="12" width="10.84375" style="236" customWidth="1"/>
    <col min="13" max="13" width="9.23046875" style="232" customWidth="1"/>
    <col min="14" max="18" width="8.84375" style="232" customWidth="1"/>
    <col min="19" max="19" width="7" style="236" customWidth="1"/>
    <col min="20" max="16384" width="9" style="236"/>
  </cols>
  <sheetData>
    <row r="1" spans="1:19" s="963" customFormat="1" ht="18">
      <c r="A1" s="1008" t="s">
        <v>673</v>
      </c>
      <c r="B1" s="1008"/>
      <c r="C1" s="1008"/>
      <c r="D1" s="1008"/>
      <c r="E1" s="1008"/>
      <c r="F1" s="1008"/>
      <c r="G1" s="1008"/>
      <c r="H1" s="1008"/>
      <c r="I1" s="1008"/>
      <c r="J1" s="1008"/>
      <c r="K1" s="1008"/>
      <c r="L1" s="1008"/>
      <c r="M1" s="1008"/>
      <c r="N1" s="1008"/>
      <c r="O1" s="1008"/>
      <c r="P1" s="1008"/>
      <c r="Q1" s="1008"/>
      <c r="R1" s="1008"/>
      <c r="S1" s="1008"/>
    </row>
    <row r="2" spans="1:19" s="232" customFormat="1" ht="43.5" customHeight="1">
      <c r="A2" s="1009" t="s">
        <v>308</v>
      </c>
      <c r="B2" s="1009"/>
      <c r="C2" s="1009"/>
      <c r="D2" s="1009"/>
      <c r="E2" s="1009"/>
      <c r="F2" s="1009"/>
      <c r="G2" s="1009"/>
      <c r="H2" s="1009"/>
      <c r="I2" s="1009"/>
      <c r="J2" s="1009"/>
      <c r="K2" s="1009"/>
      <c r="L2" s="1009"/>
      <c r="M2" s="1009"/>
      <c r="N2" s="1009"/>
      <c r="O2" s="1009"/>
      <c r="P2" s="1009"/>
      <c r="Q2" s="1009"/>
      <c r="R2" s="1009"/>
      <c r="S2" s="1009"/>
    </row>
    <row r="3" spans="1:19" ht="12.75" customHeight="1">
      <c r="A3" s="233"/>
      <c r="B3" s="234"/>
    </row>
    <row r="4" spans="1:19" s="231" customFormat="1" ht="18.75" customHeight="1">
      <c r="A4" s="1007" t="s">
        <v>88</v>
      </c>
      <c r="B4" s="1007" t="s">
        <v>74</v>
      </c>
      <c r="C4" s="1007" t="s">
        <v>70</v>
      </c>
      <c r="D4" s="1007" t="s">
        <v>336</v>
      </c>
      <c r="E4" s="1007" t="s">
        <v>337</v>
      </c>
      <c r="F4" s="1007" t="s">
        <v>338</v>
      </c>
      <c r="G4" s="1007" t="s">
        <v>339</v>
      </c>
      <c r="H4" s="1007" t="s">
        <v>340</v>
      </c>
      <c r="I4" s="1007" t="s">
        <v>83</v>
      </c>
      <c r="J4" s="1007"/>
      <c r="K4" s="1024" t="s">
        <v>674</v>
      </c>
      <c r="L4" s="1025"/>
      <c r="M4" s="1025"/>
      <c r="N4" s="1026"/>
      <c r="O4" s="1024" t="s">
        <v>675</v>
      </c>
      <c r="P4" s="1025"/>
      <c r="Q4" s="1025"/>
      <c r="R4" s="1026"/>
      <c r="S4" s="964" t="s">
        <v>72</v>
      </c>
    </row>
    <row r="5" spans="1:19" s="231" customFormat="1" ht="37.5" customHeight="1">
      <c r="A5" s="1007"/>
      <c r="B5" s="1007"/>
      <c r="C5" s="1007"/>
      <c r="D5" s="1007"/>
      <c r="E5" s="1007"/>
      <c r="F5" s="1007"/>
      <c r="G5" s="1007"/>
      <c r="H5" s="1007"/>
      <c r="I5" s="964" t="s">
        <v>84</v>
      </c>
      <c r="J5" s="964" t="s">
        <v>85</v>
      </c>
      <c r="K5" s="964" t="s">
        <v>341</v>
      </c>
      <c r="L5" s="964" t="s">
        <v>514</v>
      </c>
      <c r="M5" s="964" t="s">
        <v>342</v>
      </c>
      <c r="N5" s="964" t="s">
        <v>343</v>
      </c>
      <c r="O5" s="964" t="s">
        <v>341</v>
      </c>
      <c r="P5" s="964" t="s">
        <v>514</v>
      </c>
      <c r="Q5" s="964" t="s">
        <v>342</v>
      </c>
      <c r="R5" s="964" t="s">
        <v>343</v>
      </c>
      <c r="S5" s="964">
        <f>L_CBac!L9</f>
        <v>0.1</v>
      </c>
    </row>
    <row r="6" spans="1:19" ht="17.25" customHeight="1">
      <c r="A6" s="242" t="str">
        <f>L_CViec!A7</f>
        <v>I</v>
      </c>
      <c r="B6" s="965" t="str">
        <f>L_CViec!B7</f>
        <v>LƯỚI ĐỊA CHÍNH:</v>
      </c>
      <c r="C6" s="243"/>
      <c r="D6" s="243"/>
      <c r="E6" s="271"/>
      <c r="F6" s="271"/>
      <c r="G6" s="271"/>
      <c r="H6" s="271"/>
      <c r="I6" s="271"/>
      <c r="J6" s="271"/>
      <c r="K6" s="271"/>
      <c r="L6" s="271"/>
      <c r="M6" s="272"/>
      <c r="N6" s="272"/>
      <c r="O6" s="272"/>
      <c r="P6" s="272"/>
      <c r="Q6" s="272"/>
      <c r="R6" s="272"/>
      <c r="S6" s="271"/>
    </row>
    <row r="7" spans="1:19" s="232" customFormat="1" ht="12.75" customHeight="1">
      <c r="A7" s="1005"/>
      <c r="B7" s="1006" t="s">
        <v>251</v>
      </c>
      <c r="C7" s="242" t="s">
        <v>82</v>
      </c>
      <c r="D7" s="242">
        <v>1</v>
      </c>
      <c r="E7" s="271">
        <f t="shared" ref="E7:N7" si="0">SUM(E26,E51,E$61)-E$12</f>
        <v>3671256.1187500004</v>
      </c>
      <c r="F7" s="271">
        <f t="shared" si="0"/>
        <v>523938.46153846162</v>
      </c>
      <c r="G7" s="271">
        <f t="shared" si="0"/>
        <v>19514.952991452992</v>
      </c>
      <c r="H7" s="271">
        <f t="shared" si="0"/>
        <v>243226.962</v>
      </c>
      <c r="I7" s="271">
        <f t="shared" si="0"/>
        <v>49324.471999999994</v>
      </c>
      <c r="J7" s="271">
        <f t="shared" si="0"/>
        <v>0</v>
      </c>
      <c r="K7" s="271">
        <f t="shared" si="0"/>
        <v>4507260.9672799148</v>
      </c>
      <c r="L7" s="271">
        <f t="shared" si="0"/>
        <v>1126815.2418199787</v>
      </c>
      <c r="M7" s="272">
        <f t="shared" si="0"/>
        <v>5634076.2090998944</v>
      </c>
      <c r="N7" s="271">
        <f t="shared" si="0"/>
        <v>0</v>
      </c>
      <c r="O7" s="271">
        <f>'DGSP_chitiet (truKH)'!K7</f>
        <v>4457936.4952799147</v>
      </c>
      <c r="P7" s="271">
        <f>'DGSP_chitiet (truKH)'!L7</f>
        <v>1114484.1238199787</v>
      </c>
      <c r="Q7" s="306">
        <f>'DGSP_chitiet (truKH)'!M7</f>
        <v>5572420.6190998936</v>
      </c>
      <c r="R7" s="271">
        <f>'DGSP_chitiet (truKH)'!N7</f>
        <v>0</v>
      </c>
      <c r="S7" s="271">
        <f>SUM(S26,S51,S$61)-S$12</f>
        <v>111782.21153846153</v>
      </c>
    </row>
    <row r="8" spans="1:19" s="232" customFormat="1" ht="12.75" customHeight="1">
      <c r="A8" s="1005"/>
      <c r="B8" s="1006"/>
      <c r="C8" s="1007" t="s">
        <v>388</v>
      </c>
      <c r="D8" s="242">
        <v>2</v>
      </c>
      <c r="E8" s="271">
        <f t="shared" ref="E8:N8" si="1">SUM(E27,E52,E$61)-E$12</f>
        <v>4716658.4437500006</v>
      </c>
      <c r="F8" s="271">
        <f t="shared" si="1"/>
        <v>704042.30769230786</v>
      </c>
      <c r="G8" s="271">
        <f t="shared" si="1"/>
        <v>25568.49893162393</v>
      </c>
      <c r="H8" s="271">
        <f t="shared" si="1"/>
        <v>243226.962</v>
      </c>
      <c r="I8" s="271">
        <f t="shared" si="1"/>
        <v>66873.991999999998</v>
      </c>
      <c r="J8" s="271">
        <f t="shared" si="1"/>
        <v>0</v>
      </c>
      <c r="K8" s="271">
        <f t="shared" si="1"/>
        <v>5756370.2043739324</v>
      </c>
      <c r="L8" s="271">
        <f t="shared" si="1"/>
        <v>1439092.5510934831</v>
      </c>
      <c r="M8" s="272">
        <f t="shared" si="1"/>
        <v>7195462.7554674149</v>
      </c>
      <c r="N8" s="271">
        <f t="shared" si="1"/>
        <v>0</v>
      </c>
      <c r="O8" s="271">
        <f>'DGSP_chitiet (truKH)'!K8</f>
        <v>5689496.2123739319</v>
      </c>
      <c r="P8" s="271">
        <f>'DGSP_chitiet (truKH)'!L8</f>
        <v>1422374.053093483</v>
      </c>
      <c r="Q8" s="306">
        <f>'DGSP_chitiet (truKH)'!M8</f>
        <v>7111870.2654674146</v>
      </c>
      <c r="R8" s="271">
        <f>'DGSP_chitiet (truKH)'!N8</f>
        <v>0</v>
      </c>
      <c r="S8" s="271">
        <f>SUM(S27,S52,S$61)-S$12</f>
        <v>143650.48076923075</v>
      </c>
    </row>
    <row r="9" spans="1:19" s="232" customFormat="1" ht="12.75" customHeight="1">
      <c r="A9" s="1005"/>
      <c r="B9" s="1006"/>
      <c r="C9" s="1007"/>
      <c r="D9" s="242">
        <v>3</v>
      </c>
      <c r="E9" s="271">
        <f t="shared" ref="E9:N9" si="2">SUM(E28,E53,E$61)-E$12</f>
        <v>5965622.1968750004</v>
      </c>
      <c r="F9" s="271">
        <f t="shared" si="2"/>
        <v>966011.5384615385</v>
      </c>
      <c r="G9" s="271">
        <f t="shared" si="2"/>
        <v>33395.14957264957</v>
      </c>
      <c r="H9" s="271">
        <f t="shared" si="2"/>
        <v>243226.962</v>
      </c>
      <c r="I9" s="271">
        <f t="shared" si="2"/>
        <v>79135.207999999999</v>
      </c>
      <c r="J9" s="271">
        <f t="shared" si="2"/>
        <v>0</v>
      </c>
      <c r="K9" s="271">
        <f t="shared" si="2"/>
        <v>7287391.0549091883</v>
      </c>
      <c r="L9" s="271">
        <f t="shared" si="2"/>
        <v>1821847.7637272971</v>
      </c>
      <c r="M9" s="272">
        <f t="shared" si="2"/>
        <v>9109238.8186364863</v>
      </c>
      <c r="N9" s="271">
        <f t="shared" si="2"/>
        <v>0</v>
      </c>
      <c r="O9" s="271">
        <f>'DGSP_chitiet (truKH)'!K9</f>
        <v>7208255.8469091896</v>
      </c>
      <c r="P9" s="271">
        <f>'DGSP_chitiet (truKH)'!L9</f>
        <v>1802063.9617272974</v>
      </c>
      <c r="Q9" s="306">
        <f>'DGSP_chitiet (truKH)'!M9</f>
        <v>9010319.8086364865</v>
      </c>
      <c r="R9" s="271">
        <f>'DGSP_chitiet (truKH)'!N9</f>
        <v>0</v>
      </c>
      <c r="S9" s="271">
        <f>SUM(S28,S53,S$61)-S$12</f>
        <v>181722.11538461538</v>
      </c>
    </row>
    <row r="10" spans="1:19" s="232" customFormat="1" ht="12.75" customHeight="1">
      <c r="A10" s="1005"/>
      <c r="B10" s="1006"/>
      <c r="C10" s="1007"/>
      <c r="D10" s="242">
        <v>4</v>
      </c>
      <c r="E10" s="271">
        <f t="shared" ref="E10:N10" si="3">SUM(E29,E54,E$61)-E$12</f>
        <v>7737287.1125000007</v>
      </c>
      <c r="F10" s="271">
        <f t="shared" si="3"/>
        <v>1368061.5384615385</v>
      </c>
      <c r="G10" s="271">
        <f t="shared" si="3"/>
        <v>43935.831196581195</v>
      </c>
      <c r="H10" s="271">
        <f t="shared" si="3"/>
        <v>243226.962</v>
      </c>
      <c r="I10" s="271">
        <f t="shared" si="3"/>
        <v>102815.33600000001</v>
      </c>
      <c r="J10" s="271">
        <f t="shared" si="3"/>
        <v>0</v>
      </c>
      <c r="K10" s="271">
        <f t="shared" si="3"/>
        <v>9495326.7801581211</v>
      </c>
      <c r="L10" s="271">
        <f t="shared" si="3"/>
        <v>2373831.6950395303</v>
      </c>
      <c r="M10" s="272">
        <f t="shared" si="3"/>
        <v>11869158.47519765</v>
      </c>
      <c r="N10" s="271">
        <f t="shared" si="3"/>
        <v>0</v>
      </c>
      <c r="O10" s="271">
        <f>'DGSP_chitiet (truKH)'!K10</f>
        <v>9392511.4441581201</v>
      </c>
      <c r="P10" s="271">
        <f>'DGSP_chitiet (truKH)'!L10</f>
        <v>2348127.86103953</v>
      </c>
      <c r="Q10" s="306">
        <f>'DGSP_chitiet (truKH)'!M10</f>
        <v>11740639.305197651</v>
      </c>
      <c r="R10" s="271">
        <f>'DGSP_chitiet (truKH)'!N10</f>
        <v>0</v>
      </c>
      <c r="S10" s="271">
        <f>SUM(S29,S54,S$61)-S$12</f>
        <v>235727.8846153846</v>
      </c>
    </row>
    <row r="11" spans="1:19" s="232" customFormat="1" ht="12.75" customHeight="1">
      <c r="A11" s="1005"/>
      <c r="B11" s="1006"/>
      <c r="C11" s="1007"/>
      <c r="D11" s="242">
        <v>5</v>
      </c>
      <c r="E11" s="271">
        <f t="shared" ref="E11:N11" si="4">SUM(E30,E55,E$61)-E$12</f>
        <v>10521907.103125002</v>
      </c>
      <c r="F11" s="271">
        <f t="shared" si="4"/>
        <v>1762834.6153846155</v>
      </c>
      <c r="G11" s="271">
        <f t="shared" si="4"/>
        <v>56668.407051282047</v>
      </c>
      <c r="H11" s="271">
        <f t="shared" si="4"/>
        <v>243226.962</v>
      </c>
      <c r="I11" s="271">
        <f t="shared" si="4"/>
        <v>119813.94399999999</v>
      </c>
      <c r="J11" s="271">
        <f t="shared" si="4"/>
        <v>0</v>
      </c>
      <c r="K11" s="271">
        <f t="shared" si="4"/>
        <v>12704451.031560898</v>
      </c>
      <c r="L11" s="271">
        <f t="shared" si="4"/>
        <v>3176112.7578902245</v>
      </c>
      <c r="M11" s="272">
        <f t="shared" si="4"/>
        <v>15880563.789451122</v>
      </c>
      <c r="N11" s="271">
        <f t="shared" si="4"/>
        <v>0</v>
      </c>
      <c r="O11" s="271">
        <f>'DGSP_chitiet (truKH)'!K11</f>
        <v>12584637.0875609</v>
      </c>
      <c r="P11" s="271">
        <f>'DGSP_chitiet (truKH)'!L11</f>
        <v>3146159.2718902249</v>
      </c>
      <c r="Q11" s="306">
        <f>'DGSP_chitiet (truKH)'!M11</f>
        <v>15730796.359451123</v>
      </c>
      <c r="R11" s="271">
        <f>'DGSP_chitiet (truKH)'!N11</f>
        <v>0</v>
      </c>
      <c r="S11" s="271">
        <f>SUM(S30,S55,S$61)-S$12</f>
        <v>320385.57692307694</v>
      </c>
    </row>
    <row r="12" spans="1:19" s="232" customFormat="1" ht="15" customHeight="1">
      <c r="A12" s="276"/>
      <c r="B12" s="966"/>
      <c r="C12" s="242" t="s">
        <v>490</v>
      </c>
      <c r="D12" s="967"/>
      <c r="E12" s="271">
        <f>E61</f>
        <v>545113.80000000005</v>
      </c>
      <c r="F12" s="271">
        <f t="shared" ref="F12:S12" si="5">F61</f>
        <v>0</v>
      </c>
      <c r="G12" s="271">
        <f t="shared" si="5"/>
        <v>2819.3792307692306</v>
      </c>
      <c r="H12" s="271">
        <f t="shared" si="5"/>
        <v>27260</v>
      </c>
      <c r="I12" s="271">
        <f t="shared" si="5"/>
        <v>1529</v>
      </c>
      <c r="J12" s="271">
        <f t="shared" si="5"/>
        <v>0</v>
      </c>
      <c r="K12" s="271">
        <f t="shared" si="5"/>
        <v>576722.17923076928</v>
      </c>
      <c r="L12" s="271">
        <f t="shared" si="5"/>
        <v>86508.326884615395</v>
      </c>
      <c r="M12" s="272">
        <f t="shared" si="5"/>
        <v>663230.50611538463</v>
      </c>
      <c r="N12" s="271"/>
      <c r="O12" s="271">
        <f>'DGSP_chitiet (truKH)'!K12</f>
        <v>575193.17923076928</v>
      </c>
      <c r="P12" s="271">
        <f>'DGSP_chitiet (truKH)'!L12</f>
        <v>86278.976884615389</v>
      </c>
      <c r="Q12" s="306">
        <f>'DGSP_chitiet (truKH)'!M12</f>
        <v>661472.15611538466</v>
      </c>
      <c r="R12" s="271">
        <f>'DGSP_chitiet (truKH)'!N12</f>
        <v>0</v>
      </c>
      <c r="S12" s="271">
        <f t="shared" si="5"/>
        <v>15569.23076923077</v>
      </c>
    </row>
    <row r="13" spans="1:19" s="232" customFormat="1" ht="12.75" customHeight="1">
      <c r="A13" s="1005"/>
      <c r="B13" s="1006" t="s">
        <v>253</v>
      </c>
      <c r="C13" s="242" t="s">
        <v>82</v>
      </c>
      <c r="D13" s="242">
        <v>1</v>
      </c>
      <c r="E13" s="271">
        <f t="shared" ref="E13:N13" si="6">SUM(E26,E36,E51,E$61)-E$18</f>
        <v>5656622.2281250004</v>
      </c>
      <c r="F13" s="271">
        <f t="shared" si="6"/>
        <v>1397169.230769231</v>
      </c>
      <c r="G13" s="271">
        <f t="shared" si="6"/>
        <v>30445.51201923077</v>
      </c>
      <c r="H13" s="271">
        <f t="shared" si="6"/>
        <v>769456.12199999997</v>
      </c>
      <c r="I13" s="271">
        <f t="shared" si="6"/>
        <v>82269.943999999989</v>
      </c>
      <c r="J13" s="271">
        <f t="shared" si="6"/>
        <v>0</v>
      </c>
      <c r="K13" s="271">
        <f t="shared" si="6"/>
        <v>7935963.0369134629</v>
      </c>
      <c r="L13" s="271">
        <f t="shared" si="6"/>
        <v>1983990.7592283657</v>
      </c>
      <c r="M13" s="272">
        <f t="shared" si="6"/>
        <v>9919953.7961418293</v>
      </c>
      <c r="N13" s="271">
        <f t="shared" si="6"/>
        <v>0</v>
      </c>
      <c r="O13" s="271">
        <f>'DGSP_chitiet (truKH)'!K13</f>
        <v>7853693.0929134628</v>
      </c>
      <c r="P13" s="271">
        <f>'DGSP_chitiet (truKH)'!L13</f>
        <v>1963423.2732283657</v>
      </c>
      <c r="Q13" s="306">
        <f>'DGSP_chitiet (truKH)'!M13</f>
        <v>9817116.3661418296</v>
      </c>
      <c r="R13" s="271">
        <f>'DGSP_chitiet (truKH)'!N13</f>
        <v>0</v>
      </c>
      <c r="S13" s="271">
        <f>SUM(S26,S36,S51,S$61)-S$18</f>
        <v>177464.90384615384</v>
      </c>
    </row>
    <row r="14" spans="1:19" s="232" customFormat="1" ht="12.75" customHeight="1">
      <c r="A14" s="1005"/>
      <c r="B14" s="1006"/>
      <c r="C14" s="1007" t="s">
        <v>388</v>
      </c>
      <c r="D14" s="242">
        <v>2</v>
      </c>
      <c r="E14" s="271">
        <f t="shared" ref="E14:N14" si="7">SUM(E27,E37,E52,E$61)-E$18</f>
        <v>6863795.125</v>
      </c>
      <c r="F14" s="271">
        <f t="shared" si="7"/>
        <v>1850157.6923076925</v>
      </c>
      <c r="G14" s="271">
        <f t="shared" si="7"/>
        <v>39862.306891025641</v>
      </c>
      <c r="H14" s="271">
        <f t="shared" si="7"/>
        <v>769456.12199999997</v>
      </c>
      <c r="I14" s="271">
        <f t="shared" si="7"/>
        <v>99819.463999999993</v>
      </c>
      <c r="J14" s="271">
        <f t="shared" si="7"/>
        <v>0</v>
      </c>
      <c r="K14" s="271">
        <f t="shared" si="7"/>
        <v>9623090.7101987191</v>
      </c>
      <c r="L14" s="271">
        <f t="shared" si="7"/>
        <v>2405772.6775496798</v>
      </c>
      <c r="M14" s="272">
        <f t="shared" si="7"/>
        <v>12028863.3877484</v>
      </c>
      <c r="N14" s="271">
        <f t="shared" si="7"/>
        <v>0</v>
      </c>
      <c r="O14" s="271">
        <f>'DGSP_chitiet (truKH)'!K14</f>
        <v>9523271.2461987194</v>
      </c>
      <c r="P14" s="271">
        <f>'DGSP_chitiet (truKH)'!L14</f>
        <v>2380817.8115496798</v>
      </c>
      <c r="Q14" s="306">
        <f>'DGSP_chitiet (truKH)'!M14</f>
        <v>11904089.057748398</v>
      </c>
      <c r="R14" s="271">
        <f>'DGSP_chitiet (truKH)'!N14</f>
        <v>0</v>
      </c>
      <c r="S14" s="271">
        <f>SUM(S27,S37,S52,S$61)-S$18</f>
        <v>214685.09615384613</v>
      </c>
    </row>
    <row r="15" spans="1:19" s="232" customFormat="1" ht="12.75" customHeight="1">
      <c r="A15" s="1005"/>
      <c r="B15" s="1006"/>
      <c r="C15" s="1007"/>
      <c r="D15" s="242">
        <v>3</v>
      </c>
      <c r="E15" s="271">
        <f t="shared" ref="E15:N15" si="8">SUM(E28,E38,E53,E$61)-E$18</f>
        <v>8348061.528125002</v>
      </c>
      <c r="F15" s="271">
        <f t="shared" si="8"/>
        <v>2494165.384615385</v>
      </c>
      <c r="G15" s="271">
        <f t="shared" si="8"/>
        <v>50211.394230769227</v>
      </c>
      <c r="H15" s="271">
        <f t="shared" si="8"/>
        <v>769456.12199999997</v>
      </c>
      <c r="I15" s="271">
        <f t="shared" si="8"/>
        <v>119401.89600000001</v>
      </c>
      <c r="J15" s="271">
        <f t="shared" si="8"/>
        <v>0</v>
      </c>
      <c r="K15" s="271">
        <f t="shared" si="8"/>
        <v>11781296.324971154</v>
      </c>
      <c r="L15" s="271">
        <f t="shared" si="8"/>
        <v>2945324.0812427886</v>
      </c>
      <c r="M15" s="272">
        <f t="shared" si="8"/>
        <v>14726620.406213943</v>
      </c>
      <c r="N15" s="271">
        <f t="shared" si="8"/>
        <v>0</v>
      </c>
      <c r="O15" s="271">
        <f>'DGSP_chitiet (truKH)'!K15</f>
        <v>11661894.428971156</v>
      </c>
      <c r="P15" s="271">
        <f>'DGSP_chitiet (truKH)'!L15</f>
        <v>2915473.6072427891</v>
      </c>
      <c r="Q15" s="306">
        <f>'DGSP_chitiet (truKH)'!M15</f>
        <v>14577368.036213944</v>
      </c>
      <c r="R15" s="271">
        <f>'DGSP_chitiet (truKH)'!N15</f>
        <v>0</v>
      </c>
      <c r="S15" s="271">
        <f>SUM(S28,S38,S53,S$61)-S$18</f>
        <v>260541.3461538461</v>
      </c>
    </row>
    <row r="16" spans="1:19" s="232" customFormat="1" ht="12.75" customHeight="1">
      <c r="A16" s="1005"/>
      <c r="B16" s="1006"/>
      <c r="C16" s="1007"/>
      <c r="D16" s="242">
        <v>4</v>
      </c>
      <c r="E16" s="271">
        <f t="shared" ref="E16:N16" si="9">SUM(E29,E39,E54,E$61)-E$18</f>
        <v>10516799.665625002</v>
      </c>
      <c r="F16" s="271">
        <f t="shared" si="9"/>
        <v>3987753.8461538465</v>
      </c>
      <c r="G16" s="271">
        <f t="shared" si="9"/>
        <v>65796.949252136765</v>
      </c>
      <c r="H16" s="271">
        <f t="shared" si="9"/>
        <v>769456.12199999997</v>
      </c>
      <c r="I16" s="271">
        <f t="shared" si="9"/>
        <v>150403.24</v>
      </c>
      <c r="J16" s="271">
        <f t="shared" si="9"/>
        <v>0</v>
      </c>
      <c r="K16" s="271">
        <f t="shared" si="9"/>
        <v>15490209.823030986</v>
      </c>
      <c r="L16" s="271">
        <f t="shared" si="9"/>
        <v>3872552.4557577465</v>
      </c>
      <c r="M16" s="272">
        <f t="shared" si="9"/>
        <v>19362762.278788731</v>
      </c>
      <c r="N16" s="271">
        <f t="shared" si="9"/>
        <v>0</v>
      </c>
      <c r="O16" s="271">
        <f>'DGSP_chitiet (truKH)'!K16</f>
        <v>15339806.583030986</v>
      </c>
      <c r="P16" s="271">
        <f>'DGSP_chitiet (truKH)'!L16</f>
        <v>3834951.6457577464</v>
      </c>
      <c r="Q16" s="306">
        <f>'DGSP_chitiet (truKH)'!M16</f>
        <v>19174758.22878873</v>
      </c>
      <c r="R16" s="271">
        <f>'DGSP_chitiet (truKH)'!N16</f>
        <v>0</v>
      </c>
      <c r="S16" s="271">
        <f>SUM(S29,S39,S54,S$61)-S$18</f>
        <v>327683.65384615381</v>
      </c>
    </row>
    <row r="17" spans="1:19" s="232" customFormat="1" ht="12.75" customHeight="1">
      <c r="A17" s="1005"/>
      <c r="B17" s="1006"/>
      <c r="C17" s="1007"/>
      <c r="D17" s="242">
        <v>5</v>
      </c>
      <c r="E17" s="271">
        <f t="shared" ref="E17:N17" si="10">SUM(E30,E40,E55,E$61)-E$18</f>
        <v>13698492.878125003</v>
      </c>
      <c r="F17" s="271">
        <f t="shared" si="10"/>
        <v>4819142.307692307</v>
      </c>
      <c r="G17" s="271">
        <f t="shared" si="10"/>
        <v>84415.210737179485</v>
      </c>
      <c r="H17" s="271">
        <f t="shared" si="10"/>
        <v>769456.12199999997</v>
      </c>
      <c r="I17" s="271">
        <f t="shared" si="10"/>
        <v>172892.75999999998</v>
      </c>
      <c r="J17" s="271">
        <f t="shared" si="10"/>
        <v>0</v>
      </c>
      <c r="K17" s="271">
        <f t="shared" si="10"/>
        <v>19544399.278554492</v>
      </c>
      <c r="L17" s="271">
        <f t="shared" si="10"/>
        <v>4886099.8196386229</v>
      </c>
      <c r="M17" s="272">
        <f t="shared" si="10"/>
        <v>24430499.098193109</v>
      </c>
      <c r="N17" s="271">
        <f t="shared" si="10"/>
        <v>0</v>
      </c>
      <c r="O17" s="271">
        <f>'DGSP_chitiet (truKH)'!K17</f>
        <v>19371506.518554486</v>
      </c>
      <c r="P17" s="271">
        <f>'DGSP_chitiet (truKH)'!L17</f>
        <v>4842876.6296386216</v>
      </c>
      <c r="Q17" s="306">
        <f>'DGSP_chitiet (truKH)'!M17</f>
        <v>24214383.148193106</v>
      </c>
      <c r="R17" s="271">
        <f>'DGSP_chitiet (truKH)'!N17</f>
        <v>0</v>
      </c>
      <c r="S17" s="271">
        <f>SUM(S30,S40,S55,S$61)-S$18</f>
        <v>425477.88461538462</v>
      </c>
    </row>
    <row r="18" spans="1:19" s="232" customFormat="1" ht="15" customHeight="1">
      <c r="A18" s="276"/>
      <c r="B18" s="966"/>
      <c r="C18" s="242" t="s">
        <v>490</v>
      </c>
      <c r="D18" s="967"/>
      <c r="E18" s="271">
        <f t="shared" ref="E18:S18" si="11">E12</f>
        <v>545113.80000000005</v>
      </c>
      <c r="F18" s="271">
        <f t="shared" si="11"/>
        <v>0</v>
      </c>
      <c r="G18" s="271">
        <f t="shared" si="11"/>
        <v>2819.3792307692306</v>
      </c>
      <c r="H18" s="271">
        <f t="shared" si="11"/>
        <v>27260</v>
      </c>
      <c r="I18" s="271">
        <f t="shared" si="11"/>
        <v>1529</v>
      </c>
      <c r="J18" s="271">
        <f t="shared" si="11"/>
        <v>0</v>
      </c>
      <c r="K18" s="271">
        <f t="shared" si="11"/>
        <v>576722.17923076928</v>
      </c>
      <c r="L18" s="271">
        <f t="shared" si="11"/>
        <v>86508.326884615395</v>
      </c>
      <c r="M18" s="272">
        <f t="shared" si="11"/>
        <v>663230.50611538463</v>
      </c>
      <c r="N18" s="271">
        <f t="shared" si="11"/>
        <v>0</v>
      </c>
      <c r="O18" s="271">
        <f>'DGSP_chitiet (truKH)'!K18</f>
        <v>575193.17923076928</v>
      </c>
      <c r="P18" s="271">
        <f>'DGSP_chitiet (truKH)'!L18</f>
        <v>86278.976884615389</v>
      </c>
      <c r="Q18" s="306">
        <f>'DGSP_chitiet (truKH)'!M18</f>
        <v>661472.15611538466</v>
      </c>
      <c r="R18" s="271">
        <f>'DGSP_chitiet (truKH)'!N18</f>
        <v>0</v>
      </c>
      <c r="S18" s="271">
        <f t="shared" si="11"/>
        <v>15569.23076923077</v>
      </c>
    </row>
    <row r="19" spans="1:19" s="232" customFormat="1">
      <c r="A19" s="1005"/>
      <c r="B19" s="1006" t="s">
        <v>252</v>
      </c>
      <c r="C19" s="242" t="s">
        <v>82</v>
      </c>
      <c r="D19" s="242">
        <v>1</v>
      </c>
      <c r="E19" s="271">
        <f>SUM(E31,E51,E$61)-$E$24</f>
        <v>4135774.5550000006</v>
      </c>
      <c r="F19" s="271">
        <f>SUM(F31,F51,F$61)-$F$24</f>
        <v>612353.07692307699</v>
      </c>
      <c r="G19" s="271">
        <f>SUM(G31,G51,G$61)-$G$24</f>
        <v>22269.242735042735</v>
      </c>
      <c r="H19" s="271">
        <f>SUM(H31,H51,H$61)-$H$24</f>
        <v>243226.962</v>
      </c>
      <c r="I19" s="271">
        <f>SUM(I31,I51,I$61)-$I$24</f>
        <v>49324.471999999994</v>
      </c>
      <c r="J19" s="271">
        <f>SUM(J31,J51,J$61)-J24</f>
        <v>0</v>
      </c>
      <c r="K19" s="271">
        <f>SUM(K31,K51,K$61)-$K$24</f>
        <v>5062948.3086581202</v>
      </c>
      <c r="L19" s="271">
        <f>SUM(L31,L51,L$61)-$L$24</f>
        <v>1265737.0771645301</v>
      </c>
      <c r="M19" s="272">
        <f>SUM(M31,M51,M$61)-$M$24</f>
        <v>6328685.38582265</v>
      </c>
      <c r="N19" s="271">
        <f>SUM(N31,N51,N$61)-N24</f>
        <v>0</v>
      </c>
      <c r="O19" s="271">
        <f>'DGSP_chitiet (truKH)'!K19</f>
        <v>5013623.8366581202</v>
      </c>
      <c r="P19" s="271">
        <f>'DGSP_chitiet (truKH)'!L19</f>
        <v>1253405.95916453</v>
      </c>
      <c r="Q19" s="306">
        <f>'DGSP_chitiet (truKH)'!M19</f>
        <v>6267029.7958226502</v>
      </c>
      <c r="R19" s="271">
        <f>'DGSP_chitiet (truKH)'!N19</f>
        <v>0</v>
      </c>
      <c r="S19" s="271">
        <f>SUM(S31,S51,S$61)-$S$24</f>
        <v>125989.13461538461</v>
      </c>
    </row>
    <row r="20" spans="1:19" s="232" customFormat="1" ht="12.75" customHeight="1">
      <c r="A20" s="1005"/>
      <c r="B20" s="1006"/>
      <c r="C20" s="1007" t="s">
        <v>388</v>
      </c>
      <c r="D20" s="242">
        <v>2</v>
      </c>
      <c r="E20" s="271">
        <f>SUM(E32,E52,E$61)-$E$24</f>
        <v>5333895.2700000005</v>
      </c>
      <c r="F20" s="271">
        <f>SUM(F32,F52,F$61)-$F$24</f>
        <v>821928.46153846174</v>
      </c>
      <c r="G20" s="271">
        <f>SUM(G32,G52,G$61)-$G$24</f>
        <v>29011.361111111109</v>
      </c>
      <c r="H20" s="271">
        <f>SUM(H32,H52,H$61)-$H$24</f>
        <v>243226.962</v>
      </c>
      <c r="I20" s="271">
        <f>SUM(I32,I52,I$61)-$I$24</f>
        <v>66873.991999999998</v>
      </c>
      <c r="J20" s="271">
        <f>SUM(J32,J52,J$61)-J25</f>
        <v>0</v>
      </c>
      <c r="K20" s="271">
        <f>SUM(K32,K52,K$61)-$K$24</f>
        <v>6494936.0466495734</v>
      </c>
      <c r="L20" s="271">
        <f>SUM(L32,L52,L$61)-$L$24</f>
        <v>1623734.0116623933</v>
      </c>
      <c r="M20" s="272">
        <f>SUM(M32,M52,M$61)-$M$24</f>
        <v>8118670.0583119672</v>
      </c>
      <c r="N20" s="271">
        <f>SUM(N32,N52,N$61)-N25</f>
        <v>0</v>
      </c>
      <c r="O20" s="271">
        <f>'DGSP_chitiet (truKH)'!K20</f>
        <v>6428062.0546495738</v>
      </c>
      <c r="P20" s="271">
        <f>'DGSP_chitiet (truKH)'!L20</f>
        <v>1607015.5136623934</v>
      </c>
      <c r="Q20" s="306">
        <f>'DGSP_chitiet (truKH)'!M20</f>
        <v>8035077.568311967</v>
      </c>
      <c r="R20" s="271">
        <f>'DGSP_chitiet (truKH)'!N20</f>
        <v>0</v>
      </c>
      <c r="S20" s="271">
        <f>SUM(S32,S52,S$61)-$S$24</f>
        <v>162528.17307692306</v>
      </c>
    </row>
    <row r="21" spans="1:19" s="232" customFormat="1" ht="12.75" customHeight="1">
      <c r="A21" s="1005"/>
      <c r="B21" s="1006"/>
      <c r="C21" s="1007"/>
      <c r="D21" s="242">
        <v>3</v>
      </c>
      <c r="E21" s="271">
        <f>SUM(E33,E53,E$61)-$E$24</f>
        <v>6764212.1112500001</v>
      </c>
      <c r="F21" s="271">
        <f>SUM(F33,F53,F$61)-$F$24</f>
        <v>1113369.2307692308</v>
      </c>
      <c r="G21" s="271">
        <f>SUM(G33,G53,G$61)-$G$24</f>
        <v>37985.632478632477</v>
      </c>
      <c r="H21" s="271">
        <f>SUM(H33,H53,H$61)-$H$24</f>
        <v>243226.962</v>
      </c>
      <c r="I21" s="271">
        <f>SUM(I33,I53,I$61)-$I$24</f>
        <v>79135.207999999999</v>
      </c>
      <c r="J21" s="271">
        <f>SUM(J33,J53,J$61)-J26</f>
        <v>0</v>
      </c>
      <c r="K21" s="271">
        <f>SUM(K33,K53,K$61)-$K$24</f>
        <v>8237929.144497863</v>
      </c>
      <c r="L21" s="271">
        <f>SUM(L33,L53,L$61)-$L$24</f>
        <v>2059482.2861244653</v>
      </c>
      <c r="M21" s="272">
        <f>SUM(M33,M53,M$61)-$M$24</f>
        <v>10297411.430622328</v>
      </c>
      <c r="N21" s="271">
        <f>SUM(N33,N53,N$61)-N26</f>
        <v>0</v>
      </c>
      <c r="O21" s="271">
        <f>'DGSP_chitiet (truKH)'!K21</f>
        <v>8158793.9364978643</v>
      </c>
      <c r="P21" s="271">
        <f>'DGSP_chitiet (truKH)'!L21</f>
        <v>2039698.4841244661</v>
      </c>
      <c r="Q21" s="306">
        <f>'DGSP_chitiet (truKH)'!M21</f>
        <v>10198492.420622328</v>
      </c>
      <c r="R21" s="271">
        <f>'DGSP_chitiet (truKH)'!N21</f>
        <v>0</v>
      </c>
      <c r="S21" s="271">
        <f>SUM(S33,S53,S$61)-$S$24</f>
        <v>206146.34615384613</v>
      </c>
    </row>
    <row r="22" spans="1:19" s="232" customFormat="1" ht="12.75" customHeight="1">
      <c r="A22" s="1005"/>
      <c r="B22" s="1006"/>
      <c r="C22" s="1007"/>
      <c r="D22" s="242">
        <v>4</v>
      </c>
      <c r="E22" s="271">
        <f>SUM(E34,E54,E$61)-$E$24</f>
        <v>8793589.3100000005</v>
      </c>
      <c r="F22" s="271">
        <f>SUM(F34,F54,F$61)-$F$24</f>
        <v>1559808.4615384615</v>
      </c>
      <c r="G22" s="271">
        <f>SUM(G34,G54,G$61)-$G$24</f>
        <v>49903.458974358975</v>
      </c>
      <c r="H22" s="271">
        <f>SUM(H34,H54,H$61)-$H$24</f>
        <v>243226.962</v>
      </c>
      <c r="I22" s="271">
        <f>SUM(I34,I54,I$61)-$I$24</f>
        <v>102815.33600000001</v>
      </c>
      <c r="J22" s="271">
        <f>SUM(J34,J54,J$61)-J27</f>
        <v>0</v>
      </c>
      <c r="K22" s="271">
        <f>SUM(K34,K54,K$61)-$K$24</f>
        <v>10749343.528512821</v>
      </c>
      <c r="L22" s="271">
        <f>SUM(L34,L54,L$61)-$L$24</f>
        <v>2687335.8821282052</v>
      </c>
      <c r="M22" s="272">
        <f>SUM(M34,M54,M$61)-$M$24</f>
        <v>13436679.410641028</v>
      </c>
      <c r="N22" s="271">
        <f>SUM(N34,N54,N$61)-N27</f>
        <v>0</v>
      </c>
      <c r="O22" s="271">
        <f>'DGSP_chitiet (truKH)'!K22</f>
        <v>10646528.192512821</v>
      </c>
      <c r="P22" s="271">
        <f>'DGSP_chitiet (truKH)'!L22</f>
        <v>2661632.0481282054</v>
      </c>
      <c r="Q22" s="306">
        <f>'DGSP_chitiet (truKH)'!M22</f>
        <v>13308160.240641026</v>
      </c>
      <c r="R22" s="271">
        <f>'DGSP_chitiet (truKH)'!N22</f>
        <v>0</v>
      </c>
      <c r="S22" s="271">
        <f>SUM(S34,S54,S$61)-$S$24</f>
        <v>268034.03846153844</v>
      </c>
    </row>
    <row r="23" spans="1:19" s="232" customFormat="1" ht="12.75" customHeight="1">
      <c r="A23" s="1005"/>
      <c r="B23" s="1006"/>
      <c r="C23" s="1007"/>
      <c r="D23" s="242">
        <v>5</v>
      </c>
      <c r="E23" s="271">
        <f>SUM(E35,E55,E$61)-$E$24</f>
        <v>11861374.648750002</v>
      </c>
      <c r="F23" s="271">
        <f>SUM(F35,F55,F$61)-$F$24</f>
        <v>2013524.6153846155</v>
      </c>
      <c r="G23" s="271">
        <f>SUM(G35,G55,G$61)-$G$24</f>
        <v>64242.703846153854</v>
      </c>
      <c r="H23" s="271">
        <f>SUM(H35,H55,H$61)-$H$24</f>
        <v>243226.962</v>
      </c>
      <c r="I23" s="271">
        <f>SUM(I35,I55,I$61)-$I$24</f>
        <v>119813.94399999999</v>
      </c>
      <c r="J23" s="271">
        <f>SUM(J35,J55,J$61)-J28</f>
        <v>0</v>
      </c>
      <c r="K23" s="271">
        <f>SUM(K35,K55,K$61)-$K$24</f>
        <v>14302182.87398077</v>
      </c>
      <c r="L23" s="271">
        <f>SUM(L35,L55,L$61)-$L$24</f>
        <v>3575545.7184951925</v>
      </c>
      <c r="M23" s="272">
        <f>SUM(M35,M55,M$61)-$M$24</f>
        <v>17877728.592475962</v>
      </c>
      <c r="N23" s="271">
        <f>SUM(N35,N55,N$61)-N28</f>
        <v>0</v>
      </c>
      <c r="O23" s="271">
        <f>'DGSP_chitiet (truKH)'!K23</f>
        <v>14182368.92998077</v>
      </c>
      <c r="P23" s="271">
        <f>'DGSP_chitiet (truKH)'!L23</f>
        <v>3545592.2324951924</v>
      </c>
      <c r="Q23" s="306">
        <f>'DGSP_chitiet (truKH)'!M23</f>
        <v>17727961.162475962</v>
      </c>
      <c r="R23" s="271">
        <f>'DGSP_chitiet (truKH)'!N23</f>
        <v>0</v>
      </c>
      <c r="S23" s="271">
        <f>SUM(S35,S55,S$61)-$S$24</f>
        <v>361352.11538461538</v>
      </c>
    </row>
    <row r="24" spans="1:19" s="232" customFormat="1" ht="15" customHeight="1">
      <c r="A24" s="276"/>
      <c r="B24" s="966"/>
      <c r="C24" s="242" t="s">
        <v>490</v>
      </c>
      <c r="D24" s="967"/>
      <c r="E24" s="271">
        <f t="shared" ref="E24:S24" si="12">E12</f>
        <v>545113.80000000005</v>
      </c>
      <c r="F24" s="271">
        <f t="shared" si="12"/>
        <v>0</v>
      </c>
      <c r="G24" s="271">
        <f t="shared" si="12"/>
        <v>2819.3792307692306</v>
      </c>
      <c r="H24" s="271">
        <f t="shared" si="12"/>
        <v>27260</v>
      </c>
      <c r="I24" s="271">
        <f t="shared" si="12"/>
        <v>1529</v>
      </c>
      <c r="J24" s="271">
        <f t="shared" si="12"/>
        <v>0</v>
      </c>
      <c r="K24" s="271">
        <f t="shared" si="12"/>
        <v>576722.17923076928</v>
      </c>
      <c r="L24" s="271">
        <f t="shared" si="12"/>
        <v>86508.326884615395</v>
      </c>
      <c r="M24" s="272">
        <f t="shared" si="12"/>
        <v>663230.50611538463</v>
      </c>
      <c r="N24" s="271">
        <f t="shared" si="12"/>
        <v>0</v>
      </c>
      <c r="O24" s="271">
        <f>'DGSP_chitiet (truKH)'!K24</f>
        <v>575193.17923076928</v>
      </c>
      <c r="P24" s="271">
        <f>'DGSP_chitiet (truKH)'!L24</f>
        <v>86278.976884615389</v>
      </c>
      <c r="Q24" s="306">
        <f>'DGSP_chitiet (truKH)'!M24</f>
        <v>661472.15611538466</v>
      </c>
      <c r="R24" s="271">
        <f>'DGSP_chitiet (truKH)'!N24</f>
        <v>0</v>
      </c>
      <c r="S24" s="271">
        <f t="shared" si="12"/>
        <v>15569.23076923077</v>
      </c>
    </row>
    <row r="25" spans="1:19" s="232" customFormat="1" ht="13.15" customHeight="1">
      <c r="A25" s="276"/>
      <c r="B25" s="966"/>
      <c r="C25" s="276"/>
      <c r="D25" s="242"/>
      <c r="E25" s="272"/>
      <c r="F25" s="272"/>
      <c r="G25" s="272"/>
      <c r="H25" s="272"/>
      <c r="I25" s="272"/>
      <c r="J25" s="272"/>
      <c r="K25" s="272"/>
      <c r="L25" s="272"/>
      <c r="M25" s="272"/>
      <c r="N25" s="272"/>
      <c r="O25" s="271">
        <f>'DGSP_chitiet (truKH)'!K25</f>
        <v>0</v>
      </c>
      <c r="P25" s="271">
        <f>'DGSP_chitiet (truKH)'!L25</f>
        <v>0</v>
      </c>
      <c r="Q25" s="306">
        <f>'DGSP_chitiet (truKH)'!M25</f>
        <v>0</v>
      </c>
      <c r="R25" s="271">
        <f>'DGSP_chitiet (truKH)'!N25</f>
        <v>0</v>
      </c>
      <c r="S25" s="272"/>
    </row>
    <row r="26" spans="1:19">
      <c r="A26" s="1010">
        <f>NhanCong!A11</f>
        <v>1</v>
      </c>
      <c r="B26" s="1011" t="str">
        <f>NhanCong!B11</f>
        <v xml:space="preserve">Chọn vị trí điểm, chôn mốc </v>
      </c>
      <c r="C26" s="1010" t="str">
        <f>NhanCong!C11</f>
        <v>điểm</v>
      </c>
      <c r="D26" s="274">
        <v>1</v>
      </c>
      <c r="E26" s="271">
        <f>NhanCong!I11</f>
        <v>2322592.1812500004</v>
      </c>
      <c r="F26" s="271">
        <f>NhanCong!I12</f>
        <v>442073.07692307699</v>
      </c>
      <c r="G26" s="905">
        <f>Dcu!K$32</f>
        <v>13771.448717948719</v>
      </c>
      <c r="H26" s="905">
        <f>VLieu!I$28</f>
        <v>217851.962</v>
      </c>
      <c r="I26" s="905">
        <f>TBi!N11</f>
        <v>32945.471999999994</v>
      </c>
      <c r="J26" s="905"/>
      <c r="K26" s="905">
        <f t="shared" ref="K26:K62" si="13">SUM(E26:J26)</f>
        <v>3029234.1408910258</v>
      </c>
      <c r="L26" s="905">
        <f t="shared" ref="L26:L60" si="14">K26*0.25</f>
        <v>757308.53522275644</v>
      </c>
      <c r="M26" s="906">
        <f>K26+L26</f>
        <v>3786542.6761137825</v>
      </c>
      <c r="N26" s="906"/>
      <c r="O26" s="271">
        <f>'DGSP_chitiet (truKH)'!K26</f>
        <v>2996288.6688910257</v>
      </c>
      <c r="P26" s="271">
        <f>'DGSP_chitiet (truKH)'!L26</f>
        <v>749072.16722275643</v>
      </c>
      <c r="Q26" s="306">
        <f>'DGSP_chitiet (truKH)'!M26</f>
        <v>3745360.8361137821</v>
      </c>
      <c r="R26" s="271">
        <f>'DGSP_chitiet (truKH)'!N26</f>
        <v>0</v>
      </c>
      <c r="S26" s="905">
        <f>NhanCong!J11</f>
        <v>71034.615384615376</v>
      </c>
    </row>
    <row r="27" spans="1:19">
      <c r="A27" s="1010"/>
      <c r="B27" s="1011"/>
      <c r="C27" s="1010"/>
      <c r="D27" s="274">
        <v>2</v>
      </c>
      <c r="E27" s="271">
        <f>NhanCong!I13</f>
        <v>3086184.1312500001</v>
      </c>
      <c r="F27" s="271">
        <f>NhanCong!I14</f>
        <v>589430.76923076937</v>
      </c>
      <c r="G27" s="905">
        <f>Dcu!K$33</f>
        <v>17214.310897435898</v>
      </c>
      <c r="H27" s="905">
        <f>VLieu!I$28</f>
        <v>217851.962</v>
      </c>
      <c r="I27" s="905">
        <f>TBi!O11</f>
        <v>42096.991999999998</v>
      </c>
      <c r="J27" s="905"/>
      <c r="K27" s="905">
        <f t="shared" si="13"/>
        <v>3952778.1653782055</v>
      </c>
      <c r="L27" s="905">
        <f t="shared" si="14"/>
        <v>988194.54134455137</v>
      </c>
      <c r="M27" s="906">
        <f t="shared" ref="M27:M55" si="15">K27+L27</f>
        <v>4940972.7067227568</v>
      </c>
      <c r="N27" s="906"/>
      <c r="O27" s="271">
        <f>'DGSP_chitiet (truKH)'!K27</f>
        <v>3910681.1733782054</v>
      </c>
      <c r="P27" s="271">
        <f>'DGSP_chitiet (truKH)'!L27</f>
        <v>977670.29334455135</v>
      </c>
      <c r="Q27" s="306">
        <f>'DGSP_chitiet (truKH)'!M27</f>
        <v>4888351.4667227566</v>
      </c>
      <c r="R27" s="271">
        <f>'DGSP_chitiet (truKH)'!N27</f>
        <v>0</v>
      </c>
      <c r="S27" s="905">
        <f>NhanCong!J13</f>
        <v>94388.461538461532</v>
      </c>
    </row>
    <row r="28" spans="1:19">
      <c r="A28" s="1010"/>
      <c r="B28" s="1011"/>
      <c r="C28" s="1010"/>
      <c r="D28" s="274">
        <v>3</v>
      </c>
      <c r="E28" s="271">
        <f>NhanCong!I15</f>
        <v>3992949.5718750004</v>
      </c>
      <c r="F28" s="271">
        <f>NhanCong!I16</f>
        <v>736788.4615384615</v>
      </c>
      <c r="G28" s="905">
        <f>Dcu!K$34</f>
        <v>22952.414529914531</v>
      </c>
      <c r="H28" s="905">
        <f>VLieu!I$28</f>
        <v>217851.962</v>
      </c>
      <c r="I28" s="905">
        <f>TBi!P11</f>
        <v>49418.207999999999</v>
      </c>
      <c r="J28" s="905"/>
      <c r="K28" s="905">
        <f t="shared" si="13"/>
        <v>5019960.6179433772</v>
      </c>
      <c r="L28" s="905">
        <f t="shared" si="14"/>
        <v>1254990.1544858443</v>
      </c>
      <c r="M28" s="906">
        <f t="shared" si="15"/>
        <v>6274950.7724292213</v>
      </c>
      <c r="N28" s="906"/>
      <c r="O28" s="271">
        <f>'DGSP_chitiet (truKH)'!K28</f>
        <v>4970542.4099433776</v>
      </c>
      <c r="P28" s="271">
        <f>'DGSP_chitiet (truKH)'!L28</f>
        <v>1242635.6024858444</v>
      </c>
      <c r="Q28" s="306">
        <f>'DGSP_chitiet (truKH)'!M28</f>
        <v>6213178.0124292225</v>
      </c>
      <c r="R28" s="271">
        <f>'DGSP_chitiet (truKH)'!N28</f>
        <v>0</v>
      </c>
      <c r="S28" s="905">
        <f>NhanCong!J15</f>
        <v>122121.15384615383</v>
      </c>
    </row>
    <row r="29" spans="1:19">
      <c r="A29" s="1010"/>
      <c r="B29" s="1011"/>
      <c r="C29" s="1010"/>
      <c r="D29" s="274">
        <v>4</v>
      </c>
      <c r="E29" s="271">
        <f>NhanCong!I17</f>
        <v>5281510.9875000007</v>
      </c>
      <c r="F29" s="271">
        <f>NhanCong!I18</f>
        <v>958734.61538461538</v>
      </c>
      <c r="G29" s="905">
        <f>Dcu!K$35</f>
        <v>29838.138888888891</v>
      </c>
      <c r="H29" s="905">
        <f>VLieu!I$28</f>
        <v>217851.962</v>
      </c>
      <c r="I29" s="905">
        <f>TBi!Q11</f>
        <v>62230.336000000003</v>
      </c>
      <c r="J29" s="905"/>
      <c r="K29" s="905">
        <f t="shared" si="13"/>
        <v>6550166.0397735052</v>
      </c>
      <c r="L29" s="905">
        <f t="shared" si="14"/>
        <v>1637541.5099433763</v>
      </c>
      <c r="M29" s="906">
        <f t="shared" si="15"/>
        <v>8187707.5497168815</v>
      </c>
      <c r="N29" s="906"/>
      <c r="O29" s="271">
        <f>'DGSP_chitiet (truKH)'!K29</f>
        <v>6487935.7037735051</v>
      </c>
      <c r="P29" s="271">
        <f>'DGSP_chitiet (truKH)'!L29</f>
        <v>1621983.9259433763</v>
      </c>
      <c r="Q29" s="306">
        <f>'DGSP_chitiet (truKH)'!M29</f>
        <v>8109919.6297168816</v>
      </c>
      <c r="R29" s="271">
        <f>'DGSP_chitiet (truKH)'!N29</f>
        <v>0</v>
      </c>
      <c r="S29" s="905">
        <f>NhanCong!J17</f>
        <v>161530.76923076922</v>
      </c>
    </row>
    <row r="30" spans="1:19">
      <c r="A30" s="1010"/>
      <c r="B30" s="1011"/>
      <c r="C30" s="1010"/>
      <c r="D30" s="274" t="s">
        <v>13</v>
      </c>
      <c r="E30" s="271">
        <f>NhanCong!I19</f>
        <v>6697337.7281250013</v>
      </c>
      <c r="F30" s="271">
        <f>NhanCong!I20</f>
        <v>1253450</v>
      </c>
      <c r="G30" s="905">
        <f>Dcu!K$36</f>
        <v>37871.483974358976</v>
      </c>
      <c r="H30" s="905">
        <f>VLieu!I$28</f>
        <v>217851.962</v>
      </c>
      <c r="I30" s="905">
        <f>TBi!R11</f>
        <v>65890.943999999989</v>
      </c>
      <c r="J30" s="905"/>
      <c r="K30" s="905">
        <f t="shared" si="13"/>
        <v>8272402.1180993607</v>
      </c>
      <c r="L30" s="905">
        <f t="shared" si="14"/>
        <v>2068100.5295248402</v>
      </c>
      <c r="M30" s="906">
        <f t="shared" si="15"/>
        <v>10340502.6476242</v>
      </c>
      <c r="N30" s="906"/>
      <c r="O30" s="271">
        <f>'DGSP_chitiet (truKH)'!K30</f>
        <v>8206511.1740993606</v>
      </c>
      <c r="P30" s="271">
        <f>'DGSP_chitiet (truKH)'!L30</f>
        <v>2051627.7935248401</v>
      </c>
      <c r="Q30" s="306">
        <f>'DGSP_chitiet (truKH)'!M30</f>
        <v>10258138.967624201</v>
      </c>
      <c r="R30" s="271">
        <f>'DGSP_chitiet (truKH)'!N30</f>
        <v>0</v>
      </c>
      <c r="S30" s="905">
        <f>NhanCong!J19</f>
        <v>204832.69230769231</v>
      </c>
    </row>
    <row r="31" spans="1:19">
      <c r="A31" s="1010" t="s">
        <v>359</v>
      </c>
      <c r="B31" s="1011" t="s">
        <v>521</v>
      </c>
      <c r="C31" s="1010">
        <f>NhanCong!C17</f>
        <v>0</v>
      </c>
      <c r="D31" s="274">
        <v>1</v>
      </c>
      <c r="E31" s="271">
        <f t="shared" ref="E31:G35" si="16">E26*1.2</f>
        <v>2787110.6175000002</v>
      </c>
      <c r="F31" s="271">
        <f t="shared" si="16"/>
        <v>530487.69230769237</v>
      </c>
      <c r="G31" s="271">
        <f t="shared" si="16"/>
        <v>16525.738461538462</v>
      </c>
      <c r="H31" s="905">
        <f t="shared" ref="H31:I35" si="17">H26</f>
        <v>217851.962</v>
      </c>
      <c r="I31" s="905">
        <f t="shared" si="17"/>
        <v>32945.471999999994</v>
      </c>
      <c r="J31" s="905"/>
      <c r="K31" s="905">
        <f t="shared" si="13"/>
        <v>3584921.4822692312</v>
      </c>
      <c r="L31" s="905">
        <f t="shared" si="14"/>
        <v>896230.37056730781</v>
      </c>
      <c r="M31" s="906">
        <f>K31+L31</f>
        <v>4481151.852836539</v>
      </c>
      <c r="N31" s="906"/>
      <c r="O31" s="271">
        <f>'DGSP_chitiet (truKH)'!K31</f>
        <v>3551976.0102692312</v>
      </c>
      <c r="P31" s="271">
        <f>'DGSP_chitiet (truKH)'!L31</f>
        <v>887994.00256730779</v>
      </c>
      <c r="Q31" s="306">
        <f>'DGSP_chitiet (truKH)'!M31</f>
        <v>4439970.0128365392</v>
      </c>
      <c r="R31" s="271">
        <f>'DGSP_chitiet (truKH)'!N31</f>
        <v>0</v>
      </c>
      <c r="S31" s="905">
        <f>S26*1.2</f>
        <v>85241.538461538454</v>
      </c>
    </row>
    <row r="32" spans="1:19">
      <c r="A32" s="1010"/>
      <c r="B32" s="1011"/>
      <c r="C32" s="1010"/>
      <c r="D32" s="274">
        <v>2</v>
      </c>
      <c r="E32" s="271">
        <f t="shared" si="16"/>
        <v>3703420.9575</v>
      </c>
      <c r="F32" s="271">
        <f t="shared" si="16"/>
        <v>707316.92307692324</v>
      </c>
      <c r="G32" s="271">
        <f t="shared" si="16"/>
        <v>20657.173076923078</v>
      </c>
      <c r="H32" s="905">
        <f t="shared" si="17"/>
        <v>217851.962</v>
      </c>
      <c r="I32" s="905">
        <f t="shared" si="17"/>
        <v>42096.991999999998</v>
      </c>
      <c r="J32" s="905"/>
      <c r="K32" s="905">
        <f t="shared" si="13"/>
        <v>4691344.0076538464</v>
      </c>
      <c r="L32" s="905">
        <f t="shared" si="14"/>
        <v>1172836.0019134616</v>
      </c>
      <c r="M32" s="906">
        <f>K32+L32</f>
        <v>5864180.0095673082</v>
      </c>
      <c r="N32" s="906"/>
      <c r="O32" s="271">
        <f>'DGSP_chitiet (truKH)'!K32</f>
        <v>4649247.0156538468</v>
      </c>
      <c r="P32" s="271">
        <f>'DGSP_chitiet (truKH)'!L32</f>
        <v>1162311.7539134617</v>
      </c>
      <c r="Q32" s="306">
        <f>'DGSP_chitiet (truKH)'!M32</f>
        <v>5811558.7695673089</v>
      </c>
      <c r="R32" s="271">
        <f>'DGSP_chitiet (truKH)'!N32</f>
        <v>0</v>
      </c>
      <c r="S32" s="905">
        <f>S27*1.2</f>
        <v>113266.15384615383</v>
      </c>
    </row>
    <row r="33" spans="1:19">
      <c r="A33" s="1010"/>
      <c r="B33" s="1011"/>
      <c r="C33" s="1010"/>
      <c r="D33" s="274">
        <v>3</v>
      </c>
      <c r="E33" s="271">
        <f t="shared" si="16"/>
        <v>4791539.4862500001</v>
      </c>
      <c r="F33" s="271">
        <f t="shared" si="16"/>
        <v>884146.15384615376</v>
      </c>
      <c r="G33" s="271">
        <f t="shared" si="16"/>
        <v>27542.897435897437</v>
      </c>
      <c r="H33" s="905">
        <f t="shared" si="17"/>
        <v>217851.962</v>
      </c>
      <c r="I33" s="905">
        <f t="shared" si="17"/>
        <v>49418.207999999999</v>
      </c>
      <c r="J33" s="905"/>
      <c r="K33" s="905">
        <f t="shared" si="13"/>
        <v>5970498.707532051</v>
      </c>
      <c r="L33" s="905">
        <f t="shared" si="14"/>
        <v>1492624.6768830128</v>
      </c>
      <c r="M33" s="906">
        <f>K33+L33</f>
        <v>7463123.384415064</v>
      </c>
      <c r="N33" s="906"/>
      <c r="O33" s="271">
        <f>'DGSP_chitiet (truKH)'!K33</f>
        <v>5921080.4995320514</v>
      </c>
      <c r="P33" s="271">
        <f>'DGSP_chitiet (truKH)'!L33</f>
        <v>1480270.1248830128</v>
      </c>
      <c r="Q33" s="306">
        <f>'DGSP_chitiet (truKH)'!M33</f>
        <v>7401350.6244150642</v>
      </c>
      <c r="R33" s="271">
        <f>'DGSP_chitiet (truKH)'!N33</f>
        <v>0</v>
      </c>
      <c r="S33" s="905">
        <f>S28*1.2</f>
        <v>146545.3846153846</v>
      </c>
    </row>
    <row r="34" spans="1:19">
      <c r="A34" s="1010"/>
      <c r="B34" s="1011"/>
      <c r="C34" s="1010"/>
      <c r="D34" s="274">
        <v>4</v>
      </c>
      <c r="E34" s="271">
        <f t="shared" si="16"/>
        <v>6337813.1850000005</v>
      </c>
      <c r="F34" s="271">
        <f t="shared" si="16"/>
        <v>1150481.5384615385</v>
      </c>
      <c r="G34" s="271">
        <f t="shared" si="16"/>
        <v>35805.76666666667</v>
      </c>
      <c r="H34" s="905">
        <f t="shared" si="17"/>
        <v>217851.962</v>
      </c>
      <c r="I34" s="905">
        <f t="shared" si="17"/>
        <v>62230.336000000003</v>
      </c>
      <c r="J34" s="905"/>
      <c r="K34" s="905">
        <f t="shared" si="13"/>
        <v>7804182.7881282056</v>
      </c>
      <c r="L34" s="905">
        <f t="shared" si="14"/>
        <v>1951045.6970320514</v>
      </c>
      <c r="M34" s="906">
        <f>K34+L34</f>
        <v>9755228.4851602577</v>
      </c>
      <c r="N34" s="906"/>
      <c r="O34" s="271">
        <f>'DGSP_chitiet (truKH)'!K34</f>
        <v>7741952.4521282054</v>
      </c>
      <c r="P34" s="271">
        <f>'DGSP_chitiet (truKH)'!L34</f>
        <v>1935488.1130320514</v>
      </c>
      <c r="Q34" s="306">
        <f>'DGSP_chitiet (truKH)'!M34</f>
        <v>9677440.5651602559</v>
      </c>
      <c r="R34" s="271">
        <f>'DGSP_chitiet (truKH)'!N34</f>
        <v>0</v>
      </c>
      <c r="S34" s="905">
        <f>S29*1.2</f>
        <v>193836.92307692306</v>
      </c>
    </row>
    <row r="35" spans="1:19">
      <c r="A35" s="1010"/>
      <c r="B35" s="1011"/>
      <c r="C35" s="1010"/>
      <c r="D35" s="274" t="s">
        <v>13</v>
      </c>
      <c r="E35" s="271">
        <f t="shared" si="16"/>
        <v>8036805.2737500016</v>
      </c>
      <c r="F35" s="271">
        <f t="shared" si="16"/>
        <v>1504140</v>
      </c>
      <c r="G35" s="271">
        <f t="shared" si="16"/>
        <v>45445.780769230769</v>
      </c>
      <c r="H35" s="905">
        <f t="shared" si="17"/>
        <v>217851.962</v>
      </c>
      <c r="I35" s="905">
        <f t="shared" si="17"/>
        <v>65890.943999999989</v>
      </c>
      <c r="J35" s="905"/>
      <c r="K35" s="905">
        <f t="shared" si="13"/>
        <v>9870133.9605192319</v>
      </c>
      <c r="L35" s="905">
        <f t="shared" si="14"/>
        <v>2467533.490129808</v>
      </c>
      <c r="M35" s="906">
        <f>K35+L35</f>
        <v>12337667.45064904</v>
      </c>
      <c r="N35" s="906"/>
      <c r="O35" s="271">
        <f>'DGSP_chitiet (truKH)'!K35</f>
        <v>9804243.0165192317</v>
      </c>
      <c r="P35" s="271">
        <f>'DGSP_chitiet (truKH)'!L35</f>
        <v>2451060.7541298079</v>
      </c>
      <c r="Q35" s="306">
        <f>'DGSP_chitiet (truKH)'!M35</f>
        <v>12255303.77064904</v>
      </c>
      <c r="R35" s="271">
        <f>'DGSP_chitiet (truKH)'!N35</f>
        <v>0</v>
      </c>
      <c r="S35" s="905">
        <f>S30*1.2</f>
        <v>245799.23076923075</v>
      </c>
    </row>
    <row r="36" spans="1:19">
      <c r="A36" s="1010">
        <f>NhanCong!A21</f>
        <v>2</v>
      </c>
      <c r="B36" s="1011" t="str">
        <f>NhanCong!B21</f>
        <v>Xây tường vây</v>
      </c>
      <c r="C36" s="1010" t="str">
        <f>NhanCong!C21</f>
        <v>điểm</v>
      </c>
      <c r="D36" s="274">
        <v>1</v>
      </c>
      <c r="E36" s="271">
        <f>NhanCong!I21</f>
        <v>1985366.1093750005</v>
      </c>
      <c r="F36" s="271">
        <f>NhanCong!I22</f>
        <v>873230.76923076925</v>
      </c>
      <c r="G36" s="905">
        <f>Dcu!L$32</f>
        <v>10930.559027777779</v>
      </c>
      <c r="H36" s="905">
        <f>VLieu!J$28</f>
        <v>526229.16</v>
      </c>
      <c r="I36" s="905">
        <f>TBi!N13</f>
        <v>32945.471999999994</v>
      </c>
      <c r="J36" s="905"/>
      <c r="K36" s="905">
        <f t="shared" si="13"/>
        <v>3428702.0696335481</v>
      </c>
      <c r="L36" s="905">
        <f t="shared" si="14"/>
        <v>857175.51740838704</v>
      </c>
      <c r="M36" s="906">
        <f t="shared" si="15"/>
        <v>4285877.587041935</v>
      </c>
      <c r="N36" s="906"/>
      <c r="O36" s="271">
        <f>'DGSP_chitiet (truKH)'!K36</f>
        <v>3395756.5976335481</v>
      </c>
      <c r="P36" s="271">
        <f>'DGSP_chitiet (truKH)'!L36</f>
        <v>848939.14940838702</v>
      </c>
      <c r="Q36" s="306">
        <f>'DGSP_chitiet (truKH)'!M36</f>
        <v>4244695.7470419351</v>
      </c>
      <c r="R36" s="271">
        <f>'DGSP_chitiet (truKH)'!N36</f>
        <v>0</v>
      </c>
      <c r="S36" s="905">
        <f>NhanCong!J21</f>
        <v>65682.692307692312</v>
      </c>
    </row>
    <row r="37" spans="1:19">
      <c r="A37" s="1010"/>
      <c r="B37" s="1011"/>
      <c r="C37" s="1010"/>
      <c r="D37" s="274">
        <v>2</v>
      </c>
      <c r="E37" s="271">
        <f>NhanCong!I23</f>
        <v>2147136.6812500004</v>
      </c>
      <c r="F37" s="271">
        <f>NhanCong!I24</f>
        <v>1146115.3846153847</v>
      </c>
      <c r="G37" s="905">
        <f>Dcu!L$33</f>
        <v>14293.807959401711</v>
      </c>
      <c r="H37" s="905">
        <f>VLieu!J$28</f>
        <v>526229.16</v>
      </c>
      <c r="I37" s="905">
        <f>TBi!O13</f>
        <v>32945.471999999994</v>
      </c>
      <c r="J37" s="905"/>
      <c r="K37" s="905">
        <f t="shared" si="13"/>
        <v>3866720.5058247871</v>
      </c>
      <c r="L37" s="905">
        <f t="shared" si="14"/>
        <v>966680.12645619677</v>
      </c>
      <c r="M37" s="906">
        <f t="shared" si="15"/>
        <v>4833400.632280984</v>
      </c>
      <c r="N37" s="906"/>
      <c r="O37" s="271">
        <f>'DGSP_chitiet (truKH)'!K37</f>
        <v>3833775.033824787</v>
      </c>
      <c r="P37" s="271">
        <f>'DGSP_chitiet (truKH)'!L37</f>
        <v>958443.75845619675</v>
      </c>
      <c r="Q37" s="306">
        <f>'DGSP_chitiet (truKH)'!M37</f>
        <v>4792218.7922809841</v>
      </c>
      <c r="R37" s="271">
        <f>'DGSP_chitiet (truKH)'!N37</f>
        <v>0</v>
      </c>
      <c r="S37" s="905">
        <f>NhanCong!J23</f>
        <v>71034.615384615376</v>
      </c>
    </row>
    <row r="38" spans="1:19">
      <c r="A38" s="1010"/>
      <c r="B38" s="1011"/>
      <c r="C38" s="1010"/>
      <c r="D38" s="274">
        <v>3</v>
      </c>
      <c r="E38" s="271">
        <f>NhanCong!I25</f>
        <v>2382439.3312500007</v>
      </c>
      <c r="F38" s="271">
        <f>NhanCong!I26</f>
        <v>1528153.8461538462</v>
      </c>
      <c r="G38" s="905">
        <f>Dcu!L$34</f>
        <v>16816.24465811966</v>
      </c>
      <c r="H38" s="905">
        <f>VLieu!J$28</f>
        <v>526229.16</v>
      </c>
      <c r="I38" s="905">
        <f>TBi!P13</f>
        <v>40266.688000000002</v>
      </c>
      <c r="J38" s="905"/>
      <c r="K38" s="905">
        <f t="shared" si="13"/>
        <v>4493905.270061966</v>
      </c>
      <c r="L38" s="905">
        <f t="shared" si="14"/>
        <v>1123476.3175154915</v>
      </c>
      <c r="M38" s="906">
        <f t="shared" si="15"/>
        <v>5617381.5875774575</v>
      </c>
      <c r="N38" s="906"/>
      <c r="O38" s="271">
        <f>'DGSP_chitiet (truKH)'!K38</f>
        <v>4453638.5820619659</v>
      </c>
      <c r="P38" s="271">
        <f>'DGSP_chitiet (truKH)'!L38</f>
        <v>1113409.6455154915</v>
      </c>
      <c r="Q38" s="306">
        <f>'DGSP_chitiet (truKH)'!M38</f>
        <v>5567048.2275774572</v>
      </c>
      <c r="R38" s="271">
        <f>'DGSP_chitiet (truKH)'!N38</f>
        <v>0</v>
      </c>
      <c r="S38" s="905">
        <f>NhanCong!J25</f>
        <v>78819.230769230766</v>
      </c>
    </row>
    <row r="39" spans="1:19">
      <c r="A39" s="1010"/>
      <c r="B39" s="1011"/>
      <c r="C39" s="1010"/>
      <c r="D39" s="274">
        <v>4</v>
      </c>
      <c r="E39" s="271">
        <f>NhanCong!I27</f>
        <v>2779512.5531250006</v>
      </c>
      <c r="F39" s="271">
        <f>NhanCong!I28</f>
        <v>2619692.307692308</v>
      </c>
      <c r="G39" s="905">
        <f>Dcu!L$35</f>
        <v>21861.118055555558</v>
      </c>
      <c r="H39" s="905">
        <f>VLieu!J$28</f>
        <v>526229.16</v>
      </c>
      <c r="I39" s="905">
        <f>TBi!Q13</f>
        <v>47587.904000000002</v>
      </c>
      <c r="J39" s="905"/>
      <c r="K39" s="905">
        <f t="shared" si="13"/>
        <v>5994883.0428728648</v>
      </c>
      <c r="L39" s="905">
        <f t="shared" si="14"/>
        <v>1498720.7607182162</v>
      </c>
      <c r="M39" s="906">
        <f t="shared" si="15"/>
        <v>7493603.8035910809</v>
      </c>
      <c r="N39" s="906"/>
      <c r="O39" s="271">
        <f>'DGSP_chitiet (truKH)'!K39</f>
        <v>5947295.1388728647</v>
      </c>
      <c r="P39" s="271">
        <f>'DGSP_chitiet (truKH)'!L39</f>
        <v>1486823.7847182162</v>
      </c>
      <c r="Q39" s="306">
        <f>'DGSP_chitiet (truKH)'!M39</f>
        <v>7434118.9235910811</v>
      </c>
      <c r="R39" s="271">
        <f>'DGSP_chitiet (truKH)'!N39</f>
        <v>0</v>
      </c>
      <c r="S39" s="905">
        <f>NhanCong!J27</f>
        <v>91955.76923076922</v>
      </c>
    </row>
    <row r="40" spans="1:19">
      <c r="A40" s="1010"/>
      <c r="B40" s="1011"/>
      <c r="C40" s="1010"/>
      <c r="D40" s="274" t="s">
        <v>13</v>
      </c>
      <c r="E40" s="271">
        <f>NhanCong!I29</f>
        <v>3176585.7750000008</v>
      </c>
      <c r="F40" s="271">
        <f>NhanCong!I30</f>
        <v>3056307.6923076925</v>
      </c>
      <c r="G40" s="905">
        <f>Dcu!L$36</f>
        <v>27746.803685897437</v>
      </c>
      <c r="H40" s="905">
        <f>VLieu!J$28</f>
        <v>526229.16</v>
      </c>
      <c r="I40" s="905">
        <f>TBi!R13</f>
        <v>53078.815999999992</v>
      </c>
      <c r="J40" s="905"/>
      <c r="K40" s="905">
        <f t="shared" si="13"/>
        <v>6839948.2469935901</v>
      </c>
      <c r="L40" s="905">
        <f t="shared" si="14"/>
        <v>1709987.0617483975</v>
      </c>
      <c r="M40" s="906">
        <f t="shared" si="15"/>
        <v>8549935.3087419868</v>
      </c>
      <c r="N40" s="906"/>
      <c r="O40" s="271">
        <f>'DGSP_chitiet (truKH)'!K40</f>
        <v>6786869.4309935905</v>
      </c>
      <c r="P40" s="271">
        <f>'DGSP_chitiet (truKH)'!L40</f>
        <v>1696717.3577483976</v>
      </c>
      <c r="Q40" s="306">
        <f>'DGSP_chitiet (truKH)'!M40</f>
        <v>8483586.7887419872</v>
      </c>
      <c r="R40" s="271">
        <f>'DGSP_chitiet (truKH)'!N40</f>
        <v>0</v>
      </c>
      <c r="S40" s="905">
        <f>NhanCong!J29</f>
        <v>105092.30769230769</v>
      </c>
    </row>
    <row r="41" spans="1:19">
      <c r="A41" s="1010">
        <f>NhanCong!A31</f>
        <v>3</v>
      </c>
      <c r="B41" s="1011" t="str">
        <f>NhanCong!B31</f>
        <v>Tiếp điểm</v>
      </c>
      <c r="C41" s="1010" t="str">
        <f>NhanCong!C31</f>
        <v>điểm</v>
      </c>
      <c r="D41" s="274">
        <v>1</v>
      </c>
      <c r="E41" s="271">
        <f>NhanCong!I31</f>
        <v>429520.47187500005</v>
      </c>
      <c r="F41" s="271">
        <f>NhanCong!I32</f>
        <v>65492.307692307695</v>
      </c>
      <c r="G41" s="905">
        <f>Dcu!M32</f>
        <v>2160.2465277777783</v>
      </c>
      <c r="H41" s="905">
        <f>VLieu!K$28</f>
        <v>148510</v>
      </c>
      <c r="I41" s="905">
        <f>TBi!N15</f>
        <v>32945.471999999994</v>
      </c>
      <c r="J41" s="905"/>
      <c r="K41" s="905">
        <f t="shared" si="13"/>
        <v>678628.4980950855</v>
      </c>
      <c r="L41" s="905">
        <f t="shared" si="14"/>
        <v>169657.12452377137</v>
      </c>
      <c r="M41" s="906">
        <f>K41+L41</f>
        <v>848285.62261885684</v>
      </c>
      <c r="N41" s="906"/>
      <c r="O41" s="271">
        <f>'DGSP_chitiet (truKH)'!K41</f>
        <v>645683.02609508554</v>
      </c>
      <c r="P41" s="271">
        <f>'DGSP_chitiet (truKH)'!L41</f>
        <v>161420.75652377139</v>
      </c>
      <c r="Q41" s="306">
        <f>'DGSP_chitiet (truKH)'!M41</f>
        <v>807103.78261885699</v>
      </c>
      <c r="R41" s="271">
        <f>'DGSP_chitiet (truKH)'!N41</f>
        <v>0</v>
      </c>
      <c r="S41" s="905">
        <f>NhanCong!J31</f>
        <v>13136.538461538461</v>
      </c>
    </row>
    <row r="42" spans="1:19">
      <c r="A42" s="1010"/>
      <c r="B42" s="1011"/>
      <c r="C42" s="1010"/>
      <c r="D42" s="274">
        <v>2</v>
      </c>
      <c r="E42" s="271">
        <f>NhanCong!I33</f>
        <v>540877.63125000009</v>
      </c>
      <c r="F42" s="271">
        <f>NhanCong!I34</f>
        <v>65492.307692307695</v>
      </c>
      <c r="G42" s="905">
        <f>Dcu!M33</f>
        <v>2824.9377670940175</v>
      </c>
      <c r="H42" s="905">
        <f>VLieu!K$28</f>
        <v>148510</v>
      </c>
      <c r="I42" s="905">
        <f>TBi!O15</f>
        <v>42096.991999999998</v>
      </c>
      <c r="J42" s="905"/>
      <c r="K42" s="905">
        <f t="shared" si="13"/>
        <v>799801.86870940181</v>
      </c>
      <c r="L42" s="905">
        <f t="shared" si="14"/>
        <v>199950.46717735045</v>
      </c>
      <c r="M42" s="906">
        <f t="shared" si="15"/>
        <v>999752.33588675223</v>
      </c>
      <c r="N42" s="906"/>
      <c r="O42" s="271">
        <f>'DGSP_chitiet (truKH)'!K42</f>
        <v>757704.87670940184</v>
      </c>
      <c r="P42" s="271">
        <f>'DGSP_chitiet (truKH)'!L42</f>
        <v>189426.21917735046</v>
      </c>
      <c r="Q42" s="306">
        <f>'DGSP_chitiet (truKH)'!M42</f>
        <v>947131.09588675224</v>
      </c>
      <c r="R42" s="271">
        <f>'DGSP_chitiet (truKH)'!N42</f>
        <v>0</v>
      </c>
      <c r="S42" s="905">
        <f>NhanCong!J33</f>
        <v>16542.307692307691</v>
      </c>
    </row>
    <row r="43" spans="1:19">
      <c r="A43" s="1010"/>
      <c r="B43" s="1011"/>
      <c r="C43" s="1010"/>
      <c r="D43" s="274">
        <v>3</v>
      </c>
      <c r="E43" s="271">
        <f>NhanCong!I35</f>
        <v>652234.79062500014</v>
      </c>
      <c r="F43" s="271">
        <f>NhanCong!I36</f>
        <v>98238.461538461546</v>
      </c>
      <c r="G43" s="905">
        <f>Dcu!M34</f>
        <v>3323.4561965811972</v>
      </c>
      <c r="H43" s="905">
        <f>VLieu!K$28</f>
        <v>148510</v>
      </c>
      <c r="I43" s="905">
        <f>TBi!P15</f>
        <v>49418.207999999999</v>
      </c>
      <c r="J43" s="905"/>
      <c r="K43" s="905">
        <f t="shared" si="13"/>
        <v>951724.91636004287</v>
      </c>
      <c r="L43" s="905">
        <f t="shared" si="14"/>
        <v>237931.22909001072</v>
      </c>
      <c r="M43" s="906">
        <f t="shared" si="15"/>
        <v>1189656.1454500535</v>
      </c>
      <c r="N43" s="906"/>
      <c r="O43" s="271">
        <f>'DGSP_chitiet (truKH)'!K43</f>
        <v>902306.70836004289</v>
      </c>
      <c r="P43" s="271">
        <f>'DGSP_chitiet (truKH)'!L43</f>
        <v>225576.67709001072</v>
      </c>
      <c r="Q43" s="306">
        <f>'DGSP_chitiet (truKH)'!M43</f>
        <v>1127883.3854500535</v>
      </c>
      <c r="R43" s="271">
        <f>'DGSP_chitiet (truKH)'!N43</f>
        <v>0</v>
      </c>
      <c r="S43" s="905">
        <f>NhanCong!J35</f>
        <v>19948.076923076922</v>
      </c>
    </row>
    <row r="44" spans="1:19">
      <c r="A44" s="1010"/>
      <c r="B44" s="1011"/>
      <c r="C44" s="1010"/>
      <c r="D44" s="274">
        <v>4</v>
      </c>
      <c r="E44" s="271">
        <f>NhanCong!I37</f>
        <v>811316.44687500014</v>
      </c>
      <c r="F44" s="271">
        <f>NhanCong!I38</f>
        <v>123707.69230769233</v>
      </c>
      <c r="G44" s="905">
        <f>Dcu!M35</f>
        <v>4154.3202457264961</v>
      </c>
      <c r="H44" s="905">
        <f>VLieu!K$28</f>
        <v>148510</v>
      </c>
      <c r="I44" s="905">
        <f>TBi!Q15</f>
        <v>62230.336000000003</v>
      </c>
      <c r="J44" s="905"/>
      <c r="K44" s="905">
        <f t="shared" si="13"/>
        <v>1149918.7954284188</v>
      </c>
      <c r="L44" s="905">
        <f t="shared" si="14"/>
        <v>287479.6988571047</v>
      </c>
      <c r="M44" s="906">
        <f t="shared" si="15"/>
        <v>1437398.4942855234</v>
      </c>
      <c r="N44" s="906"/>
      <c r="O44" s="271">
        <f>'DGSP_chitiet (truKH)'!K44</f>
        <v>1087688.4594284189</v>
      </c>
      <c r="P44" s="271">
        <f>'DGSP_chitiet (truKH)'!L44</f>
        <v>271922.11485710472</v>
      </c>
      <c r="Q44" s="306">
        <f>'DGSP_chitiet (truKH)'!M44</f>
        <v>1359610.5742855235</v>
      </c>
      <c r="R44" s="271">
        <f>'DGSP_chitiet (truKH)'!N44</f>
        <v>0</v>
      </c>
      <c r="S44" s="905">
        <f>NhanCong!J37</f>
        <v>24813.461538461539</v>
      </c>
    </row>
    <row r="45" spans="1:19">
      <c r="A45" s="1010"/>
      <c r="B45" s="1011"/>
      <c r="C45" s="1010"/>
      <c r="D45" s="274" t="s">
        <v>13</v>
      </c>
      <c r="E45" s="271">
        <f>NhanCong!I39</f>
        <v>1081755.2625000002</v>
      </c>
      <c r="F45" s="271">
        <f>NhanCong!I40</f>
        <v>123707.69230769233</v>
      </c>
      <c r="G45" s="905">
        <f>Dcu!M36</f>
        <v>5483.7027243589755</v>
      </c>
      <c r="H45" s="905">
        <f>VLieu!K$28</f>
        <v>148510</v>
      </c>
      <c r="I45" s="905">
        <f>TBi!R15</f>
        <v>65890.943999999989</v>
      </c>
      <c r="J45" s="905"/>
      <c r="K45" s="905">
        <f t="shared" si="13"/>
        <v>1425347.6015320513</v>
      </c>
      <c r="L45" s="905">
        <f t="shared" si="14"/>
        <v>356336.90038301283</v>
      </c>
      <c r="M45" s="906">
        <f t="shared" si="15"/>
        <v>1781684.5019150642</v>
      </c>
      <c r="N45" s="906"/>
      <c r="O45" s="271">
        <f>'DGSP_chitiet (truKH)'!K45</f>
        <v>1359456.6575320514</v>
      </c>
      <c r="P45" s="271">
        <f>'DGSP_chitiet (truKH)'!L45</f>
        <v>339864.16438301286</v>
      </c>
      <c r="Q45" s="306">
        <f>'DGSP_chitiet (truKH)'!M45</f>
        <v>1699320.8219150642</v>
      </c>
      <c r="R45" s="271">
        <f>'DGSP_chitiet (truKH)'!N45</f>
        <v>0</v>
      </c>
      <c r="S45" s="905">
        <f>NhanCong!J39</f>
        <v>33084.615384615383</v>
      </c>
    </row>
    <row r="46" spans="1:19">
      <c r="A46" s="1010" t="s">
        <v>360</v>
      </c>
      <c r="B46" s="1011" t="s">
        <v>442</v>
      </c>
      <c r="C46" s="1010"/>
      <c r="D46" s="274">
        <v>1</v>
      </c>
      <c r="E46" s="271">
        <f t="shared" ref="E46:F50" si="18">E41*1.25</f>
        <v>536900.58984375</v>
      </c>
      <c r="F46" s="271">
        <f t="shared" si="18"/>
        <v>81865.384615384624</v>
      </c>
      <c r="G46" s="905">
        <f>Dcu!L38</f>
        <v>1620.1848958333337</v>
      </c>
      <c r="H46" s="905">
        <f>VLieu!K$28</f>
        <v>148510</v>
      </c>
      <c r="I46" s="905">
        <f>I41</f>
        <v>32945.471999999994</v>
      </c>
      <c r="J46" s="905"/>
      <c r="K46" s="905">
        <f t="shared" si="13"/>
        <v>801841.63135496795</v>
      </c>
      <c r="L46" s="905">
        <f t="shared" si="14"/>
        <v>200460.40783874199</v>
      </c>
      <c r="M46" s="906">
        <f>K46+L46</f>
        <v>1002302.03919371</v>
      </c>
      <c r="N46" s="906"/>
      <c r="O46" s="271">
        <f>'DGSP_chitiet (truKH)'!K46</f>
        <v>768896.159354968</v>
      </c>
      <c r="P46" s="271">
        <f>'DGSP_chitiet (truKH)'!L46</f>
        <v>192224.039838742</v>
      </c>
      <c r="Q46" s="306">
        <f>'DGSP_chitiet (truKH)'!M46</f>
        <v>961120.19919371</v>
      </c>
      <c r="R46" s="271">
        <f>'DGSP_chitiet (truKH)'!N46</f>
        <v>0</v>
      </c>
      <c r="S46" s="905">
        <f>S41*1.25</f>
        <v>16420.673076923078</v>
      </c>
    </row>
    <row r="47" spans="1:19">
      <c r="A47" s="1010"/>
      <c r="B47" s="1011"/>
      <c r="C47" s="1010"/>
      <c r="D47" s="274">
        <v>2</v>
      </c>
      <c r="E47" s="271">
        <f t="shared" si="18"/>
        <v>676097.03906250012</v>
      </c>
      <c r="F47" s="271">
        <f t="shared" si="18"/>
        <v>81865.384615384624</v>
      </c>
      <c r="G47" s="905">
        <f>Dcu!L39</f>
        <v>2118.7033253205132</v>
      </c>
      <c r="H47" s="905">
        <f>VLieu!K$28</f>
        <v>148510</v>
      </c>
      <c r="I47" s="905">
        <f>I42</f>
        <v>42096.991999999998</v>
      </c>
      <c r="J47" s="905"/>
      <c r="K47" s="905">
        <f t="shared" si="13"/>
        <v>950688.11900320521</v>
      </c>
      <c r="L47" s="905">
        <f t="shared" si="14"/>
        <v>237672.0297508013</v>
      </c>
      <c r="M47" s="906">
        <f>K47+L47</f>
        <v>1188360.1487540065</v>
      </c>
      <c r="N47" s="906"/>
      <c r="O47" s="271">
        <f>'DGSP_chitiet (truKH)'!K47</f>
        <v>908591.12700320524</v>
      </c>
      <c r="P47" s="271">
        <f>'DGSP_chitiet (truKH)'!L47</f>
        <v>227147.78175080131</v>
      </c>
      <c r="Q47" s="306">
        <f>'DGSP_chitiet (truKH)'!M47</f>
        <v>1135738.9087540065</v>
      </c>
      <c r="R47" s="271">
        <f>'DGSP_chitiet (truKH)'!N47</f>
        <v>0</v>
      </c>
      <c r="S47" s="905">
        <f>S42*1.25</f>
        <v>20677.884615384613</v>
      </c>
    </row>
    <row r="48" spans="1:19">
      <c r="A48" s="1010"/>
      <c r="B48" s="1011"/>
      <c r="C48" s="1010"/>
      <c r="D48" s="274">
        <v>3</v>
      </c>
      <c r="E48" s="271">
        <f t="shared" si="18"/>
        <v>815293.48828125023</v>
      </c>
      <c r="F48" s="271">
        <f t="shared" si="18"/>
        <v>122798.07692307694</v>
      </c>
      <c r="G48" s="905">
        <f>Dcu!L40</f>
        <v>2492.5921474358979</v>
      </c>
      <c r="H48" s="905">
        <f>VLieu!K$28</f>
        <v>148510</v>
      </c>
      <c r="I48" s="905">
        <f>I43</f>
        <v>49418.207999999999</v>
      </c>
      <c r="J48" s="905"/>
      <c r="K48" s="905">
        <f t="shared" si="13"/>
        <v>1138512.3653517631</v>
      </c>
      <c r="L48" s="905">
        <f t="shared" si="14"/>
        <v>284628.09133794077</v>
      </c>
      <c r="M48" s="906">
        <f>K48+L48</f>
        <v>1423140.4566897037</v>
      </c>
      <c r="N48" s="906"/>
      <c r="O48" s="271">
        <f>'DGSP_chitiet (truKH)'!K48</f>
        <v>1089094.157351763</v>
      </c>
      <c r="P48" s="271">
        <f>'DGSP_chitiet (truKH)'!L48</f>
        <v>272273.53933794075</v>
      </c>
      <c r="Q48" s="306">
        <f>'DGSP_chitiet (truKH)'!M48</f>
        <v>1361367.6966897037</v>
      </c>
      <c r="R48" s="271">
        <f>'DGSP_chitiet (truKH)'!N48</f>
        <v>0</v>
      </c>
      <c r="S48" s="905">
        <f>S43*1.25</f>
        <v>24935.096153846152</v>
      </c>
    </row>
    <row r="49" spans="1:19">
      <c r="A49" s="1010"/>
      <c r="B49" s="1011"/>
      <c r="C49" s="1010"/>
      <c r="D49" s="274">
        <v>4</v>
      </c>
      <c r="E49" s="271">
        <f t="shared" si="18"/>
        <v>1014145.5585937502</v>
      </c>
      <c r="F49" s="271">
        <f t="shared" si="18"/>
        <v>154634.6153846154</v>
      </c>
      <c r="G49" s="905">
        <f>Dcu!L41</f>
        <v>3115.7401842948721</v>
      </c>
      <c r="H49" s="905">
        <f>VLieu!K$28</f>
        <v>148510</v>
      </c>
      <c r="I49" s="905">
        <f>I44</f>
        <v>62230.336000000003</v>
      </c>
      <c r="J49" s="905"/>
      <c r="K49" s="905">
        <f t="shared" si="13"/>
        <v>1382636.2501626604</v>
      </c>
      <c r="L49" s="905">
        <f t="shared" si="14"/>
        <v>345659.06254066509</v>
      </c>
      <c r="M49" s="906">
        <f>K49+L49</f>
        <v>1728295.3127033254</v>
      </c>
      <c r="N49" s="906"/>
      <c r="O49" s="271">
        <f>'DGSP_chitiet (truKH)'!K49</f>
        <v>1320405.9141626605</v>
      </c>
      <c r="P49" s="271">
        <f>'DGSP_chitiet (truKH)'!L49</f>
        <v>330101.47854066512</v>
      </c>
      <c r="Q49" s="306">
        <f>'DGSP_chitiet (truKH)'!M49</f>
        <v>1650507.3927033255</v>
      </c>
      <c r="R49" s="271">
        <f>'DGSP_chitiet (truKH)'!N49</f>
        <v>0</v>
      </c>
      <c r="S49" s="905">
        <f>S44*1.25</f>
        <v>31016.826923076922</v>
      </c>
    </row>
    <row r="50" spans="1:19">
      <c r="A50" s="1010"/>
      <c r="B50" s="1011"/>
      <c r="C50" s="1010"/>
      <c r="D50" s="274" t="s">
        <v>13</v>
      </c>
      <c r="E50" s="271">
        <f t="shared" si="18"/>
        <v>1352194.0781250002</v>
      </c>
      <c r="F50" s="271">
        <f t="shared" si="18"/>
        <v>154634.6153846154</v>
      </c>
      <c r="G50" s="905">
        <f>Dcu!L42</f>
        <v>4112.7770432692314</v>
      </c>
      <c r="H50" s="905">
        <f>VLieu!K$28</f>
        <v>148510</v>
      </c>
      <c r="I50" s="905">
        <f>I45</f>
        <v>65890.943999999989</v>
      </c>
      <c r="J50" s="905"/>
      <c r="K50" s="905">
        <f t="shared" si="13"/>
        <v>1725342.4145528849</v>
      </c>
      <c r="L50" s="905">
        <f t="shared" si="14"/>
        <v>431335.60363822122</v>
      </c>
      <c r="M50" s="906">
        <f>K50+L50</f>
        <v>2156678.0181911062</v>
      </c>
      <c r="N50" s="906"/>
      <c r="O50" s="271">
        <f>'DGSP_chitiet (truKH)'!K50</f>
        <v>1659451.470552885</v>
      </c>
      <c r="P50" s="271">
        <f>'DGSP_chitiet (truKH)'!L50</f>
        <v>414862.86763822124</v>
      </c>
      <c r="Q50" s="306">
        <f>'DGSP_chitiet (truKH)'!M50</f>
        <v>2074314.3381911062</v>
      </c>
      <c r="R50" s="271">
        <f>'DGSP_chitiet (truKH)'!N50</f>
        <v>0</v>
      </c>
      <c r="S50" s="905">
        <f>S45*1.25</f>
        <v>41355.769230769227</v>
      </c>
    </row>
    <row r="51" spans="1:19" ht="12.75" customHeight="1">
      <c r="A51" s="1010">
        <f>NhanCong!A41</f>
        <v>4</v>
      </c>
      <c r="B51" s="1011" t="str">
        <f>NhanCong!B41</f>
        <v>Đo ngắm</v>
      </c>
      <c r="C51" s="1010" t="str">
        <f>NhanCong!C41</f>
        <v>điểm</v>
      </c>
      <c r="D51" s="274">
        <v>1</v>
      </c>
      <c r="E51" s="271">
        <f>NhanCong!I41</f>
        <v>1348663.9375000002</v>
      </c>
      <c r="F51" s="271">
        <f>NhanCong!I42</f>
        <v>81865.384615384624</v>
      </c>
      <c r="G51" s="905">
        <f>Dcu!N32</f>
        <v>5743.5042735042734</v>
      </c>
      <c r="H51" s="905">
        <f>VLieu!L$28</f>
        <v>25375</v>
      </c>
      <c r="I51" s="905">
        <f>TBi!N17</f>
        <v>16379</v>
      </c>
      <c r="J51" s="905"/>
      <c r="K51" s="905">
        <f t="shared" si="13"/>
        <v>1478026.8263888892</v>
      </c>
      <c r="L51" s="905">
        <f t="shared" si="14"/>
        <v>369506.70659722231</v>
      </c>
      <c r="M51" s="906">
        <f t="shared" si="15"/>
        <v>1847533.5329861115</v>
      </c>
      <c r="N51" s="906"/>
      <c r="O51" s="271">
        <f>'DGSP_chitiet (truKH)'!K51</f>
        <v>1461647.8263888892</v>
      </c>
      <c r="P51" s="271">
        <f>'DGSP_chitiet (truKH)'!L51</f>
        <v>365411.95659722231</v>
      </c>
      <c r="Q51" s="306">
        <f>'DGSP_chitiet (truKH)'!M51</f>
        <v>1827059.7829861115</v>
      </c>
      <c r="R51" s="271">
        <f>'DGSP_chitiet (truKH)'!N51</f>
        <v>0</v>
      </c>
      <c r="S51" s="905">
        <f>NhanCong!J41</f>
        <v>40747.596153846156</v>
      </c>
    </row>
    <row r="52" spans="1:19">
      <c r="A52" s="1010"/>
      <c r="B52" s="1011"/>
      <c r="C52" s="1010"/>
      <c r="D52" s="274">
        <v>2</v>
      </c>
      <c r="E52" s="271">
        <f>NhanCong!I43</f>
        <v>1630474.3125000002</v>
      </c>
      <c r="F52" s="271">
        <f>NhanCong!I44</f>
        <v>114611.53846153847</v>
      </c>
      <c r="G52" s="905">
        <f>Dcu!N33</f>
        <v>8354.1880341880333</v>
      </c>
      <c r="H52" s="905">
        <f>VLieu!L$28</f>
        <v>25375</v>
      </c>
      <c r="I52" s="905">
        <f>TBi!O17</f>
        <v>24777</v>
      </c>
      <c r="J52" s="905"/>
      <c r="K52" s="905">
        <f t="shared" si="13"/>
        <v>1803592.0389957267</v>
      </c>
      <c r="L52" s="905">
        <f t="shared" si="14"/>
        <v>450898.00974893168</v>
      </c>
      <c r="M52" s="906">
        <f t="shared" si="15"/>
        <v>2254490.0487446585</v>
      </c>
      <c r="N52" s="906"/>
      <c r="O52" s="271">
        <f>'DGSP_chitiet (truKH)'!K52</f>
        <v>1778815.0389957267</v>
      </c>
      <c r="P52" s="271">
        <f>'DGSP_chitiet (truKH)'!L52</f>
        <v>444703.75974893168</v>
      </c>
      <c r="Q52" s="306">
        <f>'DGSP_chitiet (truKH)'!M52</f>
        <v>2223518.7987446585</v>
      </c>
      <c r="R52" s="271">
        <f>'DGSP_chitiet (truKH)'!N52</f>
        <v>0</v>
      </c>
      <c r="S52" s="905">
        <f>NhanCong!J43</f>
        <v>49262.019230769234</v>
      </c>
    </row>
    <row r="53" spans="1:19">
      <c r="A53" s="1010"/>
      <c r="B53" s="1011"/>
      <c r="C53" s="1010"/>
      <c r="D53" s="274">
        <v>3</v>
      </c>
      <c r="E53" s="271">
        <f>NhanCong!I45</f>
        <v>1972672.6249999998</v>
      </c>
      <c r="F53" s="271">
        <f>NhanCong!I46</f>
        <v>229223.07692307694</v>
      </c>
      <c r="G53" s="905">
        <f>Dcu!N34</f>
        <v>10442.735042735041</v>
      </c>
      <c r="H53" s="905">
        <f>VLieu!L$28</f>
        <v>25375</v>
      </c>
      <c r="I53" s="905">
        <f>TBi!P17</f>
        <v>29717</v>
      </c>
      <c r="J53" s="905"/>
      <c r="K53" s="905">
        <f t="shared" si="13"/>
        <v>2267430.4369658115</v>
      </c>
      <c r="L53" s="905">
        <f t="shared" si="14"/>
        <v>566857.60924145288</v>
      </c>
      <c r="M53" s="906">
        <f t="shared" si="15"/>
        <v>2834288.0462072645</v>
      </c>
      <c r="N53" s="906"/>
      <c r="O53" s="271">
        <f>'DGSP_chitiet (truKH)'!K53</f>
        <v>2237713.4369658115</v>
      </c>
      <c r="P53" s="271">
        <f>'DGSP_chitiet (truKH)'!L53</f>
        <v>559428.35924145288</v>
      </c>
      <c r="Q53" s="306">
        <f>'DGSP_chitiet (truKH)'!M53</f>
        <v>2797141.7962072645</v>
      </c>
      <c r="R53" s="271">
        <f>'DGSP_chitiet (truKH)'!N53</f>
        <v>0</v>
      </c>
      <c r="S53" s="905">
        <f>NhanCong!J45</f>
        <v>59600.961538461546</v>
      </c>
    </row>
    <row r="54" spans="1:19">
      <c r="A54" s="1010"/>
      <c r="B54" s="1011"/>
      <c r="C54" s="1010"/>
      <c r="D54" s="274">
        <v>4</v>
      </c>
      <c r="E54" s="271">
        <f>NhanCong!I47</f>
        <v>2455776.125</v>
      </c>
      <c r="F54" s="271">
        <f>NhanCong!I48</f>
        <v>409326.92307692312</v>
      </c>
      <c r="G54" s="905">
        <f>Dcu!N35</f>
        <v>14097.692307692307</v>
      </c>
      <c r="H54" s="905">
        <f>VLieu!L$28</f>
        <v>25375</v>
      </c>
      <c r="I54" s="905">
        <f>TBi!Q17</f>
        <v>40585</v>
      </c>
      <c r="J54" s="905"/>
      <c r="K54" s="905">
        <f t="shared" si="13"/>
        <v>2945160.7403846155</v>
      </c>
      <c r="L54" s="905">
        <f t="shared" si="14"/>
        <v>736290.18509615387</v>
      </c>
      <c r="M54" s="906">
        <f t="shared" si="15"/>
        <v>3681450.9254807695</v>
      </c>
      <c r="N54" s="906"/>
      <c r="O54" s="271">
        <f>'DGSP_chitiet (truKH)'!K54</f>
        <v>2904575.7403846155</v>
      </c>
      <c r="P54" s="271">
        <f>'DGSP_chitiet (truKH)'!L54</f>
        <v>726143.93509615387</v>
      </c>
      <c r="Q54" s="306">
        <f>'DGSP_chitiet (truKH)'!M54</f>
        <v>3630719.6754807695</v>
      </c>
      <c r="R54" s="271">
        <f>'DGSP_chitiet (truKH)'!N54</f>
        <v>0</v>
      </c>
      <c r="S54" s="905">
        <f>NhanCong!J47</f>
        <v>74197.115384615376</v>
      </c>
    </row>
    <row r="55" spans="1:19">
      <c r="A55" s="1010"/>
      <c r="B55" s="1011"/>
      <c r="C55" s="1010"/>
      <c r="D55" s="274" t="s">
        <v>13</v>
      </c>
      <c r="E55" s="271">
        <f>NhanCong!I49</f>
        <v>3824569.375</v>
      </c>
      <c r="F55" s="271">
        <f>NhanCong!I50</f>
        <v>509384.61538461538</v>
      </c>
      <c r="G55" s="905">
        <f>Dcu!N36</f>
        <v>18796.923076923074</v>
      </c>
      <c r="H55" s="905">
        <f>VLieu!L$28</f>
        <v>25375</v>
      </c>
      <c r="I55" s="905">
        <f>TBi!R17</f>
        <v>53923</v>
      </c>
      <c r="J55" s="905"/>
      <c r="K55" s="905">
        <f t="shared" si="13"/>
        <v>4432048.913461538</v>
      </c>
      <c r="L55" s="905">
        <f t="shared" si="14"/>
        <v>1108012.2283653845</v>
      </c>
      <c r="M55" s="906">
        <f t="shared" si="15"/>
        <v>5540061.1418269221</v>
      </c>
      <c r="N55" s="906"/>
      <c r="O55" s="271">
        <f>'DGSP_chitiet (truKH)'!K55</f>
        <v>4378125.913461538</v>
      </c>
      <c r="P55" s="271">
        <f>'DGSP_chitiet (truKH)'!L55</f>
        <v>1094531.4783653845</v>
      </c>
      <c r="Q55" s="306">
        <f>'DGSP_chitiet (truKH)'!M55</f>
        <v>5472657.3918269221</v>
      </c>
      <c r="R55" s="271">
        <f>'DGSP_chitiet (truKH)'!N55</f>
        <v>0</v>
      </c>
      <c r="S55" s="905">
        <f>NhanCong!J49</f>
        <v>115552.88461538461</v>
      </c>
    </row>
    <row r="56" spans="1:19" ht="12.75" customHeight="1">
      <c r="A56" s="1010" t="s">
        <v>361</v>
      </c>
      <c r="B56" s="1011" t="s">
        <v>443</v>
      </c>
      <c r="C56" s="1010"/>
      <c r="D56" s="274">
        <v>1</v>
      </c>
      <c r="E56" s="271">
        <f t="shared" ref="E56:F60" si="19">E51*0.1</f>
        <v>134866.39375000002</v>
      </c>
      <c r="F56" s="271">
        <f t="shared" si="19"/>
        <v>8186.5384615384628</v>
      </c>
      <c r="G56" s="905">
        <f>Dcu!N38</f>
        <v>574.35042735042737</v>
      </c>
      <c r="H56" s="905">
        <f>VLieu!L$28*0.1</f>
        <v>2537.5</v>
      </c>
      <c r="I56" s="905">
        <f>0.1*I51</f>
        <v>1637.9</v>
      </c>
      <c r="J56" s="905"/>
      <c r="K56" s="905">
        <f t="shared" si="13"/>
        <v>147802.68263888892</v>
      </c>
      <c r="L56" s="905">
        <f t="shared" si="14"/>
        <v>36950.670659722229</v>
      </c>
      <c r="M56" s="906">
        <f t="shared" ref="M56:M62" si="20">K56+L56</f>
        <v>184753.35329861115</v>
      </c>
      <c r="N56" s="906"/>
      <c r="O56" s="271">
        <f>'DGSP_chitiet (truKH)'!K56</f>
        <v>146164.78263888892</v>
      </c>
      <c r="P56" s="271">
        <f>'DGSP_chitiet (truKH)'!L56</f>
        <v>36541.195659722231</v>
      </c>
      <c r="Q56" s="306">
        <f>'DGSP_chitiet (truKH)'!M56</f>
        <v>182705.97829861115</v>
      </c>
      <c r="R56" s="271">
        <f>'DGSP_chitiet (truKH)'!N56</f>
        <v>0</v>
      </c>
      <c r="S56" s="905">
        <f>S51*0.1</f>
        <v>4074.7596153846157</v>
      </c>
    </row>
    <row r="57" spans="1:19">
      <c r="A57" s="1010"/>
      <c r="B57" s="1011"/>
      <c r="C57" s="1010"/>
      <c r="D57" s="274">
        <v>2</v>
      </c>
      <c r="E57" s="271">
        <f t="shared" si="19"/>
        <v>163047.43125000002</v>
      </c>
      <c r="F57" s="271">
        <f t="shared" si="19"/>
        <v>11461.153846153848</v>
      </c>
      <c r="G57" s="905">
        <f>Dcu!N39</f>
        <v>835.41880341880335</v>
      </c>
      <c r="H57" s="905">
        <f>VLieu!L$28*0.1</f>
        <v>2537.5</v>
      </c>
      <c r="I57" s="905">
        <f>0.1*I52</f>
        <v>2477.7000000000003</v>
      </c>
      <c r="J57" s="905"/>
      <c r="K57" s="905">
        <f t="shared" si="13"/>
        <v>180359.20389957269</v>
      </c>
      <c r="L57" s="905">
        <f t="shared" si="14"/>
        <v>45089.800974893173</v>
      </c>
      <c r="M57" s="906">
        <f t="shared" si="20"/>
        <v>225449.00487446587</v>
      </c>
      <c r="N57" s="906"/>
      <c r="O57" s="271">
        <f>'DGSP_chitiet (truKH)'!K57</f>
        <v>177881.50389957268</v>
      </c>
      <c r="P57" s="271">
        <f>'DGSP_chitiet (truKH)'!L57</f>
        <v>44470.37597489317</v>
      </c>
      <c r="Q57" s="306">
        <f>'DGSP_chitiet (truKH)'!M57</f>
        <v>222351.87987446584</v>
      </c>
      <c r="R57" s="271">
        <f>'DGSP_chitiet (truKH)'!N57</f>
        <v>0</v>
      </c>
      <c r="S57" s="905">
        <f>S52*0.1</f>
        <v>4926.2019230769238</v>
      </c>
    </row>
    <row r="58" spans="1:19">
      <c r="A58" s="1010"/>
      <c r="B58" s="1011"/>
      <c r="C58" s="1010"/>
      <c r="D58" s="274">
        <v>3</v>
      </c>
      <c r="E58" s="271">
        <f t="shared" si="19"/>
        <v>197267.26249999998</v>
      </c>
      <c r="F58" s="271">
        <f t="shared" si="19"/>
        <v>22922.307692307695</v>
      </c>
      <c r="G58" s="905">
        <f>Dcu!N40</f>
        <v>1044.2735042735042</v>
      </c>
      <c r="H58" s="905">
        <f>VLieu!L$28*0.1</f>
        <v>2537.5</v>
      </c>
      <c r="I58" s="905">
        <f>0.1*I53</f>
        <v>2971.7000000000003</v>
      </c>
      <c r="J58" s="905"/>
      <c r="K58" s="905">
        <f t="shared" si="13"/>
        <v>226743.04369658118</v>
      </c>
      <c r="L58" s="905">
        <f t="shared" si="14"/>
        <v>56685.760924145296</v>
      </c>
      <c r="M58" s="906">
        <f t="shared" si="20"/>
        <v>283428.8046207265</v>
      </c>
      <c r="N58" s="906"/>
      <c r="O58" s="271">
        <f>'DGSP_chitiet (truKH)'!K58</f>
        <v>223771.34369658117</v>
      </c>
      <c r="P58" s="271">
        <f>'DGSP_chitiet (truKH)'!L58</f>
        <v>55942.835924145293</v>
      </c>
      <c r="Q58" s="306">
        <f>'DGSP_chitiet (truKH)'!M58</f>
        <v>279714.17962072644</v>
      </c>
      <c r="R58" s="271">
        <f>'DGSP_chitiet (truKH)'!N58</f>
        <v>0</v>
      </c>
      <c r="S58" s="905">
        <f>S53*0.1</f>
        <v>5960.0961538461552</v>
      </c>
    </row>
    <row r="59" spans="1:19">
      <c r="A59" s="1010"/>
      <c r="B59" s="1011"/>
      <c r="C59" s="1010"/>
      <c r="D59" s="274">
        <v>4</v>
      </c>
      <c r="E59" s="271">
        <f t="shared" si="19"/>
        <v>245577.61250000002</v>
      </c>
      <c r="F59" s="271">
        <f t="shared" si="19"/>
        <v>40932.692307692312</v>
      </c>
      <c r="G59" s="905">
        <f>Dcu!N41</f>
        <v>1409.7692307692307</v>
      </c>
      <c r="H59" s="905">
        <f>VLieu!L$28*0.1</f>
        <v>2537.5</v>
      </c>
      <c r="I59" s="905">
        <f>0.1*I54</f>
        <v>4058.5</v>
      </c>
      <c r="J59" s="905"/>
      <c r="K59" s="905">
        <f t="shared" si="13"/>
        <v>294516.07403846155</v>
      </c>
      <c r="L59" s="905">
        <f t="shared" si="14"/>
        <v>73629.018509615387</v>
      </c>
      <c r="M59" s="906">
        <f t="shared" si="20"/>
        <v>368145.09254807694</v>
      </c>
      <c r="N59" s="906"/>
      <c r="O59" s="271">
        <f>'DGSP_chitiet (truKH)'!K59</f>
        <v>290457.57403846155</v>
      </c>
      <c r="P59" s="271">
        <f>'DGSP_chitiet (truKH)'!L59</f>
        <v>72614.393509615387</v>
      </c>
      <c r="Q59" s="306">
        <f>'DGSP_chitiet (truKH)'!M59</f>
        <v>363071.96754807694</v>
      </c>
      <c r="R59" s="271">
        <f>'DGSP_chitiet (truKH)'!N59</f>
        <v>0</v>
      </c>
      <c r="S59" s="905">
        <f>S54*0.1</f>
        <v>7419.7115384615381</v>
      </c>
    </row>
    <row r="60" spans="1:19">
      <c r="A60" s="1010"/>
      <c r="B60" s="1011"/>
      <c r="C60" s="1010"/>
      <c r="D60" s="274" t="s">
        <v>13</v>
      </c>
      <c r="E60" s="271">
        <f t="shared" si="19"/>
        <v>382456.9375</v>
      </c>
      <c r="F60" s="271">
        <f t="shared" si="19"/>
        <v>50938.461538461539</v>
      </c>
      <c r="G60" s="905">
        <f>Dcu!N42</f>
        <v>1879.6923076923076</v>
      </c>
      <c r="H60" s="905">
        <f>VLieu!L$28*0.1</f>
        <v>2537.5</v>
      </c>
      <c r="I60" s="905">
        <f>0.1*I55</f>
        <v>5392.3</v>
      </c>
      <c r="J60" s="905"/>
      <c r="K60" s="905">
        <f t="shared" si="13"/>
        <v>443204.89134615386</v>
      </c>
      <c r="L60" s="905">
        <f t="shared" si="14"/>
        <v>110801.22283653847</v>
      </c>
      <c r="M60" s="906">
        <f t="shared" si="20"/>
        <v>554006.11418269237</v>
      </c>
      <c r="N60" s="906"/>
      <c r="O60" s="271">
        <f>'DGSP_chitiet (truKH)'!K60</f>
        <v>437812.59134615387</v>
      </c>
      <c r="P60" s="271">
        <f>'DGSP_chitiet (truKH)'!L60</f>
        <v>109453.14783653847</v>
      </c>
      <c r="Q60" s="306">
        <f>'DGSP_chitiet (truKH)'!M60</f>
        <v>547265.73918269237</v>
      </c>
      <c r="R60" s="271">
        <f>'DGSP_chitiet (truKH)'!N60</f>
        <v>0</v>
      </c>
      <c r="S60" s="905">
        <f>S55*0.1</f>
        <v>11555.288461538461</v>
      </c>
    </row>
    <row r="61" spans="1:19" ht="19.5" customHeight="1">
      <c r="A61" s="243">
        <f>NhanCong!A51</f>
        <v>5</v>
      </c>
      <c r="B61" s="968" t="str">
        <f>NhanCong!B51</f>
        <v>Tính toán bình sai</v>
      </c>
      <c r="C61" s="243" t="str">
        <f>NhanCong!C51</f>
        <v>điểm</v>
      </c>
      <c r="D61" s="274" t="s">
        <v>15</v>
      </c>
      <c r="E61" s="271">
        <f>NhanCong!I51</f>
        <v>545113.80000000005</v>
      </c>
      <c r="F61" s="271"/>
      <c r="G61" s="905">
        <f>Dcu!H56</f>
        <v>2819.3792307692306</v>
      </c>
      <c r="H61" s="905">
        <f>VLieu!F43</f>
        <v>27260</v>
      </c>
      <c r="I61" s="905">
        <f>TBi!N21</f>
        <v>1529</v>
      </c>
      <c r="J61" s="905"/>
      <c r="K61" s="905">
        <f t="shared" si="13"/>
        <v>576722.17923076928</v>
      </c>
      <c r="L61" s="905">
        <f>K61*0.15</f>
        <v>86508.326884615395</v>
      </c>
      <c r="M61" s="906">
        <f t="shared" si="20"/>
        <v>663230.50611538463</v>
      </c>
      <c r="N61" s="906"/>
      <c r="O61" s="271">
        <f>'DGSP_chitiet (truKH)'!K61</f>
        <v>575193.17923076928</v>
      </c>
      <c r="P61" s="271">
        <f>'DGSP_chitiet (truKH)'!L61</f>
        <v>86278.976884615389</v>
      </c>
      <c r="Q61" s="306">
        <f>'DGSP_chitiet (truKH)'!M61</f>
        <v>661472.15611538466</v>
      </c>
      <c r="R61" s="271">
        <f>'DGSP_chitiet (truKH)'!N61</f>
        <v>0</v>
      </c>
      <c r="S61" s="905">
        <f>NhanCong!J51</f>
        <v>15569.23076923077</v>
      </c>
    </row>
    <row r="62" spans="1:19" ht="24" customHeight="1">
      <c r="A62" s="243" t="s">
        <v>362</v>
      </c>
      <c r="B62" s="968" t="s">
        <v>444</v>
      </c>
      <c r="C62" s="243"/>
      <c r="D62" s="274" t="s">
        <v>15</v>
      </c>
      <c r="E62" s="271">
        <f>NhanCong!F51/NhanCong!D51*0.1</f>
        <v>34069.612500000003</v>
      </c>
      <c r="F62" s="271">
        <f>NhanCong!J55</f>
        <v>0</v>
      </c>
      <c r="G62" s="905">
        <f>Dcu!H56</f>
        <v>2819.3792307692306</v>
      </c>
      <c r="H62" s="905">
        <f>H61</f>
        <v>27260</v>
      </c>
      <c r="I62" s="905">
        <f>0.1*I61</f>
        <v>152.9</v>
      </c>
      <c r="J62" s="905"/>
      <c r="K62" s="905">
        <f t="shared" si="13"/>
        <v>64301.891730769232</v>
      </c>
      <c r="L62" s="905">
        <f>K62*0.15</f>
        <v>9645.283759615384</v>
      </c>
      <c r="M62" s="906">
        <f t="shared" si="20"/>
        <v>73947.175490384616</v>
      </c>
      <c r="N62" s="906"/>
      <c r="O62" s="271">
        <f>'DGSP_chitiet (truKH)'!K62</f>
        <v>64148.99173076923</v>
      </c>
      <c r="P62" s="271">
        <f>'DGSP_chitiet (truKH)'!L62</f>
        <v>9622.3487596153846</v>
      </c>
      <c r="Q62" s="306">
        <f>'DGSP_chitiet (truKH)'!M62</f>
        <v>73771.340490384609</v>
      </c>
      <c r="R62" s="271">
        <f>'DGSP_chitiet (truKH)'!N62</f>
        <v>0</v>
      </c>
      <c r="S62" s="905">
        <f>S61/0.8*0.05</f>
        <v>973.07692307692309</v>
      </c>
    </row>
    <row r="63" spans="1:19" ht="19.5" customHeight="1">
      <c r="A63" s="242" t="str">
        <f>L_CViec!A14</f>
        <v>II</v>
      </c>
      <c r="B63" s="965" t="s">
        <v>614</v>
      </c>
      <c r="C63" s="243"/>
      <c r="D63" s="243"/>
      <c r="E63" s="271"/>
      <c r="F63" s="271"/>
      <c r="G63" s="271"/>
      <c r="H63" s="271"/>
      <c r="I63" s="271"/>
      <c r="J63" s="271"/>
      <c r="K63" s="271"/>
      <c r="L63" s="271"/>
      <c r="M63" s="272"/>
      <c r="N63" s="272"/>
      <c r="O63" s="271">
        <f>'DGSP_chitiet (truKH)'!K63</f>
        <v>0</v>
      </c>
      <c r="P63" s="271">
        <f>'DGSP_chitiet (truKH)'!L63</f>
        <v>0</v>
      </c>
      <c r="Q63" s="306">
        <f>'DGSP_chitiet (truKH)'!M63</f>
        <v>0</v>
      </c>
      <c r="R63" s="271">
        <f>'DGSP_chitiet (truKH)'!N63</f>
        <v>0</v>
      </c>
      <c r="S63" s="271"/>
    </row>
    <row r="64" spans="1:19">
      <c r="A64" s="242" t="s">
        <v>27</v>
      </c>
      <c r="B64" s="965" t="s">
        <v>44</v>
      </c>
      <c r="C64" s="243"/>
      <c r="D64" s="243"/>
      <c r="E64" s="271"/>
      <c r="F64" s="271"/>
      <c r="G64" s="271"/>
      <c r="H64" s="271"/>
      <c r="I64" s="271"/>
      <c r="J64" s="271"/>
      <c r="K64" s="271"/>
      <c r="L64" s="271"/>
      <c r="M64" s="272"/>
      <c r="N64" s="272"/>
      <c r="O64" s="271">
        <f>'DGSP_chitiet (truKH)'!K64</f>
        <v>0</v>
      </c>
      <c r="P64" s="271">
        <f>'DGSP_chitiet (truKH)'!L64</f>
        <v>0</v>
      </c>
      <c r="Q64" s="306">
        <f>'DGSP_chitiet (truKH)'!M64</f>
        <v>0</v>
      </c>
      <c r="R64" s="271">
        <f>'DGSP_chitiet (truKH)'!N64</f>
        <v>0</v>
      </c>
      <c r="S64" s="271"/>
    </row>
    <row r="65" spans="1:19" s="232" customFormat="1" ht="13.5" customHeight="1">
      <c r="A65" s="1005"/>
      <c r="B65" s="1014" t="s">
        <v>190</v>
      </c>
      <c r="C65" s="1005" t="s">
        <v>21</v>
      </c>
      <c r="D65" s="242">
        <v>1</v>
      </c>
      <c r="E65" s="271">
        <f t="shared" ref="E65:J68" si="21">SUM(E$93,E94,E98,E102,E106,E110)</f>
        <v>27266085.137500007</v>
      </c>
      <c r="F65" s="271">
        <f t="shared" si="21"/>
        <v>3119980.7692307695</v>
      </c>
      <c r="G65" s="271">
        <f t="shared" si="21"/>
        <v>216115.38408119656</v>
      </c>
      <c r="H65" s="271">
        <f t="shared" si="21"/>
        <v>18546529</v>
      </c>
      <c r="I65" s="271">
        <f t="shared" si="21"/>
        <v>298866.57142857142</v>
      </c>
      <c r="J65" s="271">
        <f t="shared" si="21"/>
        <v>712.32</v>
      </c>
      <c r="K65" s="271">
        <f t="shared" ref="K65:K72" si="22">SUM(E65:J65)</f>
        <v>49448289.182240546</v>
      </c>
      <c r="L65" s="271">
        <f>K65*0.25</f>
        <v>12362072.295560136</v>
      </c>
      <c r="M65" s="272">
        <f t="shared" ref="M65:M72" si="23">K65+L65</f>
        <v>61810361.477800682</v>
      </c>
      <c r="N65" s="271">
        <f>M65+M69</f>
        <v>67078340.198048621</v>
      </c>
      <c r="O65" s="271">
        <f>'DGSP_chitiet (truKH)'!K65</f>
        <v>49149422.610811971</v>
      </c>
      <c r="P65" s="271">
        <f>'DGSP_chitiet (truKH)'!L65</f>
        <v>12287355.652702993</v>
      </c>
      <c r="Q65" s="306">
        <f>'DGSP_chitiet (truKH)'!M65</f>
        <v>61436778.263514966</v>
      </c>
      <c r="R65" s="271">
        <f>'DGSP_chitiet (truKH)'!N65</f>
        <v>66524191.329798616</v>
      </c>
      <c r="S65" s="271">
        <f>SUM(S$93,S94,S98,S102,S106,S110)/$M$92</f>
        <v>771406.73076923063</v>
      </c>
    </row>
    <row r="66" spans="1:19" s="232" customFormat="1" ht="15" customHeight="1">
      <c r="A66" s="1005"/>
      <c r="B66" s="1014"/>
      <c r="C66" s="1005"/>
      <c r="D66" s="242">
        <v>2</v>
      </c>
      <c r="E66" s="271">
        <f t="shared" si="21"/>
        <v>32327075.000000007</v>
      </c>
      <c r="F66" s="271">
        <f t="shared" si="21"/>
        <v>3736700.0000000005</v>
      </c>
      <c r="G66" s="271">
        <f t="shared" si="21"/>
        <v>251773.2716346154</v>
      </c>
      <c r="H66" s="271">
        <f t="shared" si="21"/>
        <v>18546529</v>
      </c>
      <c r="I66" s="271">
        <f t="shared" si="21"/>
        <v>346158.57142857142</v>
      </c>
      <c r="J66" s="271">
        <f t="shared" si="21"/>
        <v>712.32</v>
      </c>
      <c r="K66" s="271">
        <f t="shared" si="22"/>
        <v>55208948.163063198</v>
      </c>
      <c r="L66" s="271">
        <f>K66*0.25</f>
        <v>13802237.0407658</v>
      </c>
      <c r="M66" s="272">
        <f t="shared" si="23"/>
        <v>69011185.20382899</v>
      </c>
      <c r="N66" s="271">
        <f>M66+M70</f>
        <v>74661175.242596537</v>
      </c>
      <c r="O66" s="271">
        <f>'DGSP_chitiet (truKH)'!K66</f>
        <v>54862789.591634624</v>
      </c>
      <c r="P66" s="271">
        <f>'DGSP_chitiet (truKH)'!L66</f>
        <v>13715697.397908656</v>
      </c>
      <c r="Q66" s="306">
        <f>'DGSP_chitiet (truKH)'!M66</f>
        <v>68578486.989543274</v>
      </c>
      <c r="R66" s="271">
        <f>'DGSP_chitiet (truKH)'!N66</f>
        <v>74020143.325667948</v>
      </c>
      <c r="S66" s="271">
        <f>SUM(S$93,S95,S99,S103,S107,S111)/$M$92</f>
        <v>914692.30769230775</v>
      </c>
    </row>
    <row r="67" spans="1:19" s="232" customFormat="1" ht="15" customHeight="1">
      <c r="A67" s="1005"/>
      <c r="B67" s="1014"/>
      <c r="C67" s="1005"/>
      <c r="D67" s="242">
        <v>3</v>
      </c>
      <c r="E67" s="271">
        <f t="shared" si="21"/>
        <v>37907911.868750006</v>
      </c>
      <c r="F67" s="271">
        <f t="shared" si="21"/>
        <v>4406176.9230769239</v>
      </c>
      <c r="G67" s="271">
        <f t="shared" si="21"/>
        <v>287431.15918803425</v>
      </c>
      <c r="H67" s="271">
        <f t="shared" si="21"/>
        <v>18546529</v>
      </c>
      <c r="I67" s="271">
        <f t="shared" si="21"/>
        <v>420474.57142857142</v>
      </c>
      <c r="J67" s="271">
        <f t="shared" si="21"/>
        <v>712.32</v>
      </c>
      <c r="K67" s="271">
        <f t="shared" si="22"/>
        <v>61569235.842443541</v>
      </c>
      <c r="L67" s="271">
        <f>K67*0.25</f>
        <v>15392308.960610885</v>
      </c>
      <c r="M67" s="272">
        <f t="shared" si="23"/>
        <v>76961544.803054422</v>
      </c>
      <c r="N67" s="271">
        <f>M67+M71</f>
        <v>82958554.566555843</v>
      </c>
      <c r="O67" s="271">
        <f>'DGSP_chitiet (truKH)'!K67</f>
        <v>61148761.271014966</v>
      </c>
      <c r="P67" s="271">
        <f>'DGSP_chitiet (truKH)'!L67</f>
        <v>15287190.317753742</v>
      </c>
      <c r="Q67" s="306">
        <f>'DGSP_chitiet (truKH)'!M67</f>
        <v>76435951.588768706</v>
      </c>
      <c r="R67" s="271">
        <f>'DGSP_chitiet (truKH)'!N67</f>
        <v>82199053.194734409</v>
      </c>
      <c r="S67" s="271">
        <f>SUM(S$93,S96,S100,S104,S108,S112)/$M$92</f>
        <v>1072695.6730769232</v>
      </c>
    </row>
    <row r="68" spans="1:19" s="232" customFormat="1" ht="15" customHeight="1">
      <c r="A68" s="1005"/>
      <c r="B68" s="1014"/>
      <c r="C68" s="1005"/>
      <c r="D68" s="242">
        <v>4</v>
      </c>
      <c r="E68" s="271">
        <f t="shared" si="21"/>
        <v>44339407.475000009</v>
      </c>
      <c r="F68" s="271">
        <f t="shared" si="21"/>
        <v>5132050</v>
      </c>
      <c r="G68" s="271">
        <f t="shared" si="21"/>
        <v>335484.95566239319</v>
      </c>
      <c r="H68" s="271">
        <f t="shared" si="21"/>
        <v>18546529</v>
      </c>
      <c r="I68" s="271">
        <f t="shared" si="21"/>
        <v>498168.57142857142</v>
      </c>
      <c r="J68" s="271">
        <f t="shared" si="21"/>
        <v>712.32</v>
      </c>
      <c r="K68" s="271">
        <f t="shared" si="22"/>
        <v>68852352.322090954</v>
      </c>
      <c r="L68" s="271">
        <f>K68*0.25</f>
        <v>17213088.080522738</v>
      </c>
      <c r="M68" s="272">
        <f t="shared" si="23"/>
        <v>86065440.402613699</v>
      </c>
      <c r="N68" s="271">
        <f>M68+M72</f>
        <v>92667253.153659686</v>
      </c>
      <c r="O68" s="271">
        <f>'DGSP_chitiet (truKH)'!K68</f>
        <v>68354183.750662386</v>
      </c>
      <c r="P68" s="271">
        <f>'DGSP_chitiet (truKH)'!L68</f>
        <v>17088545.937665597</v>
      </c>
      <c r="Q68" s="306">
        <f>'DGSP_chitiet (truKH)'!M68</f>
        <v>85442729.688327983</v>
      </c>
      <c r="R68" s="271">
        <f>'DGSP_chitiet (truKH)'!N68</f>
        <v>91766022.583195403</v>
      </c>
      <c r="S68" s="271">
        <f>SUM(S$93,S97,S101,S105,S109,S113)/$M$92</f>
        <v>1254782.6923076925</v>
      </c>
    </row>
    <row r="69" spans="1:19" s="232" customFormat="1" ht="13.5" customHeight="1">
      <c r="A69" s="1005"/>
      <c r="B69" s="1014" t="s">
        <v>192</v>
      </c>
      <c r="C69" s="1005" t="s">
        <v>21</v>
      </c>
      <c r="D69" s="242">
        <v>1</v>
      </c>
      <c r="E69" s="271">
        <f t="shared" ref="E69:J72" si="24">(E115+SUM(E$119:E$124))</f>
        <v>3082993.4850000008</v>
      </c>
      <c r="F69" s="271">
        <f t="shared" si="24"/>
        <v>0</v>
      </c>
      <c r="G69" s="271">
        <f t="shared" si="24"/>
        <v>23929.943942307695</v>
      </c>
      <c r="H69" s="271">
        <f t="shared" si="24"/>
        <v>1226160</v>
      </c>
      <c r="I69" s="271">
        <f t="shared" si="24"/>
        <v>157013.61214285714</v>
      </c>
      <c r="J69" s="271">
        <f t="shared" si="24"/>
        <v>90754.01999999999</v>
      </c>
      <c r="K69" s="271">
        <f t="shared" si="22"/>
        <v>4580851.0610851645</v>
      </c>
      <c r="L69" s="271">
        <f>K69*0.15</f>
        <v>687127.65916277468</v>
      </c>
      <c r="M69" s="272">
        <f t="shared" si="23"/>
        <v>5267978.7202479392</v>
      </c>
      <c r="N69" s="271"/>
      <c r="O69" s="271">
        <f>'DGSP_chitiet (truKH)'!K69</f>
        <v>4423837.4489423074</v>
      </c>
      <c r="P69" s="271">
        <f>'DGSP_chitiet (truKH)'!L69</f>
        <v>663575.61734134611</v>
      </c>
      <c r="Q69" s="306">
        <f>'DGSP_chitiet (truKH)'!M69</f>
        <v>5087413.0662836535</v>
      </c>
      <c r="R69" s="271">
        <f>'DGSP_chitiet (truKH)'!N69</f>
        <v>0</v>
      </c>
      <c r="S69" s="271">
        <f>(S115+SUM(S$119:S$124))/$M$92</f>
        <v>87285</v>
      </c>
    </row>
    <row r="70" spans="1:19" s="232" customFormat="1" ht="15" customHeight="1">
      <c r="A70" s="1005"/>
      <c r="B70" s="1014"/>
      <c r="C70" s="1005"/>
      <c r="D70" s="242">
        <v>2</v>
      </c>
      <c r="E70" s="271">
        <f t="shared" si="24"/>
        <v>3378575.915000001</v>
      </c>
      <c r="F70" s="271">
        <f t="shared" si="24"/>
        <v>0</v>
      </c>
      <c r="G70" s="271">
        <f t="shared" si="24"/>
        <v>25499.999891025644</v>
      </c>
      <c r="H70" s="271">
        <f t="shared" si="24"/>
        <v>1226160</v>
      </c>
      <c r="I70" s="271">
        <f t="shared" si="24"/>
        <v>181159.74142857143</v>
      </c>
      <c r="J70" s="271">
        <f t="shared" si="24"/>
        <v>101639.16</v>
      </c>
      <c r="K70" s="271">
        <f t="shared" si="22"/>
        <v>4913034.8163195988</v>
      </c>
      <c r="L70" s="271">
        <f>K70*0.15</f>
        <v>736955.2224479398</v>
      </c>
      <c r="M70" s="272">
        <f t="shared" si="23"/>
        <v>5649990.038767539</v>
      </c>
      <c r="N70" s="271"/>
      <c r="O70" s="271">
        <f>'DGSP_chitiet (truKH)'!K70</f>
        <v>4731875.0748910271</v>
      </c>
      <c r="P70" s="271">
        <f>'DGSP_chitiet (truKH)'!L70</f>
        <v>709781.26123365399</v>
      </c>
      <c r="Q70" s="306">
        <f>'DGSP_chitiet (truKH)'!M70</f>
        <v>5441656.3361246809</v>
      </c>
      <c r="R70" s="271">
        <f>'DGSP_chitiet (truKH)'!N70</f>
        <v>0</v>
      </c>
      <c r="S70" s="271">
        <f>(S116+SUM(S$119:S$124))/$M$92</f>
        <v>95653.461538461532</v>
      </c>
    </row>
    <row r="71" spans="1:19" s="232" customFormat="1" ht="15" customHeight="1">
      <c r="A71" s="1005"/>
      <c r="B71" s="1014"/>
      <c r="C71" s="1005"/>
      <c r="D71" s="242">
        <v>3</v>
      </c>
      <c r="E71" s="271">
        <f t="shared" si="24"/>
        <v>3646662.3050000006</v>
      </c>
      <c r="F71" s="271">
        <f t="shared" si="24"/>
        <v>0</v>
      </c>
      <c r="G71" s="271">
        <f t="shared" si="24"/>
        <v>27070.055839743593</v>
      </c>
      <c r="H71" s="271">
        <f t="shared" si="24"/>
        <v>1226160</v>
      </c>
      <c r="I71" s="271">
        <f t="shared" si="24"/>
        <v>203398.39785714287</v>
      </c>
      <c r="J71" s="271">
        <f t="shared" si="24"/>
        <v>111500.34</v>
      </c>
      <c r="K71" s="271">
        <f t="shared" si="22"/>
        <v>5214791.0986968866</v>
      </c>
      <c r="L71" s="271">
        <f>K71*0.15</f>
        <v>782218.66480453301</v>
      </c>
      <c r="M71" s="272">
        <f t="shared" si="23"/>
        <v>5997009.7635014197</v>
      </c>
      <c r="N71" s="271"/>
      <c r="O71" s="271">
        <f>'DGSP_chitiet (truKH)'!K71</f>
        <v>5011392.7008397439</v>
      </c>
      <c r="P71" s="271">
        <f>'DGSP_chitiet (truKH)'!L71</f>
        <v>751708.90512596152</v>
      </c>
      <c r="Q71" s="306">
        <f>'DGSP_chitiet (truKH)'!M71</f>
        <v>5763101.6059657056</v>
      </c>
      <c r="R71" s="271">
        <f>'DGSP_chitiet (truKH)'!N71</f>
        <v>0</v>
      </c>
      <c r="S71" s="271">
        <f>(S117+SUM(S$119:S$124))/$M$92</f>
        <v>103243.46153846153</v>
      </c>
    </row>
    <row r="72" spans="1:19" s="232" customFormat="1" ht="15" customHeight="1">
      <c r="A72" s="1005"/>
      <c r="B72" s="1014"/>
      <c r="C72" s="1005"/>
      <c r="D72" s="242">
        <v>4</v>
      </c>
      <c r="E72" s="271">
        <f t="shared" si="24"/>
        <v>4114094.9850000013</v>
      </c>
      <c r="F72" s="271">
        <f t="shared" si="24"/>
        <v>0</v>
      </c>
      <c r="G72" s="271">
        <f t="shared" si="24"/>
        <v>29686.815754273506</v>
      </c>
      <c r="H72" s="271">
        <f t="shared" si="24"/>
        <v>1226160</v>
      </c>
      <c r="I72" s="271">
        <f t="shared" si="24"/>
        <v>242191.17928571429</v>
      </c>
      <c r="J72" s="271">
        <f t="shared" si="24"/>
        <v>128573.76000000001</v>
      </c>
      <c r="K72" s="271">
        <f t="shared" si="22"/>
        <v>5740706.7400399894</v>
      </c>
      <c r="L72" s="271">
        <f>K72*0.15</f>
        <v>861106.01100599836</v>
      </c>
      <c r="M72" s="272">
        <f t="shared" si="23"/>
        <v>6601812.7510459879</v>
      </c>
      <c r="N72" s="271"/>
      <c r="O72" s="271">
        <f>'DGSP_chitiet (truKH)'!K72</f>
        <v>5498515.5607542749</v>
      </c>
      <c r="P72" s="271">
        <f>'DGSP_chitiet (truKH)'!L72</f>
        <v>824777.33411314117</v>
      </c>
      <c r="Q72" s="306">
        <f>'DGSP_chitiet (truKH)'!M72</f>
        <v>6323292.8948674165</v>
      </c>
      <c r="R72" s="271">
        <f>'DGSP_chitiet (truKH)'!N72</f>
        <v>0</v>
      </c>
      <c r="S72" s="271">
        <f>(S118+SUM(S$119:S$124))/$M$92</f>
        <v>116477.30769230769</v>
      </c>
    </row>
    <row r="73" spans="1:19">
      <c r="A73" s="242"/>
      <c r="B73" s="965" t="s">
        <v>322</v>
      </c>
      <c r="C73" s="243"/>
      <c r="D73" s="243"/>
      <c r="E73" s="271"/>
      <c r="F73" s="271"/>
      <c r="G73" s="271"/>
      <c r="H73" s="271"/>
      <c r="I73" s="271"/>
      <c r="J73" s="271"/>
      <c r="K73" s="271"/>
      <c r="L73" s="271"/>
      <c r="M73" s="272"/>
      <c r="N73" s="272"/>
      <c r="O73" s="271">
        <f>'DGSP_chitiet (truKH)'!K73</f>
        <v>0</v>
      </c>
      <c r="P73" s="271">
        <f>'DGSP_chitiet (truKH)'!L73</f>
        <v>0</v>
      </c>
      <c r="Q73" s="306">
        <f>'DGSP_chitiet (truKH)'!M73</f>
        <v>0</v>
      </c>
      <c r="R73" s="271">
        <f>'DGSP_chitiet (truKH)'!N73</f>
        <v>0</v>
      </c>
      <c r="S73" s="271"/>
    </row>
    <row r="74" spans="1:19">
      <c r="A74" s="242" t="s">
        <v>323</v>
      </c>
      <c r="B74" s="965" t="s">
        <v>324</v>
      </c>
      <c r="C74" s="243"/>
      <c r="D74" s="243"/>
      <c r="E74" s="271"/>
      <c r="F74" s="271"/>
      <c r="G74" s="271"/>
      <c r="H74" s="271"/>
      <c r="I74" s="271"/>
      <c r="J74" s="271"/>
      <c r="K74" s="271"/>
      <c r="L74" s="271"/>
      <c r="M74" s="272"/>
      <c r="N74" s="272"/>
      <c r="O74" s="271">
        <f>'DGSP_chitiet (truKH)'!K74</f>
        <v>0</v>
      </c>
      <c r="P74" s="271">
        <f>'DGSP_chitiet (truKH)'!L74</f>
        <v>0</v>
      </c>
      <c r="Q74" s="306">
        <f>'DGSP_chitiet (truKH)'!M74</f>
        <v>0</v>
      </c>
      <c r="R74" s="271">
        <f>'DGSP_chitiet (truKH)'!N74</f>
        <v>0</v>
      </c>
      <c r="S74" s="271"/>
    </row>
    <row r="75" spans="1:19" s="232" customFormat="1" ht="13.5" customHeight="1">
      <c r="A75" s="1005"/>
      <c r="B75" s="1014" t="s">
        <v>190</v>
      </c>
      <c r="C75" s="1005" t="s">
        <v>21</v>
      </c>
      <c r="D75" s="242">
        <v>1</v>
      </c>
      <c r="E75" s="271">
        <f t="shared" ref="E75:F82" si="25">E65*0.1</f>
        <v>2726608.5137500009</v>
      </c>
      <c r="F75" s="271">
        <f t="shared" si="25"/>
        <v>311998.07692307694</v>
      </c>
      <c r="G75" s="271">
        <f>G102*0.1</f>
        <v>6914.7716346153848</v>
      </c>
      <c r="H75" s="271">
        <f t="shared" ref="H75:I78" si="26">H65*0.1</f>
        <v>1854652.9000000001</v>
      </c>
      <c r="I75" s="271">
        <f t="shared" si="26"/>
        <v>29886.657142857144</v>
      </c>
      <c r="J75" s="271">
        <f>J102*0.1</f>
        <v>0</v>
      </c>
      <c r="K75" s="271">
        <f t="shared" ref="K75:K82" si="27">SUM(E75:J75)</f>
        <v>4930060.9194505503</v>
      </c>
      <c r="L75" s="271">
        <f>K75*0.25</f>
        <v>1232515.2298626376</v>
      </c>
      <c r="M75" s="272">
        <f t="shared" ref="M75:M82" si="28">K75+L75</f>
        <v>6162576.1493131882</v>
      </c>
      <c r="N75" s="271">
        <f>M75+M79</f>
        <v>6558752.9217806673</v>
      </c>
      <c r="O75" s="271">
        <f>'DGSP_chitiet (truKH)'!K75</f>
        <v>4900174.2623076933</v>
      </c>
      <c r="P75" s="271">
        <f>'DGSP_chitiet (truKH)'!L75</f>
        <v>1225043.5655769233</v>
      </c>
      <c r="Q75" s="306">
        <f>'DGSP_chitiet (truKH)'!M75</f>
        <v>6125217.8278846163</v>
      </c>
      <c r="R75" s="271">
        <f>'DGSP_chitiet (truKH)'!N75</f>
        <v>6521394.6003520954</v>
      </c>
      <c r="S75" s="271">
        <f t="shared" ref="S75:S82" si="29">S65*0.1</f>
        <v>77140.673076923063</v>
      </c>
    </row>
    <row r="76" spans="1:19" s="232" customFormat="1" ht="15" customHeight="1">
      <c r="A76" s="1005"/>
      <c r="B76" s="1014"/>
      <c r="C76" s="1005"/>
      <c r="D76" s="242">
        <v>2</v>
      </c>
      <c r="E76" s="271">
        <f t="shared" si="25"/>
        <v>3232707.5000000009</v>
      </c>
      <c r="F76" s="271">
        <f t="shared" si="25"/>
        <v>373670.00000000006</v>
      </c>
      <c r="G76" s="271">
        <f>G103*0.1</f>
        <v>8396.508413461539</v>
      </c>
      <c r="H76" s="271">
        <f t="shared" si="26"/>
        <v>1854652.9000000001</v>
      </c>
      <c r="I76" s="271">
        <f t="shared" si="26"/>
        <v>34615.857142857145</v>
      </c>
      <c r="J76" s="271">
        <f>J103*0.1</f>
        <v>0</v>
      </c>
      <c r="K76" s="271">
        <f t="shared" si="27"/>
        <v>5504042.7655563196</v>
      </c>
      <c r="L76" s="271">
        <f>K76*0.25</f>
        <v>1376010.6913890799</v>
      </c>
      <c r="M76" s="272">
        <f t="shared" si="28"/>
        <v>6880053.4569453998</v>
      </c>
      <c r="N76" s="271">
        <f>M76+M80</f>
        <v>7310402.7652969807</v>
      </c>
      <c r="O76" s="271">
        <f>'DGSP_chitiet (truKH)'!K76</f>
        <v>5469426.9084134623</v>
      </c>
      <c r="P76" s="271">
        <f>'DGSP_chitiet (truKH)'!L76</f>
        <v>1367356.7271033656</v>
      </c>
      <c r="Q76" s="306">
        <f>'DGSP_chitiet (truKH)'!M76</f>
        <v>6836783.6355168279</v>
      </c>
      <c r="R76" s="271">
        <f>'DGSP_chitiet (truKH)'!N76</f>
        <v>7267132.9438684089</v>
      </c>
      <c r="S76" s="271">
        <f t="shared" si="29"/>
        <v>91469.23076923078</v>
      </c>
    </row>
    <row r="77" spans="1:19" s="232" customFormat="1" ht="15" customHeight="1">
      <c r="A77" s="1005"/>
      <c r="B77" s="1014"/>
      <c r="C77" s="1005"/>
      <c r="D77" s="242">
        <v>3</v>
      </c>
      <c r="E77" s="271">
        <f t="shared" si="25"/>
        <v>3790791.1868750006</v>
      </c>
      <c r="F77" s="271">
        <f t="shared" si="25"/>
        <v>440617.69230769243</v>
      </c>
      <c r="G77" s="271">
        <f>G104*0.1</f>
        <v>9878.2451923076951</v>
      </c>
      <c r="H77" s="271">
        <f t="shared" si="26"/>
        <v>1854652.9000000001</v>
      </c>
      <c r="I77" s="271">
        <f t="shared" si="26"/>
        <v>42047.457142857143</v>
      </c>
      <c r="J77" s="271">
        <f>J104*0.1</f>
        <v>0</v>
      </c>
      <c r="K77" s="271">
        <f t="shared" si="27"/>
        <v>6137987.4815178579</v>
      </c>
      <c r="L77" s="271">
        <f>K77*0.25</f>
        <v>1534496.8703794645</v>
      </c>
      <c r="M77" s="272">
        <f t="shared" si="28"/>
        <v>7672484.3518973226</v>
      </c>
      <c r="N77" s="271">
        <f>M77+M81</f>
        <v>8133844.1515330067</v>
      </c>
      <c r="O77" s="271">
        <f>'DGSP_chitiet (truKH)'!K77</f>
        <v>6095940.024375001</v>
      </c>
      <c r="P77" s="271">
        <f>'DGSP_chitiet (truKH)'!L77</f>
        <v>1523985.0060937502</v>
      </c>
      <c r="Q77" s="306">
        <f>'DGSP_chitiet (truKH)'!M77</f>
        <v>7619925.0304687507</v>
      </c>
      <c r="R77" s="271">
        <f>'DGSP_chitiet (truKH)'!N77</f>
        <v>8081284.8301044349</v>
      </c>
      <c r="S77" s="271">
        <f t="shared" si="29"/>
        <v>107269.56730769233</v>
      </c>
    </row>
    <row r="78" spans="1:19" s="232" customFormat="1" ht="15" customHeight="1">
      <c r="A78" s="1005"/>
      <c r="B78" s="1014"/>
      <c r="C78" s="1005"/>
      <c r="D78" s="242">
        <v>4</v>
      </c>
      <c r="E78" s="271">
        <f t="shared" si="25"/>
        <v>4433940.7475000015</v>
      </c>
      <c r="F78" s="271">
        <f t="shared" si="25"/>
        <v>513205</v>
      </c>
      <c r="G78" s="271">
        <f>G105*0.1</f>
        <v>11853.894230769232</v>
      </c>
      <c r="H78" s="271">
        <f t="shared" si="26"/>
        <v>1854652.9000000001</v>
      </c>
      <c r="I78" s="271">
        <f t="shared" si="26"/>
        <v>49816.857142857145</v>
      </c>
      <c r="J78" s="271">
        <f>J105*0.1</f>
        <v>0</v>
      </c>
      <c r="K78" s="271">
        <f t="shared" si="27"/>
        <v>6863469.3988736281</v>
      </c>
      <c r="L78" s="271">
        <f>K78*0.25</f>
        <v>1715867.349718407</v>
      </c>
      <c r="M78" s="272">
        <f t="shared" si="28"/>
        <v>8579336.7485920358</v>
      </c>
      <c r="N78" s="271">
        <f>M78+M82</f>
        <v>9094752.2338178903</v>
      </c>
      <c r="O78" s="271">
        <f>'DGSP_chitiet (truKH)'!K78</f>
        <v>6813652.5417307708</v>
      </c>
      <c r="P78" s="271">
        <f>'DGSP_chitiet (truKH)'!L78</f>
        <v>1703413.1354326927</v>
      </c>
      <c r="Q78" s="306">
        <f>'DGSP_chitiet (truKH)'!M78</f>
        <v>8517065.6771634631</v>
      </c>
      <c r="R78" s="271">
        <f>'DGSP_chitiet (truKH)'!N78</f>
        <v>9032481.1623893175</v>
      </c>
      <c r="S78" s="271">
        <f t="shared" si="29"/>
        <v>125478.26923076925</v>
      </c>
    </row>
    <row r="79" spans="1:19" s="232" customFormat="1" ht="13.5" customHeight="1">
      <c r="A79" s="1005"/>
      <c r="B79" s="1014" t="s">
        <v>192</v>
      </c>
      <c r="C79" s="1005" t="s">
        <v>21</v>
      </c>
      <c r="D79" s="242">
        <v>1</v>
      </c>
      <c r="E79" s="271">
        <f t="shared" si="25"/>
        <v>308299.34850000008</v>
      </c>
      <c r="F79" s="271">
        <f t="shared" si="25"/>
        <v>0</v>
      </c>
      <c r="G79" s="271">
        <f t="shared" ref="G79:H82" si="30">G115*0.1</f>
        <v>732.69277606837613</v>
      </c>
      <c r="H79" s="271">
        <f t="shared" si="30"/>
        <v>35469.5</v>
      </c>
      <c r="I79" s="271"/>
      <c r="J79" s="271"/>
      <c r="K79" s="271">
        <f t="shared" si="27"/>
        <v>344501.54127606848</v>
      </c>
      <c r="L79" s="271">
        <f>K79*0.15</f>
        <v>51675.231191410268</v>
      </c>
      <c r="M79" s="272">
        <f t="shared" si="28"/>
        <v>396176.77246747876</v>
      </c>
      <c r="N79" s="271"/>
      <c r="O79" s="271">
        <f>'DGSP_chitiet (truKH)'!K79</f>
        <v>344501.54127606848</v>
      </c>
      <c r="P79" s="271">
        <f>'DGSP_chitiet (truKH)'!L79</f>
        <v>51675.231191410268</v>
      </c>
      <c r="Q79" s="306">
        <f>'DGSP_chitiet (truKH)'!M79</f>
        <v>396176.77246747876</v>
      </c>
      <c r="R79" s="271">
        <f>'DGSP_chitiet (truKH)'!N79</f>
        <v>0</v>
      </c>
      <c r="S79" s="271">
        <f t="shared" si="29"/>
        <v>8728.5</v>
      </c>
    </row>
    <row r="80" spans="1:19" s="232" customFormat="1" ht="15" customHeight="1">
      <c r="A80" s="1005"/>
      <c r="B80" s="1014"/>
      <c r="C80" s="1005"/>
      <c r="D80" s="242">
        <v>2</v>
      </c>
      <c r="E80" s="271">
        <f t="shared" si="25"/>
        <v>337857.5915000001</v>
      </c>
      <c r="F80" s="271">
        <f t="shared" si="25"/>
        <v>0</v>
      </c>
      <c r="G80" s="271">
        <f t="shared" si="30"/>
        <v>889.698370940171</v>
      </c>
      <c r="H80" s="271">
        <f t="shared" si="30"/>
        <v>35469.5</v>
      </c>
      <c r="I80" s="271"/>
      <c r="J80" s="271"/>
      <c r="K80" s="271">
        <f t="shared" si="27"/>
        <v>374216.78987094027</v>
      </c>
      <c r="L80" s="271">
        <f>K80*0.15</f>
        <v>56132.51848064104</v>
      </c>
      <c r="M80" s="272">
        <f t="shared" si="28"/>
        <v>430349.30835158133</v>
      </c>
      <c r="N80" s="271"/>
      <c r="O80" s="271">
        <f>'DGSP_chitiet (truKH)'!K80</f>
        <v>374216.78987094027</v>
      </c>
      <c r="P80" s="271">
        <f>'DGSP_chitiet (truKH)'!L80</f>
        <v>56132.51848064104</v>
      </c>
      <c r="Q80" s="306">
        <f>'DGSP_chitiet (truKH)'!M80</f>
        <v>430349.30835158133</v>
      </c>
      <c r="R80" s="271">
        <f>'DGSP_chitiet (truKH)'!N80</f>
        <v>0</v>
      </c>
      <c r="S80" s="271">
        <f t="shared" si="29"/>
        <v>9565.3461538461543</v>
      </c>
    </row>
    <row r="81" spans="1:19" s="232" customFormat="1" ht="15" customHeight="1">
      <c r="A81" s="1005"/>
      <c r="B81" s="1014"/>
      <c r="C81" s="1005"/>
      <c r="D81" s="242">
        <v>3</v>
      </c>
      <c r="E81" s="271">
        <f t="shared" si="25"/>
        <v>364666.23050000006</v>
      </c>
      <c r="F81" s="271">
        <f t="shared" si="25"/>
        <v>0</v>
      </c>
      <c r="G81" s="271">
        <f t="shared" si="30"/>
        <v>1046.7039658119659</v>
      </c>
      <c r="H81" s="271">
        <f t="shared" si="30"/>
        <v>35469.5</v>
      </c>
      <c r="I81" s="271"/>
      <c r="J81" s="271"/>
      <c r="K81" s="271">
        <f t="shared" si="27"/>
        <v>401182.43446581205</v>
      </c>
      <c r="L81" s="271">
        <f>K81*0.15</f>
        <v>60177.365169871802</v>
      </c>
      <c r="M81" s="272">
        <f t="shared" si="28"/>
        <v>461359.79963568388</v>
      </c>
      <c r="N81" s="271"/>
      <c r="O81" s="271">
        <f>'DGSP_chitiet (truKH)'!K81</f>
        <v>401182.43446581205</v>
      </c>
      <c r="P81" s="271">
        <f>'DGSP_chitiet (truKH)'!L81</f>
        <v>60177.365169871802</v>
      </c>
      <c r="Q81" s="306">
        <f>'DGSP_chitiet (truKH)'!M81</f>
        <v>461359.79963568388</v>
      </c>
      <c r="R81" s="271">
        <f>'DGSP_chitiet (truKH)'!N81</f>
        <v>0</v>
      </c>
      <c r="S81" s="271">
        <f t="shared" si="29"/>
        <v>10324.346153846154</v>
      </c>
    </row>
    <row r="82" spans="1:19" s="232" customFormat="1" ht="15" customHeight="1">
      <c r="A82" s="1005"/>
      <c r="B82" s="1014"/>
      <c r="C82" s="1005"/>
      <c r="D82" s="242">
        <v>4</v>
      </c>
      <c r="E82" s="271">
        <f t="shared" si="25"/>
        <v>411409.49850000016</v>
      </c>
      <c r="F82" s="271">
        <f t="shared" si="25"/>
        <v>0</v>
      </c>
      <c r="G82" s="271">
        <f t="shared" si="30"/>
        <v>1308.3799572649573</v>
      </c>
      <c r="H82" s="271">
        <f t="shared" si="30"/>
        <v>35469.5</v>
      </c>
      <c r="I82" s="271"/>
      <c r="J82" s="271"/>
      <c r="K82" s="271">
        <f t="shared" si="27"/>
        <v>448187.37845726509</v>
      </c>
      <c r="L82" s="271">
        <f>K82*0.15</f>
        <v>67228.106768589758</v>
      </c>
      <c r="M82" s="272">
        <f t="shared" si="28"/>
        <v>515415.48522585485</v>
      </c>
      <c r="N82" s="271"/>
      <c r="O82" s="271">
        <f>'DGSP_chitiet (truKH)'!K82</f>
        <v>448187.37845726509</v>
      </c>
      <c r="P82" s="271">
        <f>'DGSP_chitiet (truKH)'!L82</f>
        <v>67228.106768589758</v>
      </c>
      <c r="Q82" s="306">
        <f>'DGSP_chitiet (truKH)'!M82</f>
        <v>515415.48522585485</v>
      </c>
      <c r="R82" s="271">
        <f>'DGSP_chitiet (truKH)'!N82</f>
        <v>0</v>
      </c>
      <c r="S82" s="271">
        <f t="shared" si="29"/>
        <v>11647.73076923077</v>
      </c>
    </row>
    <row r="83" spans="1:19">
      <c r="A83" s="242" t="s">
        <v>323</v>
      </c>
      <c r="B83" s="965" t="s">
        <v>326</v>
      </c>
      <c r="C83" s="243"/>
      <c r="D83" s="243"/>
      <c r="E83" s="271"/>
      <c r="F83" s="271"/>
      <c r="G83" s="271"/>
      <c r="H83" s="271"/>
      <c r="I83" s="271"/>
      <c r="J83" s="271"/>
      <c r="K83" s="271"/>
      <c r="L83" s="271"/>
      <c r="M83" s="272"/>
      <c r="N83" s="271"/>
      <c r="O83" s="271">
        <f>'DGSP_chitiet (truKH)'!K83</f>
        <v>0</v>
      </c>
      <c r="P83" s="271">
        <f>'DGSP_chitiet (truKH)'!L83</f>
        <v>0</v>
      </c>
      <c r="Q83" s="306">
        <f>'DGSP_chitiet (truKH)'!M83</f>
        <v>0</v>
      </c>
      <c r="R83" s="271">
        <f>'DGSP_chitiet (truKH)'!N83</f>
        <v>0</v>
      </c>
      <c r="S83" s="271"/>
    </row>
    <row r="84" spans="1:19" s="232" customFormat="1" ht="13.5" customHeight="1">
      <c r="A84" s="1005"/>
      <c r="B84" s="1014" t="s">
        <v>190</v>
      </c>
      <c r="C84" s="1005" t="s">
        <v>21</v>
      </c>
      <c r="D84" s="242">
        <v>1</v>
      </c>
      <c r="E84" s="271">
        <f t="shared" ref="E84:F87" si="31">E65*1.15</f>
        <v>31355997.908125006</v>
      </c>
      <c r="F84" s="271">
        <f t="shared" si="31"/>
        <v>3587977.8846153845</v>
      </c>
      <c r="G84" s="271">
        <f t="shared" ref="G84:J91" si="32">G65</f>
        <v>216115.38408119656</v>
      </c>
      <c r="H84" s="271">
        <f t="shared" si="32"/>
        <v>18546529</v>
      </c>
      <c r="I84" s="271">
        <f t="shared" si="32"/>
        <v>298866.57142857142</v>
      </c>
      <c r="J84" s="271">
        <f t="shared" si="32"/>
        <v>712.32</v>
      </c>
      <c r="K84" s="271">
        <f t="shared" ref="K84:K91" si="33">SUM(E84:J84)</f>
        <v>54006199.068250164</v>
      </c>
      <c r="L84" s="271">
        <f>K84*0.25</f>
        <v>13501549.767062541</v>
      </c>
      <c r="M84" s="272">
        <f t="shared" ref="M84:M91" si="34">K84+L84</f>
        <v>67507748.835312709</v>
      </c>
      <c r="N84" s="271">
        <f>M84+M88</f>
        <v>73130271.806335643</v>
      </c>
      <c r="O84" s="271">
        <f>'DGSP_chitiet (truKH)'!K84</f>
        <v>53707332.49682159</v>
      </c>
      <c r="P84" s="271">
        <f>'DGSP_chitiet (truKH)'!L84</f>
        <v>13426833.124205397</v>
      </c>
      <c r="Q84" s="306">
        <f>'DGSP_chitiet (truKH)'!M84</f>
        <v>67134165.621026993</v>
      </c>
      <c r="R84" s="271">
        <f>'DGSP_chitiet (truKH)'!N84</f>
        <v>72576122.938085645</v>
      </c>
      <c r="S84" s="271">
        <f>S65*1.15</f>
        <v>887117.74038461514</v>
      </c>
    </row>
    <row r="85" spans="1:19" s="232" customFormat="1" ht="15" customHeight="1">
      <c r="A85" s="1005"/>
      <c r="B85" s="1014"/>
      <c r="C85" s="1005"/>
      <c r="D85" s="242">
        <v>2</v>
      </c>
      <c r="E85" s="271">
        <f t="shared" si="31"/>
        <v>37176136.250000007</v>
      </c>
      <c r="F85" s="271">
        <f t="shared" si="31"/>
        <v>4297205</v>
      </c>
      <c r="G85" s="271">
        <f t="shared" si="32"/>
        <v>251773.2716346154</v>
      </c>
      <c r="H85" s="271">
        <f t="shared" si="32"/>
        <v>18546529</v>
      </c>
      <c r="I85" s="271">
        <f t="shared" si="32"/>
        <v>346158.57142857142</v>
      </c>
      <c r="J85" s="271">
        <f t="shared" si="32"/>
        <v>712.32</v>
      </c>
      <c r="K85" s="271">
        <f t="shared" si="33"/>
        <v>60618514.413063198</v>
      </c>
      <c r="L85" s="271">
        <f>K85*0.25</f>
        <v>15154628.6032658</v>
      </c>
      <c r="M85" s="272">
        <f t="shared" si="34"/>
        <v>75773143.01632899</v>
      </c>
      <c r="N85" s="271">
        <f>M85+M89</f>
        <v>81811669.285321534</v>
      </c>
      <c r="O85" s="271">
        <f>'DGSP_chitiet (truKH)'!K85</f>
        <v>60272355.841634624</v>
      </c>
      <c r="P85" s="271">
        <f>'DGSP_chitiet (truKH)'!L85</f>
        <v>15068088.960408656</v>
      </c>
      <c r="Q85" s="306">
        <f>'DGSP_chitiet (truKH)'!M85</f>
        <v>75340444.802043274</v>
      </c>
      <c r="R85" s="271">
        <f>'DGSP_chitiet (truKH)'!N85</f>
        <v>81170637.368392959</v>
      </c>
      <c r="S85" s="271">
        <f>S66*1.15</f>
        <v>1051896.1538461538</v>
      </c>
    </row>
    <row r="86" spans="1:19" s="232" customFormat="1" ht="15" customHeight="1">
      <c r="A86" s="1005"/>
      <c r="B86" s="1014"/>
      <c r="C86" s="1005"/>
      <c r="D86" s="242">
        <v>3</v>
      </c>
      <c r="E86" s="271">
        <f t="shared" si="31"/>
        <v>43594098.649062507</v>
      </c>
      <c r="F86" s="271">
        <f t="shared" si="31"/>
        <v>5067103.461538462</v>
      </c>
      <c r="G86" s="271">
        <f t="shared" si="32"/>
        <v>287431.15918803425</v>
      </c>
      <c r="H86" s="271">
        <f t="shared" si="32"/>
        <v>18546529</v>
      </c>
      <c r="I86" s="271">
        <f t="shared" si="32"/>
        <v>420474.57142857142</v>
      </c>
      <c r="J86" s="271">
        <f t="shared" si="32"/>
        <v>712.32</v>
      </c>
      <c r="K86" s="271">
        <f t="shared" si="33"/>
        <v>67916349.16121757</v>
      </c>
      <c r="L86" s="271">
        <f>K86*0.25</f>
        <v>16979087.290304393</v>
      </c>
      <c r="M86" s="272">
        <f t="shared" si="34"/>
        <v>84895436.451521963</v>
      </c>
      <c r="N86" s="271">
        <f>M86+M90</f>
        <v>91311812.380098388</v>
      </c>
      <c r="O86" s="271">
        <f>'DGSP_chitiet (truKH)'!K86</f>
        <v>67495874.589789003</v>
      </c>
      <c r="P86" s="271">
        <f>'DGSP_chitiet (truKH)'!L86</f>
        <v>16873968.647447251</v>
      </c>
      <c r="Q86" s="306">
        <f>'DGSP_chitiet (truKH)'!M86</f>
        <v>84369843.237236261</v>
      </c>
      <c r="R86" s="271">
        <f>'DGSP_chitiet (truKH)'!N86</f>
        <v>90552311.008276969</v>
      </c>
      <c r="S86" s="271">
        <f>S67*1.15</f>
        <v>1233600.0240384617</v>
      </c>
    </row>
    <row r="87" spans="1:19" s="232" customFormat="1" ht="15" customHeight="1">
      <c r="A87" s="1005"/>
      <c r="B87" s="1014"/>
      <c r="C87" s="1005"/>
      <c r="D87" s="242">
        <v>4</v>
      </c>
      <c r="E87" s="271">
        <f t="shared" si="31"/>
        <v>50990318.596250005</v>
      </c>
      <c r="F87" s="271">
        <f t="shared" si="31"/>
        <v>5901857.5</v>
      </c>
      <c r="G87" s="271">
        <f t="shared" si="32"/>
        <v>335484.95566239319</v>
      </c>
      <c r="H87" s="271">
        <f t="shared" si="32"/>
        <v>18546529</v>
      </c>
      <c r="I87" s="271">
        <f t="shared" si="32"/>
        <v>498168.57142857142</v>
      </c>
      <c r="J87" s="271">
        <f t="shared" si="32"/>
        <v>712.32</v>
      </c>
      <c r="K87" s="271">
        <f t="shared" si="33"/>
        <v>76273070.943340957</v>
      </c>
      <c r="L87" s="271">
        <f>K87*0.25</f>
        <v>19068267.735835239</v>
      </c>
      <c r="M87" s="272">
        <f t="shared" si="34"/>
        <v>95341338.679176196</v>
      </c>
      <c r="N87" s="271">
        <f>M87+M91</f>
        <v>102416272.35349718</v>
      </c>
      <c r="O87" s="271">
        <f>'DGSP_chitiet (truKH)'!K87</f>
        <v>75774902.37191239</v>
      </c>
      <c r="P87" s="271">
        <f>'DGSP_chitiet (truKH)'!L87</f>
        <v>18943725.592978097</v>
      </c>
      <c r="Q87" s="306">
        <f>'DGSP_chitiet (truKH)'!M87</f>
        <v>94718627.96489048</v>
      </c>
      <c r="R87" s="271">
        <f>'DGSP_chitiet (truKH)'!N87</f>
        <v>101515041.78303289</v>
      </c>
      <c r="S87" s="271">
        <f>S68*1.15</f>
        <v>1443000.0961538462</v>
      </c>
    </row>
    <row r="88" spans="1:19" s="232" customFormat="1" ht="13.5" customHeight="1">
      <c r="A88" s="1005"/>
      <c r="B88" s="1014" t="s">
        <v>192</v>
      </c>
      <c r="C88" s="1005" t="s">
        <v>21</v>
      </c>
      <c r="D88" s="242">
        <v>1</v>
      </c>
      <c r="E88" s="271">
        <f t="shared" ref="E88:F91" si="35">E69*1.1</f>
        <v>3391292.8335000011</v>
      </c>
      <c r="F88" s="271">
        <f t="shared" si="35"/>
        <v>0</v>
      </c>
      <c r="G88" s="271">
        <f t="shared" si="32"/>
        <v>23929.943942307695</v>
      </c>
      <c r="H88" s="271">
        <f t="shared" si="32"/>
        <v>1226160</v>
      </c>
      <c r="I88" s="271">
        <f t="shared" si="32"/>
        <v>157013.61214285714</v>
      </c>
      <c r="J88" s="271">
        <f t="shared" si="32"/>
        <v>90754.01999999999</v>
      </c>
      <c r="K88" s="271">
        <f t="shared" si="33"/>
        <v>4889150.4095851649</v>
      </c>
      <c r="L88" s="271">
        <f>K88*0.15</f>
        <v>733372.56143777468</v>
      </c>
      <c r="M88" s="272">
        <f t="shared" si="34"/>
        <v>5622522.9710229393</v>
      </c>
      <c r="N88" s="271"/>
      <c r="O88" s="271">
        <f>'DGSP_chitiet (truKH)'!K88</f>
        <v>4732136.7974423077</v>
      </c>
      <c r="P88" s="271">
        <f>'DGSP_chitiet (truKH)'!L88</f>
        <v>709820.51961634611</v>
      </c>
      <c r="Q88" s="306">
        <f>'DGSP_chitiet (truKH)'!M88</f>
        <v>5441957.3170586536</v>
      </c>
      <c r="R88" s="271">
        <f>'DGSP_chitiet (truKH)'!N88</f>
        <v>0</v>
      </c>
      <c r="S88" s="271">
        <f>S69*1.1</f>
        <v>96013.500000000015</v>
      </c>
    </row>
    <row r="89" spans="1:19" s="232" customFormat="1" ht="15" customHeight="1">
      <c r="A89" s="1005"/>
      <c r="B89" s="1014"/>
      <c r="C89" s="1005"/>
      <c r="D89" s="242">
        <v>2</v>
      </c>
      <c r="E89" s="271">
        <f t="shared" si="35"/>
        <v>3716433.5065000015</v>
      </c>
      <c r="F89" s="271">
        <f t="shared" si="35"/>
        <v>0</v>
      </c>
      <c r="G89" s="271">
        <f t="shared" si="32"/>
        <v>25499.999891025644</v>
      </c>
      <c r="H89" s="271">
        <f t="shared" si="32"/>
        <v>1226160</v>
      </c>
      <c r="I89" s="271">
        <f t="shared" si="32"/>
        <v>181159.74142857143</v>
      </c>
      <c r="J89" s="271">
        <f t="shared" si="32"/>
        <v>101639.16</v>
      </c>
      <c r="K89" s="271">
        <f t="shared" si="33"/>
        <v>5250892.4078195989</v>
      </c>
      <c r="L89" s="271">
        <f>K89*0.15</f>
        <v>787633.86117293977</v>
      </c>
      <c r="M89" s="272">
        <f t="shared" si="34"/>
        <v>6038526.2689925386</v>
      </c>
      <c r="N89" s="271"/>
      <c r="O89" s="271">
        <f>'DGSP_chitiet (truKH)'!K89</f>
        <v>5069732.6663910272</v>
      </c>
      <c r="P89" s="271">
        <f>'DGSP_chitiet (truKH)'!L89</f>
        <v>760459.89995865407</v>
      </c>
      <c r="Q89" s="306">
        <f>'DGSP_chitiet (truKH)'!M89</f>
        <v>5830192.5663496815</v>
      </c>
      <c r="R89" s="271">
        <f>'DGSP_chitiet (truKH)'!N89</f>
        <v>0</v>
      </c>
      <c r="S89" s="271">
        <f>S70*1.1</f>
        <v>105218.80769230769</v>
      </c>
    </row>
    <row r="90" spans="1:19" s="232" customFormat="1" ht="15" customHeight="1">
      <c r="A90" s="1005"/>
      <c r="B90" s="1014"/>
      <c r="C90" s="1005"/>
      <c r="D90" s="242">
        <v>3</v>
      </c>
      <c r="E90" s="271">
        <f t="shared" si="35"/>
        <v>4011328.5355000012</v>
      </c>
      <c r="F90" s="271">
        <f t="shared" si="35"/>
        <v>0</v>
      </c>
      <c r="G90" s="271">
        <f t="shared" si="32"/>
        <v>27070.055839743593</v>
      </c>
      <c r="H90" s="271">
        <f t="shared" si="32"/>
        <v>1226160</v>
      </c>
      <c r="I90" s="271">
        <f t="shared" si="32"/>
        <v>203398.39785714287</v>
      </c>
      <c r="J90" s="271">
        <f t="shared" si="32"/>
        <v>111500.34</v>
      </c>
      <c r="K90" s="271">
        <f t="shared" si="33"/>
        <v>5579457.3291968871</v>
      </c>
      <c r="L90" s="271">
        <f>K90*0.15</f>
        <v>836918.59937953309</v>
      </c>
      <c r="M90" s="272">
        <f t="shared" si="34"/>
        <v>6416375.9285764201</v>
      </c>
      <c r="N90" s="271"/>
      <c r="O90" s="271">
        <f>'DGSP_chitiet (truKH)'!K90</f>
        <v>5376058.9313397445</v>
      </c>
      <c r="P90" s="271">
        <f>'DGSP_chitiet (truKH)'!L90</f>
        <v>806408.8397009616</v>
      </c>
      <c r="Q90" s="306">
        <f>'DGSP_chitiet (truKH)'!M90</f>
        <v>6182467.771040706</v>
      </c>
      <c r="R90" s="271">
        <f>'DGSP_chitiet (truKH)'!N90</f>
        <v>0</v>
      </c>
      <c r="S90" s="271">
        <f>S71*1.1</f>
        <v>113567.80769230769</v>
      </c>
    </row>
    <row r="91" spans="1:19" s="232" customFormat="1" ht="15" customHeight="1">
      <c r="A91" s="1005"/>
      <c r="B91" s="1014"/>
      <c r="C91" s="1005"/>
      <c r="D91" s="242">
        <v>4</v>
      </c>
      <c r="E91" s="271">
        <f t="shared" si="35"/>
        <v>4525504.483500002</v>
      </c>
      <c r="F91" s="271">
        <f t="shared" si="35"/>
        <v>0</v>
      </c>
      <c r="G91" s="271">
        <f t="shared" si="32"/>
        <v>29686.815754273506</v>
      </c>
      <c r="H91" s="271">
        <f t="shared" si="32"/>
        <v>1226160</v>
      </c>
      <c r="I91" s="271">
        <f t="shared" si="32"/>
        <v>242191.17928571429</v>
      </c>
      <c r="J91" s="271">
        <f t="shared" si="32"/>
        <v>128573.76000000001</v>
      </c>
      <c r="K91" s="271">
        <f t="shared" si="33"/>
        <v>6152116.23853999</v>
      </c>
      <c r="L91" s="271">
        <f>K91*0.15</f>
        <v>922817.43578099844</v>
      </c>
      <c r="M91" s="272">
        <f t="shared" si="34"/>
        <v>7074933.6743209884</v>
      </c>
      <c r="N91" s="271"/>
      <c r="O91" s="271">
        <f>'DGSP_chitiet (truKH)'!K91</f>
        <v>5909925.0592542756</v>
      </c>
      <c r="P91" s="271">
        <f>'DGSP_chitiet (truKH)'!L91</f>
        <v>886488.75888814137</v>
      </c>
      <c r="Q91" s="306">
        <f>'DGSP_chitiet (truKH)'!M91</f>
        <v>6796413.8181424169</v>
      </c>
      <c r="R91" s="271">
        <f>'DGSP_chitiet (truKH)'!N91</f>
        <v>0</v>
      </c>
      <c r="S91" s="271">
        <f>S72*1.1</f>
        <v>128125.03846153847</v>
      </c>
    </row>
    <row r="92" spans="1:19">
      <c r="A92" s="242">
        <v>1</v>
      </c>
      <c r="B92" s="276" t="s">
        <v>57</v>
      </c>
      <c r="C92" s="243"/>
      <c r="D92" s="243"/>
      <c r="E92" s="271"/>
      <c r="F92" s="271"/>
      <c r="G92" s="271"/>
      <c r="H92" s="271"/>
      <c r="I92" s="271"/>
      <c r="J92" s="271"/>
      <c r="K92" s="271"/>
      <c r="L92" s="271"/>
      <c r="M92" s="272">
        <v>1</v>
      </c>
      <c r="N92" s="272" t="s">
        <v>21</v>
      </c>
      <c r="O92" s="271">
        <f>'DGSP_chitiet (truKH)'!K92</f>
        <v>0</v>
      </c>
      <c r="P92" s="271">
        <f>'DGSP_chitiet (truKH)'!L92</f>
        <v>0</v>
      </c>
      <c r="Q92" s="306">
        <f>'DGSP_chitiet (truKH)'!M92</f>
        <v>1</v>
      </c>
      <c r="R92" s="271" t="str">
        <f>'DGSP_chitiet (truKH)'!N92</f>
        <v>ha</v>
      </c>
      <c r="S92" s="271"/>
    </row>
    <row r="93" spans="1:19">
      <c r="A93" s="969" t="s">
        <v>359</v>
      </c>
      <c r="B93" s="970" t="str">
        <f>NhanCong!B$61</f>
        <v>Công tác chuẩn bị</v>
      </c>
      <c r="C93" s="274" t="s">
        <v>317</v>
      </c>
      <c r="D93" s="274" t="s">
        <v>622</v>
      </c>
      <c r="E93" s="271">
        <f>NhanCong!I$61</f>
        <v>569148.80000000016</v>
      </c>
      <c r="F93" s="271">
        <f>NhanCong!I$62</f>
        <v>36384.61538461539</v>
      </c>
      <c r="G93" s="905">
        <f>Dcu!M$102*0.4</f>
        <v>39512.98076923078</v>
      </c>
      <c r="H93" s="905">
        <f>VLieu!K$66</f>
        <v>2754435</v>
      </c>
      <c r="I93" s="905"/>
      <c r="J93" s="905"/>
      <c r="K93" s="905">
        <f>SUM(E93:J93)</f>
        <v>3399481.3961538463</v>
      </c>
      <c r="L93" s="905">
        <f>K93*0.25</f>
        <v>849870.34903846157</v>
      </c>
      <c r="M93" s="906">
        <f>K93+L93</f>
        <v>4249351.745192308</v>
      </c>
      <c r="N93" s="906"/>
      <c r="O93" s="271">
        <f>'DGSP_chitiet (truKH)'!K93</f>
        <v>3399481.3961538463</v>
      </c>
      <c r="P93" s="271">
        <f>'DGSP_chitiet (truKH)'!L93</f>
        <v>849870.34903846157</v>
      </c>
      <c r="Q93" s="306">
        <f>'DGSP_chitiet (truKH)'!M93</f>
        <v>4249351.745192308</v>
      </c>
      <c r="R93" s="271">
        <f>'DGSP_chitiet (truKH)'!N93</f>
        <v>0</v>
      </c>
      <c r="S93" s="905">
        <f>NhanCong!J$61</f>
        <v>15569.23076923077</v>
      </c>
    </row>
    <row r="94" spans="1:19">
      <c r="A94" s="1012" t="s">
        <v>269</v>
      </c>
      <c r="B94" s="1011" t="str">
        <f>NhanCong!B$63</f>
        <v>Lập lưới khống chế đo vẽ</v>
      </c>
      <c r="C94" s="1013" t="s">
        <v>317</v>
      </c>
      <c r="D94" s="274">
        <v>1</v>
      </c>
      <c r="E94" s="271">
        <f>NhanCong!I$63</f>
        <v>3780705.5000000009</v>
      </c>
      <c r="F94" s="271"/>
      <c r="G94" s="905">
        <f>Dcu!M$82</f>
        <v>24477.427350427348</v>
      </c>
      <c r="H94" s="905">
        <f>VLieu!K$67</f>
        <v>1836290</v>
      </c>
      <c r="I94" s="905">
        <f>TBi!N$30</f>
        <v>59028.571428571428</v>
      </c>
      <c r="J94" s="905">
        <f>TBi!N$34</f>
        <v>712.32</v>
      </c>
      <c r="K94" s="905">
        <f t="shared" ref="K94:K113" si="36">SUM(E94:J94)</f>
        <v>5701213.8187790001</v>
      </c>
      <c r="L94" s="905">
        <f t="shared" ref="L94:L113" si="37">K94*0.25</f>
        <v>1425303.45469475</v>
      </c>
      <c r="M94" s="906">
        <f t="shared" ref="M94:M113" si="38">K94+L94</f>
        <v>7126517.2734737499</v>
      </c>
      <c r="N94" s="905"/>
      <c r="O94" s="271">
        <f>'DGSP_chitiet (truKH)'!K94</f>
        <v>5642185.2473504283</v>
      </c>
      <c r="P94" s="271">
        <f>'DGSP_chitiet (truKH)'!L94</f>
        <v>1410546.3118376071</v>
      </c>
      <c r="Q94" s="306">
        <f>'DGSP_chitiet (truKH)'!M94</f>
        <v>7052731.5591880353</v>
      </c>
      <c r="R94" s="271">
        <f>'DGSP_chitiet (truKH)'!N94</f>
        <v>0</v>
      </c>
      <c r="S94" s="905">
        <f>NhanCong!J$63</f>
        <v>107038.46153846155</v>
      </c>
    </row>
    <row r="95" spans="1:19">
      <c r="A95" s="1012"/>
      <c r="B95" s="1011"/>
      <c r="C95" s="1013"/>
      <c r="D95" s="274">
        <v>2</v>
      </c>
      <c r="E95" s="271">
        <f>NhanCong!I$64</f>
        <v>4231812.4062500009</v>
      </c>
      <c r="F95" s="271"/>
      <c r="G95" s="905">
        <f>Dcu!M$83</f>
        <v>27537.105769230766</v>
      </c>
      <c r="H95" s="905">
        <f>VLieu!K$67</f>
        <v>1836290</v>
      </c>
      <c r="I95" s="905">
        <f>TBi!O$30</f>
        <v>68036.57142857142</v>
      </c>
      <c r="J95" s="905">
        <f>TBi!O$34</f>
        <v>712.32</v>
      </c>
      <c r="K95" s="905">
        <f t="shared" si="36"/>
        <v>6164388.403447804</v>
      </c>
      <c r="L95" s="905">
        <f t="shared" si="37"/>
        <v>1541097.100861951</v>
      </c>
      <c r="M95" s="906">
        <f t="shared" si="38"/>
        <v>7705485.5043097548</v>
      </c>
      <c r="N95" s="905"/>
      <c r="O95" s="271">
        <f>'DGSP_chitiet (truKH)'!K95</f>
        <v>6096351.8320192322</v>
      </c>
      <c r="P95" s="271">
        <f>'DGSP_chitiet (truKH)'!L95</f>
        <v>1524087.9580048081</v>
      </c>
      <c r="Q95" s="306">
        <f>'DGSP_chitiet (truKH)'!M95</f>
        <v>7620439.7900240403</v>
      </c>
      <c r="R95" s="271">
        <f>'DGSP_chitiet (truKH)'!N95</f>
        <v>0</v>
      </c>
      <c r="S95" s="905">
        <f>NhanCong!J$64</f>
        <v>119810.09615384616</v>
      </c>
    </row>
    <row r="96" spans="1:19">
      <c r="A96" s="1012"/>
      <c r="B96" s="1011"/>
      <c r="C96" s="1013"/>
      <c r="D96" s="274">
        <v>3</v>
      </c>
      <c r="E96" s="271">
        <f>NhanCong!I$65</f>
        <v>4661438.0312500009</v>
      </c>
      <c r="F96" s="271"/>
      <c r="G96" s="905">
        <f>Dcu!M$84</f>
        <v>30596.784188034184</v>
      </c>
      <c r="H96" s="905">
        <f>VLieu!K$67</f>
        <v>1836290</v>
      </c>
      <c r="I96" s="905">
        <f>TBi!P$30</f>
        <v>75355.571428571435</v>
      </c>
      <c r="J96" s="905">
        <f>TBi!P$34</f>
        <v>712.32</v>
      </c>
      <c r="K96" s="905">
        <f t="shared" si="36"/>
        <v>6604392.7068666071</v>
      </c>
      <c r="L96" s="905">
        <f t="shared" si="37"/>
        <v>1651098.1767166518</v>
      </c>
      <c r="M96" s="906">
        <f t="shared" si="38"/>
        <v>8255490.8835832588</v>
      </c>
      <c r="N96" s="905"/>
      <c r="O96" s="271">
        <f>'DGSP_chitiet (truKH)'!K96</f>
        <v>6529037.1354380352</v>
      </c>
      <c r="P96" s="271">
        <f>'DGSP_chitiet (truKH)'!L96</f>
        <v>1632259.2838595088</v>
      </c>
      <c r="Q96" s="306">
        <f>'DGSP_chitiet (truKH)'!M96</f>
        <v>8161296.4192975443</v>
      </c>
      <c r="R96" s="271">
        <f>'DGSP_chitiet (truKH)'!N96</f>
        <v>0</v>
      </c>
      <c r="S96" s="905">
        <f>NhanCong!J$65</f>
        <v>131973.55769230769</v>
      </c>
    </row>
    <row r="97" spans="1:19">
      <c r="A97" s="1012"/>
      <c r="B97" s="1011"/>
      <c r="C97" s="1013"/>
      <c r="D97" s="274">
        <v>4</v>
      </c>
      <c r="E97" s="271">
        <f>NhanCong!I$66</f>
        <v>5219951.3437500019</v>
      </c>
      <c r="F97" s="271"/>
      <c r="G97" s="905">
        <f>Dcu!M$85</f>
        <v>35186.301816239305</v>
      </c>
      <c r="H97" s="905">
        <f>VLieu!K$67</f>
        <v>1836290</v>
      </c>
      <c r="I97" s="905">
        <f>TBi!Q$30</f>
        <v>83800.571428571435</v>
      </c>
      <c r="J97" s="905">
        <f>TBi!Q$34</f>
        <v>712.32</v>
      </c>
      <c r="K97" s="905">
        <f t="shared" si="36"/>
        <v>7175940.536994813</v>
      </c>
      <c r="L97" s="905">
        <f t="shared" si="37"/>
        <v>1793985.1342487033</v>
      </c>
      <c r="M97" s="906">
        <f t="shared" si="38"/>
        <v>8969925.6712435167</v>
      </c>
      <c r="N97" s="905"/>
      <c r="O97" s="271">
        <f>'DGSP_chitiet (truKH)'!K97</f>
        <v>7092139.9655662412</v>
      </c>
      <c r="P97" s="271">
        <f>'DGSP_chitiet (truKH)'!L97</f>
        <v>1773034.9913915603</v>
      </c>
      <c r="Q97" s="306">
        <f>'DGSP_chitiet (truKH)'!M97</f>
        <v>8865174.9569578022</v>
      </c>
      <c r="R97" s="271">
        <f>'DGSP_chitiet (truKH)'!N97</f>
        <v>0</v>
      </c>
      <c r="S97" s="905">
        <f>NhanCong!J$66</f>
        <v>147786.05769230769</v>
      </c>
    </row>
    <row r="98" spans="1:19">
      <c r="A98" s="1012" t="s">
        <v>36</v>
      </c>
      <c r="B98" s="1011" t="str">
        <f>NhanCong!B$68</f>
        <v>Xác định ranh giới thửa đất trên thực địa</v>
      </c>
      <c r="C98" s="1013" t="s">
        <v>317</v>
      </c>
      <c r="D98" s="274">
        <v>1</v>
      </c>
      <c r="E98" s="271">
        <f>NhanCong!I$68</f>
        <v>7956666.5750000011</v>
      </c>
      <c r="F98" s="271">
        <f>NhanCong!I$69</f>
        <v>1684607.6923076925</v>
      </c>
      <c r="G98" s="905">
        <f>Dcu!M$103*0.4</f>
        <v>27659.086538461539</v>
      </c>
      <c r="H98" s="905">
        <f>VLieu!K$68</f>
        <v>4590725</v>
      </c>
      <c r="I98" s="905"/>
      <c r="J98" s="905"/>
      <c r="K98" s="905">
        <f>SUM(E98:J98)</f>
        <v>14259658.353846155</v>
      </c>
      <c r="L98" s="905">
        <f t="shared" si="37"/>
        <v>3564914.5884615388</v>
      </c>
      <c r="M98" s="906">
        <f t="shared" si="38"/>
        <v>17824572.942307696</v>
      </c>
      <c r="N98" s="905"/>
      <c r="O98" s="271">
        <f>'DGSP_chitiet (truKH)'!K98</f>
        <v>14259658.353846155</v>
      </c>
      <c r="P98" s="271">
        <f>'DGSP_chitiet (truKH)'!L98</f>
        <v>3564914.5884615388</v>
      </c>
      <c r="Q98" s="306">
        <f>'DGSP_chitiet (truKH)'!M98</f>
        <v>17824572.942307696</v>
      </c>
      <c r="R98" s="271">
        <f>'DGSP_chitiet (truKH)'!N98</f>
        <v>0</v>
      </c>
      <c r="S98" s="905">
        <f>NhanCong!J$68</f>
        <v>225267.30769230769</v>
      </c>
    </row>
    <row r="99" spans="1:19">
      <c r="A99" s="1012"/>
      <c r="B99" s="1011"/>
      <c r="C99" s="1013"/>
      <c r="D99" s="274">
        <v>2</v>
      </c>
      <c r="E99" s="271">
        <f>NhanCong!I$70</f>
        <v>9546281.3875000011</v>
      </c>
      <c r="F99" s="271">
        <f>NhanCong!I$71</f>
        <v>2021165.3846153847</v>
      </c>
      <c r="G99" s="905">
        <f>Dcu!M$104*0.4</f>
        <v>33586.033653846156</v>
      </c>
      <c r="H99" s="905">
        <f>VLieu!K$68</f>
        <v>4590725</v>
      </c>
      <c r="I99" s="905"/>
      <c r="J99" s="905"/>
      <c r="K99" s="905">
        <f t="shared" si="36"/>
        <v>16191757.805769231</v>
      </c>
      <c r="L99" s="905">
        <f t="shared" si="37"/>
        <v>4047939.4514423078</v>
      </c>
      <c r="M99" s="906">
        <f t="shared" si="38"/>
        <v>20239697.25721154</v>
      </c>
      <c r="N99" s="905"/>
      <c r="O99" s="271">
        <f>'DGSP_chitiet (truKH)'!K99</f>
        <v>16191757.805769231</v>
      </c>
      <c r="P99" s="271">
        <f>'DGSP_chitiet (truKH)'!L99</f>
        <v>4047939.4514423078</v>
      </c>
      <c r="Q99" s="306">
        <f>'DGSP_chitiet (truKH)'!M99</f>
        <v>20239697.25721154</v>
      </c>
      <c r="R99" s="271">
        <f>'DGSP_chitiet (truKH)'!N99</f>
        <v>0</v>
      </c>
      <c r="S99" s="905">
        <f>NhanCong!J$70</f>
        <v>270272.11538461538</v>
      </c>
    </row>
    <row r="100" spans="1:19">
      <c r="A100" s="1012"/>
      <c r="B100" s="1011"/>
      <c r="C100" s="1013"/>
      <c r="D100" s="274">
        <v>3</v>
      </c>
      <c r="E100" s="271">
        <f>NhanCong!I$72</f>
        <v>11092933.637500003</v>
      </c>
      <c r="F100" s="271">
        <f>NhanCong!I$73</f>
        <v>2348626.9230769235</v>
      </c>
      <c r="G100" s="905">
        <f>Dcu!M$105*0.4</f>
        <v>39512.98076923078</v>
      </c>
      <c r="H100" s="905">
        <f>VLieu!K$68</f>
        <v>4590725</v>
      </c>
      <c r="I100" s="905"/>
      <c r="J100" s="905"/>
      <c r="K100" s="905">
        <f t="shared" si="36"/>
        <v>18071798.541346155</v>
      </c>
      <c r="L100" s="905">
        <f t="shared" si="37"/>
        <v>4517949.6353365388</v>
      </c>
      <c r="M100" s="906">
        <f t="shared" si="38"/>
        <v>22589748.176682696</v>
      </c>
      <c r="N100" s="905"/>
      <c r="O100" s="271">
        <f>'DGSP_chitiet (truKH)'!K100</f>
        <v>18071798.541346155</v>
      </c>
      <c r="P100" s="271">
        <f>'DGSP_chitiet (truKH)'!L100</f>
        <v>4517949.6353365388</v>
      </c>
      <c r="Q100" s="306">
        <f>'DGSP_chitiet (truKH)'!M100</f>
        <v>22589748.176682696</v>
      </c>
      <c r="R100" s="271">
        <f>'DGSP_chitiet (truKH)'!N100</f>
        <v>0</v>
      </c>
      <c r="S100" s="905">
        <f>NhanCong!J$72</f>
        <v>314060.57692307694</v>
      </c>
    </row>
    <row r="101" spans="1:19">
      <c r="A101" s="1012"/>
      <c r="B101" s="1011"/>
      <c r="C101" s="1013"/>
      <c r="D101" s="274">
        <v>4</v>
      </c>
      <c r="E101" s="271">
        <f>NhanCong!I$74</f>
        <v>12605215.837500002</v>
      </c>
      <c r="F101" s="271">
        <f>NhanCong!I$75</f>
        <v>2668811.5384615385</v>
      </c>
      <c r="G101" s="905">
        <f>Dcu!M$106*0.4</f>
        <v>47415.576923076929</v>
      </c>
      <c r="H101" s="905">
        <f>VLieu!K$68</f>
        <v>4590725</v>
      </c>
      <c r="I101" s="905"/>
      <c r="J101" s="905"/>
      <c r="K101" s="905">
        <f t="shared" si="36"/>
        <v>19912167.952884614</v>
      </c>
      <c r="L101" s="905">
        <f t="shared" si="37"/>
        <v>4978041.9882211536</v>
      </c>
      <c r="M101" s="906">
        <f t="shared" si="38"/>
        <v>24890209.941105768</v>
      </c>
      <c r="N101" s="905"/>
      <c r="O101" s="271">
        <f>'DGSP_chitiet (truKH)'!K101</f>
        <v>19912167.952884614</v>
      </c>
      <c r="P101" s="271">
        <f>'DGSP_chitiet (truKH)'!L101</f>
        <v>4978041.9882211536</v>
      </c>
      <c r="Q101" s="306">
        <f>'DGSP_chitiet (truKH)'!M101</f>
        <v>24890209.941105768</v>
      </c>
      <c r="R101" s="271">
        <f>'DGSP_chitiet (truKH)'!N101</f>
        <v>0</v>
      </c>
      <c r="S101" s="905">
        <f>NhanCong!J$74</f>
        <v>356875.96153846156</v>
      </c>
    </row>
    <row r="102" spans="1:19">
      <c r="A102" s="1012" t="s">
        <v>270</v>
      </c>
      <c r="B102" s="1011" t="str">
        <f>NhanCong!B$78</f>
        <v>Đo đạc ranh giới thửa đất và các đối tượng địa lý có liên quan</v>
      </c>
      <c r="C102" s="1013" t="s">
        <v>317</v>
      </c>
      <c r="D102" s="274" t="s">
        <v>18</v>
      </c>
      <c r="E102" s="271">
        <f>NhanCong!I$78</f>
        <v>12802843.625000004</v>
      </c>
      <c r="F102" s="271">
        <f>NhanCong!I$79</f>
        <v>542130.76923076925</v>
      </c>
      <c r="G102" s="905">
        <f>Dcu!M$103</f>
        <v>69147.716346153844</v>
      </c>
      <c r="H102" s="905">
        <f>VLieu!K$69</f>
        <v>4590725</v>
      </c>
      <c r="I102" s="905">
        <f>TBi!N$62</f>
        <v>239838</v>
      </c>
      <c r="J102" s="905"/>
      <c r="K102" s="905">
        <f t="shared" si="36"/>
        <v>18244685.110576928</v>
      </c>
      <c r="L102" s="905">
        <f t="shared" si="37"/>
        <v>4561171.2776442319</v>
      </c>
      <c r="M102" s="906">
        <f t="shared" si="38"/>
        <v>22805856.38822116</v>
      </c>
      <c r="N102" s="905"/>
      <c r="O102" s="271">
        <f>'DGSP_chitiet (truKH)'!K102</f>
        <v>18004847.110576928</v>
      </c>
      <c r="P102" s="271">
        <f>'DGSP_chitiet (truKH)'!L102</f>
        <v>4501211.7776442319</v>
      </c>
      <c r="Q102" s="306">
        <f>'DGSP_chitiet (truKH)'!M102</f>
        <v>22506058.88822116</v>
      </c>
      <c r="R102" s="271">
        <f>'DGSP_chitiet (truKH)'!N102</f>
        <v>0</v>
      </c>
      <c r="S102" s="905">
        <f>NhanCong!J$78</f>
        <v>362471.15384615381</v>
      </c>
    </row>
    <row r="103" spans="1:19">
      <c r="A103" s="1012"/>
      <c r="B103" s="1011"/>
      <c r="C103" s="1013"/>
      <c r="D103" s="274" t="s">
        <v>20</v>
      </c>
      <c r="E103" s="271">
        <f>NhanCong!I$80</f>
        <v>15380597.375000006</v>
      </c>
      <c r="F103" s="271">
        <f>NhanCong!I$81</f>
        <v>649465.38461538462</v>
      </c>
      <c r="G103" s="905">
        <f>Dcu!M$104</f>
        <v>83965.08413461539</v>
      </c>
      <c r="H103" s="905">
        <f>VLieu!K$69</f>
        <v>4590725</v>
      </c>
      <c r="I103" s="905">
        <f>TBi!O$62</f>
        <v>278122</v>
      </c>
      <c r="J103" s="905"/>
      <c r="K103" s="905">
        <f t="shared" si="36"/>
        <v>20982874.843750007</v>
      </c>
      <c r="L103" s="905">
        <f t="shared" si="37"/>
        <v>5245718.7109375019</v>
      </c>
      <c r="M103" s="906">
        <f t="shared" si="38"/>
        <v>26228593.554687507</v>
      </c>
      <c r="N103" s="905"/>
      <c r="O103" s="271">
        <f>'DGSP_chitiet (truKH)'!K103</f>
        <v>20704752.843750007</v>
      </c>
      <c r="P103" s="271">
        <f>'DGSP_chitiet (truKH)'!L103</f>
        <v>5176188.2109375019</v>
      </c>
      <c r="Q103" s="306">
        <f>'DGSP_chitiet (truKH)'!M103</f>
        <v>25880941.054687507</v>
      </c>
      <c r="R103" s="271">
        <f>'DGSP_chitiet (truKH)'!N103</f>
        <v>0</v>
      </c>
      <c r="S103" s="905">
        <f>NhanCong!J$80</f>
        <v>435451.92307692306</v>
      </c>
    </row>
    <row r="104" spans="1:19">
      <c r="A104" s="1012"/>
      <c r="B104" s="1011"/>
      <c r="C104" s="1013"/>
      <c r="D104" s="274" t="s">
        <v>35</v>
      </c>
      <c r="E104" s="271">
        <f>NhanCong!I$82</f>
        <v>18452420.593750004</v>
      </c>
      <c r="F104" s="271">
        <f>NhanCong!I$83</f>
        <v>780450.00000000012</v>
      </c>
      <c r="G104" s="905">
        <f>Dcu!M$105</f>
        <v>98782.451923076937</v>
      </c>
      <c r="H104" s="905">
        <f>VLieu!K$69</f>
        <v>4590725</v>
      </c>
      <c r="I104" s="905">
        <f>TBi!P$62</f>
        <v>345119</v>
      </c>
      <c r="J104" s="905"/>
      <c r="K104" s="905">
        <f t="shared" si="36"/>
        <v>24267497.04567308</v>
      </c>
      <c r="L104" s="905">
        <f t="shared" si="37"/>
        <v>6066874.2614182699</v>
      </c>
      <c r="M104" s="906">
        <f t="shared" si="38"/>
        <v>30334371.307091348</v>
      </c>
      <c r="N104" s="905"/>
      <c r="O104" s="271">
        <f>'DGSP_chitiet (truKH)'!K104</f>
        <v>23922378.04567308</v>
      </c>
      <c r="P104" s="271">
        <f>'DGSP_chitiet (truKH)'!L104</f>
        <v>5980594.5114182699</v>
      </c>
      <c r="Q104" s="306">
        <f>'DGSP_chitiet (truKH)'!M104</f>
        <v>29902972.557091348</v>
      </c>
      <c r="R104" s="271">
        <f>'DGSP_chitiet (truKH)'!N104</f>
        <v>0</v>
      </c>
      <c r="S104" s="905">
        <f>NhanCong!J$82</f>
        <v>522420.67307692312</v>
      </c>
    </row>
    <row r="105" spans="1:19">
      <c r="A105" s="1012"/>
      <c r="B105" s="1011"/>
      <c r="C105" s="1013"/>
      <c r="D105" s="274" t="s">
        <v>33</v>
      </c>
      <c r="E105" s="271">
        <f>NhanCong!I$84</f>
        <v>22147200.968750007</v>
      </c>
      <c r="F105" s="271">
        <f>NhanCong!I$85</f>
        <v>936903.84615384624</v>
      </c>
      <c r="G105" s="905">
        <f>Dcu!M$106</f>
        <v>118538.94230769231</v>
      </c>
      <c r="H105" s="905">
        <f>VLieu!K$69</f>
        <v>4590725</v>
      </c>
      <c r="I105" s="905">
        <f>TBi!Q$62</f>
        <v>414368</v>
      </c>
      <c r="J105" s="905"/>
      <c r="K105" s="905">
        <f t="shared" si="36"/>
        <v>28207736.757211547</v>
      </c>
      <c r="L105" s="905">
        <f t="shared" si="37"/>
        <v>7051934.1893028868</v>
      </c>
      <c r="M105" s="906">
        <f t="shared" si="38"/>
        <v>35259670.946514435</v>
      </c>
      <c r="N105" s="905"/>
      <c r="O105" s="271">
        <f>'DGSP_chitiet (truKH)'!K105</f>
        <v>27793368.757211547</v>
      </c>
      <c r="P105" s="271">
        <f>'DGSP_chitiet (truKH)'!L105</f>
        <v>6948342.1893028868</v>
      </c>
      <c r="Q105" s="306">
        <f>'DGSP_chitiet (truKH)'!M105</f>
        <v>34741710.946514435</v>
      </c>
      <c r="R105" s="271">
        <f>'DGSP_chitiet (truKH)'!N105</f>
        <v>0</v>
      </c>
      <c r="S105" s="905">
        <f>NhanCong!J$84</f>
        <v>627026.44230769237</v>
      </c>
    </row>
    <row r="106" spans="1:19">
      <c r="A106" s="1012" t="s">
        <v>363</v>
      </c>
      <c r="B106" s="1011" t="str">
        <f>NhanCong!B$88</f>
        <v>Đối soát, kiểm tra</v>
      </c>
      <c r="C106" s="1013" t="s">
        <v>317</v>
      </c>
      <c r="D106" s="274" t="s">
        <v>18</v>
      </c>
      <c r="E106" s="271">
        <f>NhanCong!I$88</f>
        <v>386663.06250000012</v>
      </c>
      <c r="F106" s="271">
        <f>NhanCong!I$89</f>
        <v>107334.61538461539</v>
      </c>
      <c r="G106" s="905">
        <f>Dcu!M$103*0.4</f>
        <v>27659.086538461539</v>
      </c>
      <c r="H106" s="905">
        <f>VLieu!K$70</f>
        <v>2387177</v>
      </c>
      <c r="I106" s="905"/>
      <c r="J106" s="905"/>
      <c r="K106" s="905">
        <f t="shared" si="36"/>
        <v>2908833.764423077</v>
      </c>
      <c r="L106" s="905">
        <f t="shared" si="37"/>
        <v>727208.44110576925</v>
      </c>
      <c r="M106" s="906">
        <f t="shared" si="38"/>
        <v>3636042.205528846</v>
      </c>
      <c r="N106" s="905"/>
      <c r="O106" s="271">
        <f>'DGSP_chitiet (truKH)'!K106</f>
        <v>2908833.764423077</v>
      </c>
      <c r="P106" s="271">
        <f>'DGSP_chitiet (truKH)'!L106</f>
        <v>727208.44110576925</v>
      </c>
      <c r="Q106" s="306">
        <f>'DGSP_chitiet (truKH)'!M106</f>
        <v>3636042.205528846</v>
      </c>
      <c r="R106" s="271">
        <f>'DGSP_chitiet (truKH)'!N106</f>
        <v>0</v>
      </c>
      <c r="S106" s="905">
        <f>NhanCong!J$88</f>
        <v>10947.115384615387</v>
      </c>
    </row>
    <row r="107" spans="1:19">
      <c r="A107" s="1012"/>
      <c r="B107" s="1011"/>
      <c r="C107" s="1013"/>
      <c r="D107" s="274" t="s">
        <v>20</v>
      </c>
      <c r="E107" s="271">
        <f>NhanCong!I$90</f>
        <v>472588.18750000012</v>
      </c>
      <c r="F107" s="271">
        <f>NhanCong!I$91</f>
        <v>129165.38461538462</v>
      </c>
      <c r="G107" s="905">
        <f>Dcu!M$104*0.4</f>
        <v>33586.033653846156</v>
      </c>
      <c r="H107" s="905">
        <f>VLieu!K$70</f>
        <v>2387177</v>
      </c>
      <c r="I107" s="905"/>
      <c r="J107" s="905"/>
      <c r="K107" s="905">
        <f t="shared" si="36"/>
        <v>3022516.605769231</v>
      </c>
      <c r="L107" s="905">
        <f t="shared" si="37"/>
        <v>755629.15144230775</v>
      </c>
      <c r="M107" s="906">
        <f t="shared" si="38"/>
        <v>3778145.757211539</v>
      </c>
      <c r="N107" s="905"/>
      <c r="O107" s="271">
        <f>'DGSP_chitiet (truKH)'!K107</f>
        <v>3022516.605769231</v>
      </c>
      <c r="P107" s="271">
        <f>'DGSP_chitiet (truKH)'!L107</f>
        <v>755629.15144230775</v>
      </c>
      <c r="Q107" s="306">
        <f>'DGSP_chitiet (truKH)'!M107</f>
        <v>3778145.757211539</v>
      </c>
      <c r="R107" s="271">
        <f>'DGSP_chitiet (truKH)'!N107</f>
        <v>0</v>
      </c>
      <c r="S107" s="905">
        <f>NhanCong!J$90</f>
        <v>13379.807692307693</v>
      </c>
    </row>
    <row r="108" spans="1:19">
      <c r="A108" s="1012"/>
      <c r="B108" s="1011"/>
      <c r="C108" s="1013"/>
      <c r="D108" s="274" t="s">
        <v>35</v>
      </c>
      <c r="E108" s="271">
        <f>NhanCong!I$92</f>
        <v>579994.59375000012</v>
      </c>
      <c r="F108" s="271">
        <f>NhanCong!I$93</f>
        <v>160092.30769230772</v>
      </c>
      <c r="G108" s="905">
        <f>Dcu!M$105*0.4</f>
        <v>39512.98076923078</v>
      </c>
      <c r="H108" s="905">
        <f>VLieu!K$70</f>
        <v>2387177</v>
      </c>
      <c r="I108" s="905"/>
      <c r="J108" s="905"/>
      <c r="K108" s="905">
        <f t="shared" si="36"/>
        <v>3166776.8822115385</v>
      </c>
      <c r="L108" s="905">
        <f t="shared" si="37"/>
        <v>791694.22055288462</v>
      </c>
      <c r="M108" s="906">
        <f t="shared" si="38"/>
        <v>3958471.102764423</v>
      </c>
      <c r="N108" s="905"/>
      <c r="O108" s="271">
        <f>'DGSP_chitiet (truKH)'!K108</f>
        <v>3166776.8822115385</v>
      </c>
      <c r="P108" s="271">
        <f>'DGSP_chitiet (truKH)'!L108</f>
        <v>791694.22055288462</v>
      </c>
      <c r="Q108" s="306">
        <f>'DGSP_chitiet (truKH)'!M108</f>
        <v>3958471.102764423</v>
      </c>
      <c r="R108" s="271">
        <f>'DGSP_chitiet (truKH)'!N108</f>
        <v>0</v>
      </c>
      <c r="S108" s="905">
        <f>NhanCong!J$92</f>
        <v>16420.673076923078</v>
      </c>
    </row>
    <row r="109" spans="1:19">
      <c r="A109" s="1012"/>
      <c r="B109" s="1011"/>
      <c r="C109" s="1013"/>
      <c r="D109" s="274" t="s">
        <v>33</v>
      </c>
      <c r="E109" s="271">
        <f>NhanCong!I$94</f>
        <v>734659.81875000009</v>
      </c>
      <c r="F109" s="271">
        <f>NhanCong!I$95</f>
        <v>192838.46153846156</v>
      </c>
      <c r="G109" s="905">
        <f>Dcu!M$106*0.4</f>
        <v>47415.576923076929</v>
      </c>
      <c r="H109" s="905">
        <f>VLieu!K$70</f>
        <v>2387177</v>
      </c>
      <c r="I109" s="905"/>
      <c r="J109" s="905"/>
      <c r="K109" s="905">
        <f t="shared" si="36"/>
        <v>3362090.8572115386</v>
      </c>
      <c r="L109" s="905">
        <f t="shared" si="37"/>
        <v>840522.71430288465</v>
      </c>
      <c r="M109" s="906">
        <f t="shared" si="38"/>
        <v>4202613.571514423</v>
      </c>
      <c r="N109" s="905"/>
      <c r="O109" s="271">
        <f>'DGSP_chitiet (truKH)'!K109</f>
        <v>3362090.8572115386</v>
      </c>
      <c r="P109" s="271">
        <f>'DGSP_chitiet (truKH)'!L109</f>
        <v>840522.71430288465</v>
      </c>
      <c r="Q109" s="306">
        <f>'DGSP_chitiet (truKH)'!M109</f>
        <v>4202613.571514423</v>
      </c>
      <c r="R109" s="271">
        <f>'DGSP_chitiet (truKH)'!N109</f>
        <v>0</v>
      </c>
      <c r="S109" s="905">
        <f>NhanCong!J$94</f>
        <v>20799.519230769227</v>
      </c>
    </row>
    <row r="110" spans="1:19">
      <c r="A110" s="1012" t="s">
        <v>364</v>
      </c>
      <c r="B110" s="1011" t="str">
        <f>NhanCong!B$98</f>
        <v>Giao nhận Phiếu kết quả đo đạc hiện trạng thửa đất</v>
      </c>
      <c r="C110" s="1013" t="s">
        <v>317</v>
      </c>
      <c r="D110" s="274" t="s">
        <v>18</v>
      </c>
      <c r="E110" s="271">
        <f>NhanCong!I$98</f>
        <v>1770057.5750000004</v>
      </c>
      <c r="F110" s="271">
        <f>NhanCong!I$99</f>
        <v>749523.07692307699</v>
      </c>
      <c r="G110" s="905">
        <f>Dcu!M$103*0.4</f>
        <v>27659.086538461539</v>
      </c>
      <c r="H110" s="905">
        <f>VLieu!K$71</f>
        <v>2387177</v>
      </c>
      <c r="I110" s="905"/>
      <c r="J110" s="905"/>
      <c r="K110" s="905">
        <f t="shared" si="36"/>
        <v>4934416.7384615391</v>
      </c>
      <c r="L110" s="905">
        <f t="shared" si="37"/>
        <v>1233604.1846153848</v>
      </c>
      <c r="M110" s="906">
        <f t="shared" si="38"/>
        <v>6168020.9230769239</v>
      </c>
      <c r="N110" s="905"/>
      <c r="O110" s="271">
        <f>'DGSP_chitiet (truKH)'!K110</f>
        <v>4934416.7384615391</v>
      </c>
      <c r="P110" s="271">
        <f>'DGSP_chitiet (truKH)'!L110</f>
        <v>1233604.1846153848</v>
      </c>
      <c r="Q110" s="306">
        <f>'DGSP_chitiet (truKH)'!M110</f>
        <v>6168020.9230769239</v>
      </c>
      <c r="R110" s="271">
        <f>'DGSP_chitiet (truKH)'!N110</f>
        <v>0</v>
      </c>
      <c r="S110" s="905">
        <f>NhanCong!J$98</f>
        <v>50113.461538461546</v>
      </c>
    </row>
    <row r="111" spans="1:19">
      <c r="A111" s="1012"/>
      <c r="B111" s="1011"/>
      <c r="C111" s="1013"/>
      <c r="D111" s="274" t="s">
        <v>20</v>
      </c>
      <c r="E111" s="271">
        <f>NhanCong!I$100</f>
        <v>2126646.8437500005</v>
      </c>
      <c r="F111" s="271">
        <f>NhanCong!I$101</f>
        <v>900519.23076923087</v>
      </c>
      <c r="G111" s="905">
        <f>Dcu!M$104*0.4</f>
        <v>33586.033653846156</v>
      </c>
      <c r="H111" s="905">
        <f>VLieu!K$71</f>
        <v>2387177</v>
      </c>
      <c r="I111" s="905"/>
      <c r="J111" s="905"/>
      <c r="K111" s="905">
        <f t="shared" si="36"/>
        <v>5447929.1081730779</v>
      </c>
      <c r="L111" s="905">
        <f t="shared" si="37"/>
        <v>1361982.2770432695</v>
      </c>
      <c r="M111" s="906">
        <f t="shared" si="38"/>
        <v>6809911.3852163479</v>
      </c>
      <c r="N111" s="905"/>
      <c r="O111" s="271">
        <f>'DGSP_chitiet (truKH)'!K111</f>
        <v>5447929.1081730779</v>
      </c>
      <c r="P111" s="271">
        <f>'DGSP_chitiet (truKH)'!L111</f>
        <v>1361982.2770432695</v>
      </c>
      <c r="Q111" s="306">
        <f>'DGSP_chitiet (truKH)'!M111</f>
        <v>6809911.3852163479</v>
      </c>
      <c r="R111" s="271">
        <f>'DGSP_chitiet (truKH)'!N111</f>
        <v>0</v>
      </c>
      <c r="S111" s="905">
        <f>NhanCong!J$100</f>
        <v>60209.134615384617</v>
      </c>
    </row>
    <row r="112" spans="1:19">
      <c r="A112" s="1012"/>
      <c r="B112" s="1011"/>
      <c r="C112" s="1013"/>
      <c r="D112" s="274" t="s">
        <v>35</v>
      </c>
      <c r="E112" s="271">
        <f>NhanCong!I$102</f>
        <v>2551976.2125000004</v>
      </c>
      <c r="F112" s="271">
        <f>NhanCong!I$103</f>
        <v>1080623.076923077</v>
      </c>
      <c r="G112" s="905">
        <f>Dcu!M$105*0.4</f>
        <v>39512.98076923078</v>
      </c>
      <c r="H112" s="905">
        <f>VLieu!K$71</f>
        <v>2387177</v>
      </c>
      <c r="I112" s="905"/>
      <c r="J112" s="905"/>
      <c r="K112" s="905">
        <f t="shared" si="36"/>
        <v>6059289.2701923084</v>
      </c>
      <c r="L112" s="905">
        <f t="shared" si="37"/>
        <v>1514822.3175480771</v>
      </c>
      <c r="M112" s="906">
        <f t="shared" si="38"/>
        <v>7574111.5877403859</v>
      </c>
      <c r="N112" s="905"/>
      <c r="O112" s="271">
        <f>'DGSP_chitiet (truKH)'!K112</f>
        <v>6059289.2701923084</v>
      </c>
      <c r="P112" s="271">
        <f>'DGSP_chitiet (truKH)'!L112</f>
        <v>1514822.3175480771</v>
      </c>
      <c r="Q112" s="306">
        <f>'DGSP_chitiet (truKH)'!M112</f>
        <v>7574111.5877403859</v>
      </c>
      <c r="R112" s="271">
        <f>'DGSP_chitiet (truKH)'!N112</f>
        <v>0</v>
      </c>
      <c r="S112" s="905">
        <f>NhanCong!J$102</f>
        <v>72250.961538461546</v>
      </c>
    </row>
    <row r="113" spans="1:19">
      <c r="A113" s="1012"/>
      <c r="B113" s="1011"/>
      <c r="C113" s="1013"/>
      <c r="D113" s="274" t="s">
        <v>33</v>
      </c>
      <c r="E113" s="271">
        <f>NhanCong!I$104</f>
        <v>3063230.7062500007</v>
      </c>
      <c r="F113" s="271">
        <f>NhanCong!I$105</f>
        <v>1297111.5384615385</v>
      </c>
      <c r="G113" s="905">
        <f>Dcu!M$106*0.4</f>
        <v>47415.576923076929</v>
      </c>
      <c r="H113" s="905">
        <f>VLieu!K$71</f>
        <v>2387177</v>
      </c>
      <c r="I113" s="905"/>
      <c r="J113" s="905"/>
      <c r="K113" s="905">
        <f t="shared" si="36"/>
        <v>6794934.8216346158</v>
      </c>
      <c r="L113" s="905">
        <f t="shared" si="37"/>
        <v>1698733.7054086539</v>
      </c>
      <c r="M113" s="906">
        <f t="shared" si="38"/>
        <v>8493668.5270432699</v>
      </c>
      <c r="N113" s="905"/>
      <c r="O113" s="271">
        <f>'DGSP_chitiet (truKH)'!K113</f>
        <v>6794934.8216346158</v>
      </c>
      <c r="P113" s="271">
        <f>'DGSP_chitiet (truKH)'!L113</f>
        <v>1698733.7054086539</v>
      </c>
      <c r="Q113" s="306">
        <f>'DGSP_chitiet (truKH)'!M113</f>
        <v>8493668.5270432699</v>
      </c>
      <c r="R113" s="271">
        <f>'DGSP_chitiet (truKH)'!N113</f>
        <v>0</v>
      </c>
      <c r="S113" s="905">
        <f>NhanCong!J$104</f>
        <v>86725.480769230766</v>
      </c>
    </row>
    <row r="114" spans="1:19" ht="13.5" customHeight="1">
      <c r="A114" s="242">
        <v>2</v>
      </c>
      <c r="B114" s="276" t="s">
        <v>58</v>
      </c>
      <c r="C114" s="274" t="s">
        <v>43</v>
      </c>
      <c r="D114" s="274"/>
      <c r="E114" s="271">
        <f>NhanCong!I$108</f>
        <v>0</v>
      </c>
      <c r="F114" s="271"/>
      <c r="G114" s="905"/>
      <c r="H114" s="905"/>
      <c r="I114" s="905"/>
      <c r="J114" s="905"/>
      <c r="K114" s="905">
        <f>E114+F114+G114+I114+J114</f>
        <v>0</v>
      </c>
      <c r="L114" s="905"/>
      <c r="M114" s="906"/>
      <c r="N114" s="905"/>
      <c r="O114" s="271">
        <f>'DGSP_chitiet (truKH)'!K114</f>
        <v>0</v>
      </c>
      <c r="P114" s="271">
        <f>'DGSP_chitiet (truKH)'!L114</f>
        <v>0</v>
      </c>
      <c r="Q114" s="306">
        <f>'DGSP_chitiet (truKH)'!M114</f>
        <v>0</v>
      </c>
      <c r="R114" s="271">
        <f>'DGSP_chitiet (truKH)'!N114</f>
        <v>0</v>
      </c>
      <c r="S114" s="905"/>
    </row>
    <row r="115" spans="1:19">
      <c r="A115" s="1012" t="s">
        <v>268</v>
      </c>
      <c r="B115" s="1011" t="str">
        <f>NhanCong!B$109</f>
        <v>Biên tập bản đồ địa chính</v>
      </c>
      <c r="C115" s="1013" t="s">
        <v>317</v>
      </c>
      <c r="D115" s="274" t="s">
        <v>18</v>
      </c>
      <c r="E115" s="271">
        <f>NhanCong!I$109</f>
        <v>1402298.0400000003</v>
      </c>
      <c r="F115" s="271"/>
      <c r="G115" s="905">
        <f>Dcu!M$123</f>
        <v>7326.9277606837604</v>
      </c>
      <c r="H115" s="905">
        <f>VLieu!K$90</f>
        <v>354695</v>
      </c>
      <c r="I115" s="905">
        <f>TBi!N$87</f>
        <v>118444.60357142857</v>
      </c>
      <c r="J115" s="905">
        <f>TBi!N$93</f>
        <v>49773.36</v>
      </c>
      <c r="K115" s="905">
        <f>SUM(E115:J115)</f>
        <v>1932537.9313321125</v>
      </c>
      <c r="L115" s="905">
        <f>K115*0.15</f>
        <v>289880.68969981687</v>
      </c>
      <c r="M115" s="906">
        <f>K115+L115</f>
        <v>2222418.6210319293</v>
      </c>
      <c r="N115" s="905"/>
      <c r="O115" s="271">
        <f>'DGSP_chitiet (truKH)'!K115</f>
        <v>1814093.3277606841</v>
      </c>
      <c r="P115" s="271">
        <f>'DGSP_chitiet (truKH)'!L115</f>
        <v>272113.9991641026</v>
      </c>
      <c r="Q115" s="306">
        <f>'DGSP_chitiet (truKH)'!M115</f>
        <v>2086207.3269247867</v>
      </c>
      <c r="R115" s="271">
        <f>'DGSP_chitiet (truKH)'!N115</f>
        <v>0</v>
      </c>
      <c r="S115" s="905">
        <f>NhanCong!J$109</f>
        <v>39701.538461538461</v>
      </c>
    </row>
    <row r="116" spans="1:19">
      <c r="A116" s="1012"/>
      <c r="B116" s="1011"/>
      <c r="C116" s="1013"/>
      <c r="D116" s="274" t="s">
        <v>20</v>
      </c>
      <c r="E116" s="271">
        <f>NhanCong!I$110</f>
        <v>1697880.4700000004</v>
      </c>
      <c r="F116" s="271"/>
      <c r="G116" s="905">
        <f>Dcu!M$124</f>
        <v>8896.9837094017093</v>
      </c>
      <c r="H116" s="905">
        <f>VLieu!K$90</f>
        <v>354695</v>
      </c>
      <c r="I116" s="905">
        <f>TBi!O$87</f>
        <v>142590.73285714287</v>
      </c>
      <c r="J116" s="905">
        <f>TBi!O$93</f>
        <v>60658.5</v>
      </c>
      <c r="K116" s="905">
        <f t="shared" ref="K116:K124" si="39">SUM(E116:J116)</f>
        <v>2264721.6865665452</v>
      </c>
      <c r="L116" s="905">
        <f>K116*0.15</f>
        <v>339708.25298498175</v>
      </c>
      <c r="M116" s="906">
        <f t="shared" ref="M116:M124" si="40">K116+L116</f>
        <v>2604429.9395515267</v>
      </c>
      <c r="N116" s="905"/>
      <c r="O116" s="271">
        <f>'DGSP_chitiet (truKH)'!K116</f>
        <v>2122130.9537094021</v>
      </c>
      <c r="P116" s="271">
        <f>'DGSP_chitiet (truKH)'!L116</f>
        <v>318319.64305641031</v>
      </c>
      <c r="Q116" s="306">
        <f>'DGSP_chitiet (truKH)'!M116</f>
        <v>2440450.5967658125</v>
      </c>
      <c r="R116" s="271">
        <f>'DGSP_chitiet (truKH)'!N116</f>
        <v>0</v>
      </c>
      <c r="S116" s="905">
        <f>NhanCong!J$110</f>
        <v>48070</v>
      </c>
    </row>
    <row r="117" spans="1:19">
      <c r="A117" s="1012"/>
      <c r="B117" s="1011"/>
      <c r="C117" s="1013"/>
      <c r="D117" s="274" t="s">
        <v>35</v>
      </c>
      <c r="E117" s="271">
        <f>NhanCong!I$111</f>
        <v>1965966.8600000003</v>
      </c>
      <c r="F117" s="271"/>
      <c r="G117" s="905">
        <f>Dcu!M$125</f>
        <v>10467.039658119658</v>
      </c>
      <c r="H117" s="905">
        <f>VLieu!K$90</f>
        <v>354695</v>
      </c>
      <c r="I117" s="905">
        <f>TBi!P$87</f>
        <v>164829.38928571431</v>
      </c>
      <c r="J117" s="905">
        <f>TBi!P$93</f>
        <v>70519.679999999993</v>
      </c>
      <c r="K117" s="905">
        <f t="shared" si="39"/>
        <v>2566477.9689438348</v>
      </c>
      <c r="L117" s="905">
        <f>K117*0.15</f>
        <v>384971.69534157519</v>
      </c>
      <c r="M117" s="906">
        <f t="shared" si="40"/>
        <v>2951449.6642854102</v>
      </c>
      <c r="N117" s="905"/>
      <c r="O117" s="271">
        <f>'DGSP_chitiet (truKH)'!K117</f>
        <v>2401648.5796581204</v>
      </c>
      <c r="P117" s="271">
        <f>'DGSP_chitiet (truKH)'!L117</f>
        <v>360247.28694871807</v>
      </c>
      <c r="Q117" s="306">
        <f>'DGSP_chitiet (truKH)'!M117</f>
        <v>2761895.8666068385</v>
      </c>
      <c r="R117" s="271">
        <f>'DGSP_chitiet (truKH)'!N117</f>
        <v>0</v>
      </c>
      <c r="S117" s="905">
        <f>NhanCong!J$111</f>
        <v>55659.999999999993</v>
      </c>
    </row>
    <row r="118" spans="1:19">
      <c r="A118" s="1012"/>
      <c r="B118" s="1011"/>
      <c r="C118" s="1013"/>
      <c r="D118" s="274" t="s">
        <v>33</v>
      </c>
      <c r="E118" s="271">
        <f>NhanCong!I$112</f>
        <v>2433399.5400000005</v>
      </c>
      <c r="F118" s="271"/>
      <c r="G118" s="905">
        <f>Dcu!M$126</f>
        <v>13083.799572649572</v>
      </c>
      <c r="H118" s="905">
        <f>VLieu!K$90</f>
        <v>354695</v>
      </c>
      <c r="I118" s="905">
        <f>TBi!Q$87</f>
        <v>203622.17071428572</v>
      </c>
      <c r="J118" s="905">
        <f>TBi!Q$93</f>
        <v>87593.1</v>
      </c>
      <c r="K118" s="905">
        <f t="shared" si="39"/>
        <v>3092393.6102869357</v>
      </c>
      <c r="L118" s="905">
        <f>K118*0.15</f>
        <v>463859.04154304037</v>
      </c>
      <c r="M118" s="906">
        <f t="shared" si="40"/>
        <v>3556252.6518299761</v>
      </c>
      <c r="N118" s="905"/>
      <c r="O118" s="271">
        <f>'DGSP_chitiet (truKH)'!K118</f>
        <v>2888771.43957265</v>
      </c>
      <c r="P118" s="271">
        <f>'DGSP_chitiet (truKH)'!L118</f>
        <v>433315.71593589749</v>
      </c>
      <c r="Q118" s="306">
        <f>'DGSP_chitiet (truKH)'!M118</f>
        <v>3322087.1555085476</v>
      </c>
      <c r="R118" s="271">
        <f>'DGSP_chitiet (truKH)'!N118</f>
        <v>0</v>
      </c>
      <c r="S118" s="905">
        <f>NhanCong!J$112</f>
        <v>68893.846153846156</v>
      </c>
    </row>
    <row r="119" spans="1:19" ht="26">
      <c r="A119" s="969">
        <v>2.2000000000000002</v>
      </c>
      <c r="B119" s="970" t="str">
        <f>NhanCong!B$114</f>
        <v>Lập Phiếu xác nhận kết quả đo đạc hiện trạng thửa đất</v>
      </c>
      <c r="C119" s="274" t="s">
        <v>317</v>
      </c>
      <c r="D119" s="274" t="s">
        <v>679</v>
      </c>
      <c r="E119" s="271">
        <f>NhanCong!I$114</f>
        <v>591164.8600000001</v>
      </c>
      <c r="F119" s="271"/>
      <c r="G119" s="905">
        <f>Dcu!M$138</f>
        <v>2531.6133333333332</v>
      </c>
      <c r="H119" s="905">
        <f>VLieu!K$91</f>
        <v>290205</v>
      </c>
      <c r="I119" s="905">
        <f>TBi!N$130</f>
        <v>15882.060714285715</v>
      </c>
      <c r="J119" s="905">
        <f>TBi!N$133</f>
        <v>13578.599999999999</v>
      </c>
      <c r="K119" s="905">
        <f>SUM(E119:J119)</f>
        <v>913362.13404761907</v>
      </c>
      <c r="L119" s="905">
        <f t="shared" ref="L119:L124" si="41">K119*0.15</f>
        <v>137004.32010714285</v>
      </c>
      <c r="M119" s="906">
        <f>K119+L119</f>
        <v>1050366.454154762</v>
      </c>
      <c r="N119" s="905"/>
      <c r="O119" s="271">
        <f>'DGSP_chitiet (truKH)'!K119</f>
        <v>897480.07333333336</v>
      </c>
      <c r="P119" s="271">
        <f>'DGSP_chitiet (truKH)'!L119</f>
        <v>134622.011</v>
      </c>
      <c r="Q119" s="306">
        <f>'DGSP_chitiet (truKH)'!M119</f>
        <v>1032102.0843333334</v>
      </c>
      <c r="R119" s="271">
        <f>'DGSP_chitiet (truKH)'!N119</f>
        <v>0</v>
      </c>
      <c r="S119" s="905">
        <f>NhanCong!J$114</f>
        <v>16736.923076923074</v>
      </c>
    </row>
    <row r="120" spans="1:19" ht="30" customHeight="1">
      <c r="A120" s="969">
        <v>2.2999999999999998</v>
      </c>
      <c r="B120" s="970" t="str">
        <f>NhanCong!B$115</f>
        <v>Công khai bản đồ địa chính, Hoàn thiện bản đồ địa chính</v>
      </c>
      <c r="C120" s="274" t="s">
        <v>317</v>
      </c>
      <c r="D120" s="274" t="s">
        <v>679</v>
      </c>
      <c r="E120" s="271">
        <f>NhanCong!I$115</f>
        <v>673652.9800000001</v>
      </c>
      <c r="F120" s="271"/>
      <c r="G120" s="905">
        <f>Dcu!M$130</f>
        <v>3663.4638803418802</v>
      </c>
      <c r="H120" s="905">
        <f>VLieu!K$94</f>
        <v>128980</v>
      </c>
      <c r="I120" s="905">
        <f>TBi!N$156</f>
        <v>15614.321428571429</v>
      </c>
      <c r="J120" s="905">
        <f>TBi!N$159</f>
        <v>20590.5</v>
      </c>
      <c r="K120" s="905">
        <f>SUM(E120:J120)</f>
        <v>842501.26530891343</v>
      </c>
      <c r="L120" s="905">
        <f t="shared" si="41"/>
        <v>126375.18979633701</v>
      </c>
      <c r="M120" s="906">
        <f t="shared" ref="M120" si="42">K120+L120</f>
        <v>968876.45510525047</v>
      </c>
      <c r="N120" s="905"/>
      <c r="O120" s="271">
        <f>'DGSP_chitiet (truKH)'!K120</f>
        <v>826886.94388034195</v>
      </c>
      <c r="P120" s="271">
        <f>'DGSP_chitiet (truKH)'!L120</f>
        <v>124033.04158205129</v>
      </c>
      <c r="Q120" s="306">
        <f>'DGSP_chitiet (truKH)'!M120</f>
        <v>950919.98546239326</v>
      </c>
      <c r="R120" s="271">
        <f>'DGSP_chitiet (truKH)'!N120</f>
        <v>0</v>
      </c>
      <c r="S120" s="905">
        <f>NhanCong!J$115</f>
        <v>19072.307692307691</v>
      </c>
    </row>
    <row r="121" spans="1:19">
      <c r="A121" s="969">
        <v>2.4</v>
      </c>
      <c r="B121" s="970" t="str">
        <f>NhanCong!B$116</f>
        <v>Lập sổ mục kê đất đai phạm vi khu đo</v>
      </c>
      <c r="C121" s="274" t="s">
        <v>317</v>
      </c>
      <c r="D121" s="274" t="s">
        <v>679</v>
      </c>
      <c r="E121" s="271">
        <f>NhanCong!I$116</f>
        <v>34370.05000000001</v>
      </c>
      <c r="F121" s="271"/>
      <c r="G121" s="905">
        <f>Dcu!M$140</f>
        <v>3140.1118974358974</v>
      </c>
      <c r="H121" s="905">
        <f>VLieu!K$94</f>
        <v>128980</v>
      </c>
      <c r="I121" s="905"/>
      <c r="J121" s="905"/>
      <c r="K121" s="905">
        <f t="shared" si="39"/>
        <v>166490.1618974359</v>
      </c>
      <c r="L121" s="905">
        <f t="shared" si="41"/>
        <v>24973.524284615385</v>
      </c>
      <c r="M121" s="906">
        <f t="shared" si="40"/>
        <v>191463.68618205129</v>
      </c>
      <c r="N121" s="905"/>
      <c r="O121" s="271">
        <f>'DGSP_chitiet (truKH)'!K121</f>
        <v>166490.1618974359</v>
      </c>
      <c r="P121" s="271">
        <f>'DGSP_chitiet (truKH)'!L121</f>
        <v>24973.524284615385</v>
      </c>
      <c r="Q121" s="306">
        <f>'DGSP_chitiet (truKH)'!M121</f>
        <v>191463.68618205129</v>
      </c>
      <c r="R121" s="271">
        <f>'DGSP_chitiet (truKH)'!N121</f>
        <v>0</v>
      </c>
      <c r="S121" s="905">
        <f>NhanCong!J$116</f>
        <v>973.07692307692309</v>
      </c>
    </row>
    <row r="122" spans="1:19" ht="39">
      <c r="A122" s="969">
        <v>2.5</v>
      </c>
      <c r="B122" s="970" t="str">
        <f>NhanCong!B$117</f>
        <v>In sản phẩm đo đạc lập bản đồ địa chính gồm sản phẩm chính và sản phẩm trung gian</v>
      </c>
      <c r="C122" s="274" t="s">
        <v>317</v>
      </c>
      <c r="D122" s="274" t="s">
        <v>679</v>
      </c>
      <c r="E122" s="271">
        <f>NhanCong!I$117</f>
        <v>175287.25500000003</v>
      </c>
      <c r="F122" s="271"/>
      <c r="G122" s="905">
        <f>Dcu!M$152</f>
        <v>3931.1573076923078</v>
      </c>
      <c r="H122" s="905">
        <f>VLieu!K$102</f>
        <v>65340</v>
      </c>
      <c r="I122" s="905">
        <f>TBi!N$182</f>
        <v>7072.6264285714287</v>
      </c>
      <c r="J122" s="905">
        <f>TBi!N$186</f>
        <v>6811.56</v>
      </c>
      <c r="K122" s="905">
        <f t="shared" si="39"/>
        <v>258442.59873626378</v>
      </c>
      <c r="L122" s="905">
        <f t="shared" si="41"/>
        <v>38766.389810439563</v>
      </c>
      <c r="M122" s="906">
        <f t="shared" si="40"/>
        <v>297208.98854670336</v>
      </c>
      <c r="N122" s="905"/>
      <c r="O122" s="271">
        <f>'DGSP_chitiet (truKH)'!K122</f>
        <v>251369.97230769234</v>
      </c>
      <c r="P122" s="271">
        <f>'DGSP_chitiet (truKH)'!L122</f>
        <v>37705.495846153848</v>
      </c>
      <c r="Q122" s="306">
        <f>'DGSP_chitiet (truKH)'!M122</f>
        <v>289075.46815384622</v>
      </c>
      <c r="R122" s="271">
        <f>'DGSP_chitiet (truKH)'!N122</f>
        <v>0</v>
      </c>
      <c r="S122" s="905">
        <f>NhanCong!J$117</f>
        <v>4962.6923076923076</v>
      </c>
    </row>
    <row r="123" spans="1:19">
      <c r="A123" s="243">
        <v>2.6</v>
      </c>
      <c r="B123" s="970" t="str">
        <f>NhanCong!B$118</f>
        <v>Trình ký xác nhận hồ sơ</v>
      </c>
      <c r="C123" s="274" t="s">
        <v>317</v>
      </c>
      <c r="D123" s="274" t="s">
        <v>679</v>
      </c>
      <c r="E123" s="271">
        <f>NhanCong!I$118</f>
        <v>137480.20000000004</v>
      </c>
      <c r="F123" s="271"/>
      <c r="G123" s="905">
        <f>Dcu!M$140</f>
        <v>3140.1118974358974</v>
      </c>
      <c r="H123" s="905">
        <f>VLieu!K$94</f>
        <v>128980</v>
      </c>
      <c r="I123" s="905"/>
      <c r="J123" s="905"/>
      <c r="K123" s="905">
        <f t="shared" si="39"/>
        <v>269600.31189743592</v>
      </c>
      <c r="L123" s="905">
        <f t="shared" si="41"/>
        <v>40440.046784615384</v>
      </c>
      <c r="M123" s="906">
        <f t="shared" si="40"/>
        <v>310040.3586820513</v>
      </c>
      <c r="N123" s="905"/>
      <c r="O123" s="271">
        <f>'DGSP_chitiet (truKH)'!K123</f>
        <v>269600.31189743592</v>
      </c>
      <c r="P123" s="271">
        <f>'DGSP_chitiet (truKH)'!L123</f>
        <v>40440.046784615384</v>
      </c>
      <c r="Q123" s="306">
        <f>'DGSP_chitiet (truKH)'!M123</f>
        <v>310040.3586820513</v>
      </c>
      <c r="R123" s="271">
        <f>'DGSP_chitiet (truKH)'!N123</f>
        <v>0</v>
      </c>
      <c r="S123" s="905">
        <f>NhanCong!J$118</f>
        <v>3892.3076923076924</v>
      </c>
    </row>
    <row r="124" spans="1:19" ht="26">
      <c r="A124" s="243">
        <v>2.7</v>
      </c>
      <c r="B124" s="970" t="str">
        <f>NhanCong!B$119</f>
        <v>Giao nộp sản phẩm đo đạc lập bản đồ địa chính</v>
      </c>
      <c r="C124" s="274" t="s">
        <v>317</v>
      </c>
      <c r="D124" s="274" t="s">
        <v>679</v>
      </c>
      <c r="E124" s="271">
        <f>NhanCong!I$119</f>
        <v>68740.10000000002</v>
      </c>
      <c r="F124" s="271"/>
      <c r="G124" s="905">
        <f>Dcu!M$154</f>
        <v>196.55786538461541</v>
      </c>
      <c r="H124" s="905">
        <f>VLieu!K$94</f>
        <v>128980</v>
      </c>
      <c r="I124" s="905"/>
      <c r="J124" s="905"/>
      <c r="K124" s="905">
        <f t="shared" si="39"/>
        <v>197916.65786538465</v>
      </c>
      <c r="L124" s="905">
        <f t="shared" si="41"/>
        <v>29687.498679807697</v>
      </c>
      <c r="M124" s="906">
        <f t="shared" si="40"/>
        <v>227604.15654519235</v>
      </c>
      <c r="N124" s="905"/>
      <c r="O124" s="271">
        <f>'DGSP_chitiet (truKH)'!K124</f>
        <v>197916.65786538465</v>
      </c>
      <c r="P124" s="271">
        <f>'DGSP_chitiet (truKH)'!L124</f>
        <v>29687.498679807697</v>
      </c>
      <c r="Q124" s="306">
        <f>'DGSP_chitiet (truKH)'!M124</f>
        <v>227604.15654519235</v>
      </c>
      <c r="R124" s="271">
        <f>'DGSP_chitiet (truKH)'!N124</f>
        <v>0</v>
      </c>
      <c r="S124" s="905">
        <f>NhanCong!J$119</f>
        <v>1946.1538461538462</v>
      </c>
    </row>
    <row r="125" spans="1:19">
      <c r="A125" s="243"/>
      <c r="B125" s="229"/>
      <c r="C125" s="243"/>
      <c r="D125" s="274" t="s">
        <v>43</v>
      </c>
      <c r="E125" s="271"/>
      <c r="F125" s="271"/>
      <c r="G125" s="905"/>
      <c r="H125" s="905"/>
      <c r="I125" s="905"/>
      <c r="J125" s="905"/>
      <c r="K125" s="905"/>
      <c r="L125" s="905"/>
      <c r="M125" s="906"/>
      <c r="N125" s="905"/>
      <c r="O125" s="271">
        <f>'DGSP_chitiet (truKH)'!K125</f>
        <v>0</v>
      </c>
      <c r="P125" s="271">
        <f>'DGSP_chitiet (truKH)'!L125</f>
        <v>0</v>
      </c>
      <c r="Q125" s="306">
        <f>'DGSP_chitiet (truKH)'!M125</f>
        <v>0</v>
      </c>
      <c r="R125" s="271">
        <f>'DGSP_chitiet (truKH)'!N125</f>
        <v>0</v>
      </c>
      <c r="S125" s="905"/>
    </row>
    <row r="126" spans="1:19">
      <c r="A126" s="242" t="s">
        <v>28</v>
      </c>
      <c r="B126" s="276" t="s">
        <v>45</v>
      </c>
      <c r="C126" s="243"/>
      <c r="D126" s="243"/>
      <c r="E126" s="271"/>
      <c r="F126" s="271"/>
      <c r="G126" s="271"/>
      <c r="H126" s="271"/>
      <c r="I126" s="271"/>
      <c r="J126" s="271"/>
      <c r="K126" s="271"/>
      <c r="L126" s="271"/>
      <c r="M126" s="971">
        <v>6.25</v>
      </c>
      <c r="N126" s="972" t="s">
        <v>21</v>
      </c>
      <c r="O126" s="271">
        <f>'DGSP_chitiet (truKH)'!K126</f>
        <v>0</v>
      </c>
      <c r="P126" s="271">
        <f>'DGSP_chitiet (truKH)'!L126</f>
        <v>0</v>
      </c>
      <c r="Q126" s="306">
        <f>'DGSP_chitiet (truKH)'!M126</f>
        <v>6.25</v>
      </c>
      <c r="R126" s="271" t="str">
        <f>'DGSP_chitiet (truKH)'!N126</f>
        <v>ha</v>
      </c>
      <c r="S126" s="271"/>
    </row>
    <row r="127" spans="1:19" s="232" customFormat="1" ht="13.5" customHeight="1">
      <c r="A127" s="1005"/>
      <c r="B127" s="1014" t="s">
        <v>190</v>
      </c>
      <c r="C127" s="1005" t="s">
        <v>21</v>
      </c>
      <c r="D127" s="242">
        <v>1</v>
      </c>
      <c r="E127" s="271">
        <f t="shared" ref="E127:I131" si="43">SUM(E$161,E162,E167,E172,E177,E182)</f>
        <v>7093473.585</v>
      </c>
      <c r="F127" s="271">
        <f t="shared" si="43"/>
        <v>944544.61538461549</v>
      </c>
      <c r="G127" s="271">
        <f t="shared" si="43"/>
        <v>40718.232820512829</v>
      </c>
      <c r="H127" s="271">
        <f t="shared" si="43"/>
        <v>3030735.2800000003</v>
      </c>
      <c r="I127" s="271">
        <f t="shared" si="43"/>
        <v>60078.845714285715</v>
      </c>
      <c r="J127" s="271">
        <f>SUM(J$161:J162,J167:J172,J177:J182)</f>
        <v>113.97120000000001</v>
      </c>
      <c r="K127" s="271">
        <f t="shared" ref="K127:K136" si="44">SUM(E127:J127)</f>
        <v>11169664.530119415</v>
      </c>
      <c r="L127" s="271">
        <f>K127*0.25</f>
        <v>2792416.1325298538</v>
      </c>
      <c r="M127" s="272">
        <f t="shared" ref="M127:M136" si="45">K127+L127</f>
        <v>13962080.66264927</v>
      </c>
      <c r="N127" s="271">
        <f>M127+M132</f>
        <v>16218754.792390672</v>
      </c>
      <c r="O127" s="271">
        <f>'DGSP_chitiet (truKH)'!K127</f>
        <v>11109585.684405129</v>
      </c>
      <c r="P127" s="271">
        <f>'DGSP_chitiet (truKH)'!L127</f>
        <v>2777396.4211012824</v>
      </c>
      <c r="Q127" s="306">
        <f>'DGSP_chitiet (truKH)'!M127</f>
        <v>13886982.105506413</v>
      </c>
      <c r="R127" s="271">
        <f>'DGSP_chitiet (truKH)'!N127</f>
        <v>16065681.462287815</v>
      </c>
      <c r="S127" s="271">
        <f>SUM(S$161,S162,S167,S172,S177,S182)</f>
        <v>200551.15384615384</v>
      </c>
    </row>
    <row r="128" spans="1:19" s="232" customFormat="1" ht="15" customHeight="1">
      <c r="A128" s="1005"/>
      <c r="B128" s="1014"/>
      <c r="C128" s="1005"/>
      <c r="D128" s="242">
        <v>2</v>
      </c>
      <c r="E128" s="271">
        <f t="shared" si="43"/>
        <v>8462776.3770000022</v>
      </c>
      <c r="F128" s="271">
        <f t="shared" si="43"/>
        <v>1137528.6153846155</v>
      </c>
      <c r="G128" s="271">
        <f t="shared" si="43"/>
        <v>49158.871196581211</v>
      </c>
      <c r="H128" s="271">
        <f t="shared" si="43"/>
        <v>3030735.2800000003</v>
      </c>
      <c r="I128" s="271">
        <f t="shared" si="43"/>
        <v>74335.508571428581</v>
      </c>
      <c r="J128" s="271">
        <f>SUM(J$161,J163,J168,J173,J178,J183)</f>
        <v>113.97120000000001</v>
      </c>
      <c r="K128" s="271">
        <f t="shared" si="44"/>
        <v>12754648.62335263</v>
      </c>
      <c r="L128" s="271">
        <f>K128*0.25</f>
        <v>3188662.1558381575</v>
      </c>
      <c r="M128" s="272">
        <f t="shared" si="45"/>
        <v>15943310.779190788</v>
      </c>
      <c r="N128" s="271">
        <f>M128+M133</f>
        <v>18351905.40376699</v>
      </c>
      <c r="O128" s="271">
        <f>'DGSP_chitiet (truKH)'!K128</f>
        <v>12680313.114781201</v>
      </c>
      <c r="P128" s="271">
        <f>'DGSP_chitiet (truKH)'!L128</f>
        <v>3170078.2786953002</v>
      </c>
      <c r="Q128" s="306">
        <f>'DGSP_chitiet (truKH)'!M128</f>
        <v>15850391.393476501</v>
      </c>
      <c r="R128" s="271">
        <f>'DGSP_chitiet (truKH)'!N128</f>
        <v>18170224.871218417</v>
      </c>
      <c r="S128" s="271">
        <f>SUM(S$161,S163,S168,S173,S178,S183)</f>
        <v>239318.53846153847</v>
      </c>
    </row>
    <row r="129" spans="1:19" s="232" customFormat="1" ht="15" customHeight="1">
      <c r="A129" s="1005"/>
      <c r="B129" s="1014"/>
      <c r="C129" s="1005"/>
      <c r="D129" s="242">
        <v>3</v>
      </c>
      <c r="E129" s="271">
        <f t="shared" si="43"/>
        <v>10126974.198000003</v>
      </c>
      <c r="F129" s="271">
        <f t="shared" si="43"/>
        <v>1369516.923076923</v>
      </c>
      <c r="G129" s="271">
        <f t="shared" si="43"/>
        <v>62239.495726495734</v>
      </c>
      <c r="H129" s="271">
        <f t="shared" si="43"/>
        <v>3030735.2800000003</v>
      </c>
      <c r="I129" s="271">
        <f t="shared" si="43"/>
        <v>99605.771428571432</v>
      </c>
      <c r="J129" s="271">
        <f>SUM(J$161,J164,J169,J174,J179,J184)</f>
        <v>113.97120000000001</v>
      </c>
      <c r="K129" s="271">
        <f t="shared" si="44"/>
        <v>14689185.639431996</v>
      </c>
      <c r="L129" s="271">
        <f>K129*0.25</f>
        <v>3672296.4098579991</v>
      </c>
      <c r="M129" s="272">
        <f t="shared" si="45"/>
        <v>18361482.049289994</v>
      </c>
      <c r="N129" s="271">
        <f>M129+M134</f>
        <v>20916602.093923852</v>
      </c>
      <c r="O129" s="271">
        <f>'DGSP_chitiet (truKH)'!K129</f>
        <v>14589579.868003424</v>
      </c>
      <c r="P129" s="271">
        <f>'DGSP_chitiet (truKH)'!L129</f>
        <v>3647394.9670008561</v>
      </c>
      <c r="Q129" s="306">
        <f>'DGSP_chitiet (truKH)'!M129</f>
        <v>18236974.835004281</v>
      </c>
      <c r="R129" s="271">
        <f>'DGSP_chitiet (truKH)'!N129</f>
        <v>20692716.14186671</v>
      </c>
      <c r="S129" s="271">
        <f>SUM(S$161,S164,S169,S174,S179,S184)</f>
        <v>286434.92307692301</v>
      </c>
    </row>
    <row r="130" spans="1:19" s="232" customFormat="1" ht="15" customHeight="1">
      <c r="A130" s="1005"/>
      <c r="B130" s="1014"/>
      <c r="C130" s="1005"/>
      <c r="D130" s="242">
        <v>4</v>
      </c>
      <c r="E130" s="271">
        <f t="shared" si="43"/>
        <v>12133497.717000004</v>
      </c>
      <c r="F130" s="271">
        <f t="shared" si="43"/>
        <v>1651279.3846153847</v>
      </c>
      <c r="G130" s="271">
        <f t="shared" si="43"/>
        <v>77269.948547008578</v>
      </c>
      <c r="H130" s="271">
        <f t="shared" si="43"/>
        <v>3030735.2800000003</v>
      </c>
      <c r="I130" s="271">
        <f t="shared" si="43"/>
        <v>128659.21142857143</v>
      </c>
      <c r="J130" s="271">
        <f>SUM(J$161,J165,J170,J175,J180,J185)</f>
        <v>113.97120000000001</v>
      </c>
      <c r="K130" s="271">
        <f t="shared" si="44"/>
        <v>17021555.512790971</v>
      </c>
      <c r="L130" s="271">
        <f>K130*0.25</f>
        <v>4255388.8781977426</v>
      </c>
      <c r="M130" s="272">
        <f t="shared" si="45"/>
        <v>21276944.390988715</v>
      </c>
      <c r="N130" s="271">
        <f>M130+M135</f>
        <v>24023884.25662135</v>
      </c>
      <c r="O130" s="271">
        <f>'DGSP_chitiet (truKH)'!K130</f>
        <v>16892896.301362399</v>
      </c>
      <c r="P130" s="271">
        <f>'DGSP_chitiet (truKH)'!L130</f>
        <v>4223224.0753405998</v>
      </c>
      <c r="Q130" s="306">
        <f>'DGSP_chitiet (truKH)'!M130</f>
        <v>21116120.376702998</v>
      </c>
      <c r="R130" s="271">
        <f>'DGSP_chitiet (truKH)'!N130</f>
        <v>23749403.615032777</v>
      </c>
      <c r="S130" s="271">
        <f>SUM(S$161,S165,S170,S175,S180,S185)</f>
        <v>343243.15384615381</v>
      </c>
    </row>
    <row r="131" spans="1:19" s="232" customFormat="1" ht="15" customHeight="1">
      <c r="A131" s="1005"/>
      <c r="B131" s="1014"/>
      <c r="C131" s="1005"/>
      <c r="D131" s="242">
        <v>5</v>
      </c>
      <c r="E131" s="271">
        <f t="shared" si="43"/>
        <v>14522216.192</v>
      </c>
      <c r="F131" s="271">
        <f t="shared" si="43"/>
        <v>1983980.307692308</v>
      </c>
      <c r="G131" s="271">
        <f t="shared" si="43"/>
        <v>96940.387521367549</v>
      </c>
      <c r="H131" s="271">
        <f t="shared" si="43"/>
        <v>3030735.2800000003</v>
      </c>
      <c r="I131" s="271">
        <f t="shared" si="43"/>
        <v>160690.02285714285</v>
      </c>
      <c r="J131" s="271">
        <f>SUM(J$161,J166,J171,J176,J181,J186)</f>
        <v>113.97120000000001</v>
      </c>
      <c r="K131" s="271">
        <f t="shared" si="44"/>
        <v>19794676.16127082</v>
      </c>
      <c r="L131" s="271">
        <f>K131*0.25</f>
        <v>4948669.0403177049</v>
      </c>
      <c r="M131" s="272">
        <f t="shared" si="45"/>
        <v>24743345.201588526</v>
      </c>
      <c r="N131" s="271">
        <f>M131+M136</f>
        <v>27720425.327995349</v>
      </c>
      <c r="O131" s="271">
        <f>'DGSP_chitiet (truKH)'!K131</f>
        <v>19633986.138413675</v>
      </c>
      <c r="P131" s="271">
        <f>'DGSP_chitiet (truKH)'!L131</f>
        <v>4908496.5346034188</v>
      </c>
      <c r="Q131" s="306">
        <f>'DGSP_chitiet (truKH)'!M131</f>
        <v>24542482.673017092</v>
      </c>
      <c r="R131" s="271">
        <f>'DGSP_chitiet (truKH)'!N131</f>
        <v>27389025.734281059</v>
      </c>
      <c r="S131" s="271">
        <f>SUM(S$161,S166,S171,S176,S181,S186)</f>
        <v>410872.00000000006</v>
      </c>
    </row>
    <row r="132" spans="1:19" s="232" customFormat="1" ht="13.5" customHeight="1">
      <c r="A132" s="1005"/>
      <c r="B132" s="1014" t="s">
        <v>192</v>
      </c>
      <c r="C132" s="1005" t="s">
        <v>21</v>
      </c>
      <c r="D132" s="242">
        <v>1</v>
      </c>
      <c r="E132" s="271">
        <f t="shared" ref="E132:J136" si="46">(E188+SUM(E$193:E$198))</f>
        <v>1414396.2976000004</v>
      </c>
      <c r="F132" s="271">
        <f t="shared" si="46"/>
        <v>0</v>
      </c>
      <c r="G132" s="271">
        <f t="shared" si="46"/>
        <v>10968.808609914528</v>
      </c>
      <c r="H132" s="271">
        <f t="shared" si="46"/>
        <v>420287.36000000004</v>
      </c>
      <c r="I132" s="271">
        <f t="shared" si="46"/>
        <v>67804.150399999999</v>
      </c>
      <c r="J132" s="271">
        <f t="shared" si="46"/>
        <v>48868.713600000003</v>
      </c>
      <c r="K132" s="271">
        <f t="shared" si="44"/>
        <v>1962325.3302099148</v>
      </c>
      <c r="L132" s="271">
        <f>K132*0.15</f>
        <v>294348.79953148722</v>
      </c>
      <c r="M132" s="272">
        <f t="shared" si="45"/>
        <v>2256674.1297414019</v>
      </c>
      <c r="N132" s="271"/>
      <c r="O132" s="271">
        <f>'DGSP_chitiet (truKH)'!K132</f>
        <v>1894521.1798099149</v>
      </c>
      <c r="P132" s="271">
        <f>'DGSP_chitiet (truKH)'!L132</f>
        <v>284178.17697148724</v>
      </c>
      <c r="Q132" s="306">
        <f>'DGSP_chitiet (truKH)'!M132</f>
        <v>2178699.3567814021</v>
      </c>
      <c r="R132" s="271">
        <f>'DGSP_chitiet (truKH)'!N132</f>
        <v>0</v>
      </c>
      <c r="S132" s="271">
        <f>(S188+SUM(S$193:S$198))</f>
        <v>40044.061538461538</v>
      </c>
    </row>
    <row r="133" spans="1:19" s="232" customFormat="1" ht="15" customHeight="1">
      <c r="A133" s="1005"/>
      <c r="B133" s="1014"/>
      <c r="C133" s="1005"/>
      <c r="D133" s="242">
        <v>2</v>
      </c>
      <c r="E133" s="271">
        <f t="shared" si="46"/>
        <v>1526580.1408000004</v>
      </c>
      <c r="F133" s="271">
        <f t="shared" si="46"/>
        <v>0</v>
      </c>
      <c r="G133" s="271">
        <f t="shared" si="46"/>
        <v>11552.054384273502</v>
      </c>
      <c r="H133" s="271">
        <f t="shared" si="46"/>
        <v>420287.36000000004</v>
      </c>
      <c r="I133" s="271">
        <f t="shared" si="46"/>
        <v>77183.605942857146</v>
      </c>
      <c r="J133" s="271">
        <f t="shared" si="46"/>
        <v>58826.947199999995</v>
      </c>
      <c r="K133" s="271">
        <f t="shared" si="44"/>
        <v>2094430.1083271313</v>
      </c>
      <c r="L133" s="271">
        <f>K133*0.15</f>
        <v>314164.51624906965</v>
      </c>
      <c r="M133" s="272">
        <f t="shared" si="45"/>
        <v>2408594.6245762007</v>
      </c>
      <c r="N133" s="271"/>
      <c r="O133" s="271">
        <f>'DGSP_chitiet (truKH)'!K133</f>
        <v>2017246.502384274</v>
      </c>
      <c r="P133" s="271">
        <f>'DGSP_chitiet (truKH)'!L133</f>
        <v>302586.97535764112</v>
      </c>
      <c r="Q133" s="306">
        <f>'DGSP_chitiet (truKH)'!M133</f>
        <v>2319833.4777419153</v>
      </c>
      <c r="R133" s="271">
        <f>'DGSP_chitiet (truKH)'!N133</f>
        <v>0</v>
      </c>
      <c r="S133" s="271">
        <f>(S189+SUM(S$193:S$198))</f>
        <v>43220.18461538462</v>
      </c>
    </row>
    <row r="134" spans="1:19" s="232" customFormat="1" ht="15" customHeight="1">
      <c r="A134" s="1005"/>
      <c r="B134" s="1014"/>
      <c r="C134" s="1005"/>
      <c r="D134" s="242">
        <v>3</v>
      </c>
      <c r="E134" s="271">
        <f t="shared" si="46"/>
        <v>1638763.9840000004</v>
      </c>
      <c r="F134" s="271">
        <f t="shared" si="46"/>
        <v>0</v>
      </c>
      <c r="G134" s="271">
        <f t="shared" si="46"/>
        <v>12135.300158632477</v>
      </c>
      <c r="H134" s="271">
        <f t="shared" si="46"/>
        <v>420287.36000000004</v>
      </c>
      <c r="I134" s="271">
        <f t="shared" si="46"/>
        <v>86416.293714285697</v>
      </c>
      <c r="J134" s="271">
        <f t="shared" si="46"/>
        <v>64240.579199999993</v>
      </c>
      <c r="K134" s="271">
        <f t="shared" si="44"/>
        <v>2221843.5170729188</v>
      </c>
      <c r="L134" s="271">
        <f>K134*0.15</f>
        <v>333276.5275609378</v>
      </c>
      <c r="M134" s="272">
        <f t="shared" si="45"/>
        <v>2555120.0446338565</v>
      </c>
      <c r="N134" s="271"/>
      <c r="O134" s="271">
        <f>'DGSP_chitiet (truKH)'!K134</f>
        <v>2135427.223358633</v>
      </c>
      <c r="P134" s="271">
        <f>'DGSP_chitiet (truKH)'!L134</f>
        <v>320314.08350379491</v>
      </c>
      <c r="Q134" s="306">
        <f>'DGSP_chitiet (truKH)'!M134</f>
        <v>2455741.3068624279</v>
      </c>
      <c r="R134" s="271">
        <f>'DGSP_chitiet (truKH)'!N134</f>
        <v>0</v>
      </c>
      <c r="S134" s="271">
        <f>(S190+SUM(S$193:S$198))</f>
        <v>46396.307692307695</v>
      </c>
    </row>
    <row r="135" spans="1:19" s="232" customFormat="1" ht="15" customHeight="1">
      <c r="A135" s="1005"/>
      <c r="B135" s="1014"/>
      <c r="C135" s="1005"/>
      <c r="D135" s="242">
        <v>4</v>
      </c>
      <c r="E135" s="271">
        <f t="shared" si="46"/>
        <v>1788342.4416000005</v>
      </c>
      <c r="F135" s="271">
        <f t="shared" si="46"/>
        <v>0</v>
      </c>
      <c r="G135" s="271">
        <f t="shared" si="46"/>
        <v>12912.96119111111</v>
      </c>
      <c r="H135" s="271">
        <f t="shared" si="46"/>
        <v>420287.36000000004</v>
      </c>
      <c r="I135" s="271">
        <f t="shared" si="46"/>
        <v>98831.84982857143</v>
      </c>
      <c r="J135" s="271">
        <f t="shared" si="46"/>
        <v>68268.748800000001</v>
      </c>
      <c r="K135" s="271">
        <f t="shared" si="44"/>
        <v>2388643.3614196833</v>
      </c>
      <c r="L135" s="271">
        <f>K135*0.15</f>
        <v>358296.50421295251</v>
      </c>
      <c r="M135" s="272">
        <f t="shared" si="45"/>
        <v>2746939.865632636</v>
      </c>
      <c r="N135" s="271"/>
      <c r="O135" s="271">
        <f>'DGSP_chitiet (truKH)'!K135</f>
        <v>2289811.5115911118</v>
      </c>
      <c r="P135" s="271">
        <f>'DGSP_chitiet (truKH)'!L135</f>
        <v>343471.72673866677</v>
      </c>
      <c r="Q135" s="306">
        <f>'DGSP_chitiet (truKH)'!M135</f>
        <v>2633283.2383297784</v>
      </c>
      <c r="R135" s="271">
        <f>'DGSP_chitiet (truKH)'!N135</f>
        <v>0</v>
      </c>
      <c r="S135" s="271">
        <f>(S191+SUM(S$193:S$198))</f>
        <v>50631.138461538467</v>
      </c>
    </row>
    <row r="136" spans="1:19" s="232" customFormat="1" ht="15" customHeight="1">
      <c r="A136" s="1005"/>
      <c r="B136" s="1014"/>
      <c r="C136" s="1005"/>
      <c r="D136" s="242">
        <v>5</v>
      </c>
      <c r="E136" s="271">
        <f t="shared" si="46"/>
        <v>1966516.7808000003</v>
      </c>
      <c r="F136" s="271">
        <f t="shared" si="46"/>
        <v>0</v>
      </c>
      <c r="G136" s="271">
        <f t="shared" si="46"/>
        <v>13885.0374817094</v>
      </c>
      <c r="H136" s="271">
        <f t="shared" si="46"/>
        <v>420287.36000000004</v>
      </c>
      <c r="I136" s="271">
        <f t="shared" si="46"/>
        <v>113510.49142857142</v>
      </c>
      <c r="J136" s="271">
        <f t="shared" si="46"/>
        <v>74565.657599999991</v>
      </c>
      <c r="K136" s="271">
        <f t="shared" si="44"/>
        <v>2588765.3273102809</v>
      </c>
      <c r="L136" s="271">
        <f>K136*0.15</f>
        <v>388314.79909654212</v>
      </c>
      <c r="M136" s="272">
        <f t="shared" si="45"/>
        <v>2977080.1264068228</v>
      </c>
      <c r="N136" s="271"/>
      <c r="O136" s="271">
        <f>'DGSP_chitiet (truKH)'!K136</f>
        <v>2475254.8358817096</v>
      </c>
      <c r="P136" s="271">
        <f>'DGSP_chitiet (truKH)'!L136</f>
        <v>371288.22538225644</v>
      </c>
      <c r="Q136" s="306">
        <f>'DGSP_chitiet (truKH)'!M136</f>
        <v>2846543.0612639659</v>
      </c>
      <c r="R136" s="271">
        <f>'DGSP_chitiet (truKH)'!N136</f>
        <v>0</v>
      </c>
      <c r="S136" s="271">
        <f>(S192+SUM(S$193:S$198))</f>
        <v>55675.56923076923</v>
      </c>
    </row>
    <row r="137" spans="1:19">
      <c r="A137" s="242"/>
      <c r="B137" s="965" t="s">
        <v>322</v>
      </c>
      <c r="C137" s="243"/>
      <c r="D137" s="243"/>
      <c r="E137" s="271"/>
      <c r="F137" s="271"/>
      <c r="G137" s="271"/>
      <c r="H137" s="271"/>
      <c r="I137" s="271"/>
      <c r="J137" s="271"/>
      <c r="K137" s="271"/>
      <c r="L137" s="271"/>
      <c r="M137" s="272"/>
      <c r="N137" s="271"/>
      <c r="O137" s="271">
        <f>'DGSP_chitiet (truKH)'!K137</f>
        <v>0</v>
      </c>
      <c r="P137" s="271">
        <f>'DGSP_chitiet (truKH)'!L137</f>
        <v>0</v>
      </c>
      <c r="Q137" s="306">
        <f>'DGSP_chitiet (truKH)'!M137</f>
        <v>0</v>
      </c>
      <c r="R137" s="271">
        <f>'DGSP_chitiet (truKH)'!N137</f>
        <v>0</v>
      </c>
      <c r="S137" s="271"/>
    </row>
    <row r="138" spans="1:19">
      <c r="A138" s="242" t="s">
        <v>502</v>
      </c>
      <c r="B138" s="965" t="s">
        <v>324</v>
      </c>
      <c r="C138" s="243"/>
      <c r="D138" s="243"/>
      <c r="E138" s="271"/>
      <c r="F138" s="271"/>
      <c r="G138" s="271"/>
      <c r="H138" s="271"/>
      <c r="I138" s="271"/>
      <c r="J138" s="271"/>
      <c r="K138" s="271"/>
      <c r="L138" s="271"/>
      <c r="M138" s="272"/>
      <c r="N138" s="271"/>
      <c r="O138" s="271">
        <f>'DGSP_chitiet (truKH)'!K138</f>
        <v>0</v>
      </c>
      <c r="P138" s="271">
        <f>'DGSP_chitiet (truKH)'!L138</f>
        <v>0</v>
      </c>
      <c r="Q138" s="306">
        <f>'DGSP_chitiet (truKH)'!M138</f>
        <v>0</v>
      </c>
      <c r="R138" s="271">
        <f>'DGSP_chitiet (truKH)'!N138</f>
        <v>0</v>
      </c>
      <c r="S138" s="271"/>
    </row>
    <row r="139" spans="1:19" s="232" customFormat="1" ht="13.5" customHeight="1">
      <c r="A139" s="1005"/>
      <c r="B139" s="1014" t="s">
        <v>190</v>
      </c>
      <c r="C139" s="1005" t="s">
        <v>21</v>
      </c>
      <c r="D139" s="242">
        <v>1</v>
      </c>
      <c r="E139" s="271">
        <f t="shared" ref="E139:F148" si="47">E127*0.1</f>
        <v>709347.35850000009</v>
      </c>
      <c r="F139" s="271">
        <f t="shared" si="47"/>
        <v>94454.461538461561</v>
      </c>
      <c r="G139" s="271">
        <f>G172*0.1/$M$126</f>
        <v>202.47212307692317</v>
      </c>
      <c r="H139" s="271">
        <f t="shared" ref="H139:I143" si="48">H127*0.1</f>
        <v>303073.52800000005</v>
      </c>
      <c r="I139" s="271">
        <f t="shared" si="48"/>
        <v>6007.8845714285717</v>
      </c>
      <c r="J139" s="271">
        <f>J172*0.1/$M$126</f>
        <v>0</v>
      </c>
      <c r="K139" s="271">
        <f t="shared" ref="K139:K148" si="49">SUM(E139:J139)</f>
        <v>1113085.7047329673</v>
      </c>
      <c r="L139" s="271">
        <f>K139*0.25</f>
        <v>278271.42618324183</v>
      </c>
      <c r="M139" s="272">
        <f t="shared" ref="M139:M148" si="50">K139+L139</f>
        <v>1391357.1309162092</v>
      </c>
      <c r="N139" s="271">
        <f>M139+M144</f>
        <v>1556366.7785747009</v>
      </c>
      <c r="O139" s="271">
        <f>'DGSP_chitiet (truKH)'!K139</f>
        <v>1107077.8201615387</v>
      </c>
      <c r="P139" s="271">
        <f>'DGSP_chitiet (truKH)'!L139</f>
        <v>276769.45504038467</v>
      </c>
      <c r="Q139" s="306">
        <f>'DGSP_chitiet (truKH)'!M139</f>
        <v>1383847.2752019232</v>
      </c>
      <c r="R139" s="271">
        <f>'DGSP_chitiet (truKH)'!N139</f>
        <v>1548856.922860415</v>
      </c>
      <c r="S139" s="271">
        <f t="shared" ref="S139:S148" si="51">S127*0.1</f>
        <v>20055.115384615387</v>
      </c>
    </row>
    <row r="140" spans="1:19" s="232" customFormat="1" ht="15" customHeight="1">
      <c r="A140" s="1005"/>
      <c r="B140" s="1014"/>
      <c r="C140" s="1005"/>
      <c r="D140" s="242">
        <v>2</v>
      </c>
      <c r="E140" s="271">
        <f t="shared" si="47"/>
        <v>846277.63770000031</v>
      </c>
      <c r="F140" s="271">
        <f t="shared" si="47"/>
        <v>113752.86153846156</v>
      </c>
      <c r="G140" s="271">
        <f>G173*0.1/$M$126</f>
        <v>253.09015384615395</v>
      </c>
      <c r="H140" s="271">
        <f t="shared" si="48"/>
        <v>303073.52800000005</v>
      </c>
      <c r="I140" s="271">
        <f t="shared" si="48"/>
        <v>7433.5508571428581</v>
      </c>
      <c r="J140" s="271">
        <f>J173*0.1/$M$126</f>
        <v>0</v>
      </c>
      <c r="K140" s="271">
        <f t="shared" si="49"/>
        <v>1270790.6682494509</v>
      </c>
      <c r="L140" s="271">
        <f>K140*0.25</f>
        <v>317697.66706236271</v>
      </c>
      <c r="M140" s="272">
        <f t="shared" si="50"/>
        <v>1588488.3353118135</v>
      </c>
      <c r="N140" s="271">
        <f>M140+M145</f>
        <v>1766409.8566605535</v>
      </c>
      <c r="O140" s="271">
        <f>'DGSP_chitiet (truKH)'!K140</f>
        <v>1263357.1173923081</v>
      </c>
      <c r="P140" s="271">
        <f>'DGSP_chitiet (truKH)'!L140</f>
        <v>315839.27934807702</v>
      </c>
      <c r="Q140" s="306">
        <f>'DGSP_chitiet (truKH)'!M140</f>
        <v>1579196.3967403851</v>
      </c>
      <c r="R140" s="271">
        <f>'DGSP_chitiet (truKH)'!N140</f>
        <v>1757117.9180891251</v>
      </c>
      <c r="S140" s="271">
        <f t="shared" si="51"/>
        <v>23931.853846153848</v>
      </c>
    </row>
    <row r="141" spans="1:19" s="232" customFormat="1" ht="15" customHeight="1">
      <c r="A141" s="1005"/>
      <c r="B141" s="1014"/>
      <c r="C141" s="1005"/>
      <c r="D141" s="242">
        <v>3</v>
      </c>
      <c r="E141" s="271">
        <f t="shared" si="47"/>
        <v>1012697.4198000003</v>
      </c>
      <c r="F141" s="271">
        <f t="shared" si="47"/>
        <v>136951.69230769231</v>
      </c>
      <c r="G141" s="271">
        <f>G174*0.1/$M$126</f>
        <v>337.45353846153853</v>
      </c>
      <c r="H141" s="271">
        <f t="shared" si="48"/>
        <v>303073.52800000005</v>
      </c>
      <c r="I141" s="271">
        <f t="shared" si="48"/>
        <v>9960.5771428571443</v>
      </c>
      <c r="J141" s="271">
        <f>J174*0.1/$M$126</f>
        <v>0</v>
      </c>
      <c r="K141" s="271">
        <f t="shared" si="49"/>
        <v>1463020.6707890115</v>
      </c>
      <c r="L141" s="271">
        <f>K141*0.25</f>
        <v>365755.16769725288</v>
      </c>
      <c r="M141" s="272">
        <f t="shared" si="50"/>
        <v>1828775.8384862645</v>
      </c>
      <c r="N141" s="271">
        <f>M141+M146</f>
        <v>2019609.2335252524</v>
      </c>
      <c r="O141" s="271">
        <f>'DGSP_chitiet (truKH)'!K141</f>
        <v>1453060.0936461543</v>
      </c>
      <c r="P141" s="271">
        <f>'DGSP_chitiet (truKH)'!L141</f>
        <v>363265.02341153857</v>
      </c>
      <c r="Q141" s="306">
        <f>'DGSP_chitiet (truKH)'!M141</f>
        <v>1816325.1170576927</v>
      </c>
      <c r="R141" s="271">
        <f>'DGSP_chitiet (truKH)'!N141</f>
        <v>2007158.5120966807</v>
      </c>
      <c r="S141" s="271">
        <f t="shared" si="51"/>
        <v>28643.492307692301</v>
      </c>
    </row>
    <row r="142" spans="1:19" s="232" customFormat="1" ht="15" customHeight="1">
      <c r="A142" s="1005"/>
      <c r="B142" s="1014"/>
      <c r="C142" s="1005"/>
      <c r="D142" s="242">
        <v>4</v>
      </c>
      <c r="E142" s="271">
        <f t="shared" si="47"/>
        <v>1213349.7717000004</v>
      </c>
      <c r="F142" s="271">
        <f t="shared" si="47"/>
        <v>165127.93846153849</v>
      </c>
      <c r="G142" s="271">
        <f>G175*0.1/$M$126</f>
        <v>438.68960000000021</v>
      </c>
      <c r="H142" s="271">
        <f t="shared" si="48"/>
        <v>303073.52800000005</v>
      </c>
      <c r="I142" s="271">
        <f t="shared" si="48"/>
        <v>12865.921142857143</v>
      </c>
      <c r="J142" s="271">
        <f>J175*0.1/$M$126</f>
        <v>0</v>
      </c>
      <c r="K142" s="271">
        <f t="shared" si="49"/>
        <v>1694855.8489043959</v>
      </c>
      <c r="L142" s="271">
        <f>K142*0.25</f>
        <v>423713.96222609899</v>
      </c>
      <c r="M142" s="272">
        <f t="shared" si="50"/>
        <v>2118569.8111304948</v>
      </c>
      <c r="N142" s="271">
        <f>M142+M147</f>
        <v>2326619.0377564807</v>
      </c>
      <c r="O142" s="271">
        <f>'DGSP_chitiet (truKH)'!K142</f>
        <v>1681989.9277615389</v>
      </c>
      <c r="P142" s="271">
        <f>'DGSP_chitiet (truKH)'!L142</f>
        <v>420497.48194038472</v>
      </c>
      <c r="Q142" s="306">
        <f>'DGSP_chitiet (truKH)'!M142</f>
        <v>2102487.4097019238</v>
      </c>
      <c r="R142" s="271">
        <f>'DGSP_chitiet (truKH)'!N142</f>
        <v>2310536.6363279098</v>
      </c>
      <c r="S142" s="271">
        <f t="shared" si="51"/>
        <v>34324.31538461538</v>
      </c>
    </row>
    <row r="143" spans="1:19" s="232" customFormat="1" ht="15" customHeight="1">
      <c r="A143" s="1005"/>
      <c r="B143" s="1014"/>
      <c r="C143" s="1005"/>
      <c r="D143" s="242">
        <v>5</v>
      </c>
      <c r="E143" s="271">
        <f t="shared" si="47"/>
        <v>1452221.6192000001</v>
      </c>
      <c r="F143" s="271">
        <f t="shared" si="47"/>
        <v>198398.0307692308</v>
      </c>
      <c r="G143" s="271">
        <f>G176*0.1/$M$126</f>
        <v>573.67101538461554</v>
      </c>
      <c r="H143" s="271">
        <f t="shared" si="48"/>
        <v>303073.52800000005</v>
      </c>
      <c r="I143" s="271">
        <f t="shared" si="48"/>
        <v>16069.002285714285</v>
      </c>
      <c r="J143" s="271">
        <f>J176*0.1/$M$126</f>
        <v>0</v>
      </c>
      <c r="K143" s="271">
        <f t="shared" si="49"/>
        <v>1970335.8512703297</v>
      </c>
      <c r="L143" s="271">
        <f>K143*0.25</f>
        <v>492583.96281758242</v>
      </c>
      <c r="M143" s="272">
        <f t="shared" si="50"/>
        <v>2462919.814087912</v>
      </c>
      <c r="N143" s="271">
        <f>M143+M148</f>
        <v>2691476.9759256449</v>
      </c>
      <c r="O143" s="271">
        <f>'DGSP_chitiet (truKH)'!K143</f>
        <v>1954266.8489846154</v>
      </c>
      <c r="P143" s="271">
        <f>'DGSP_chitiet (truKH)'!L143</f>
        <v>488566.71224615385</v>
      </c>
      <c r="Q143" s="306">
        <f>'DGSP_chitiet (truKH)'!M143</f>
        <v>2442833.5612307694</v>
      </c>
      <c r="R143" s="271">
        <f>'DGSP_chitiet (truKH)'!N143</f>
        <v>2671390.7230685023</v>
      </c>
      <c r="S143" s="271">
        <f t="shared" si="51"/>
        <v>41087.200000000012</v>
      </c>
    </row>
    <row r="144" spans="1:19" s="232" customFormat="1" ht="13.5" customHeight="1">
      <c r="A144" s="1005"/>
      <c r="B144" s="1014" t="s">
        <v>192</v>
      </c>
      <c r="C144" s="1005" t="s">
        <v>21</v>
      </c>
      <c r="D144" s="242">
        <v>1</v>
      </c>
      <c r="E144" s="271">
        <f t="shared" si="47"/>
        <v>141439.62976000004</v>
      </c>
      <c r="F144" s="271">
        <f t="shared" si="47"/>
        <v>0</v>
      </c>
      <c r="G144" s="271">
        <f t="shared" ref="G144:H148" si="52">G188*0.1/$M$126</f>
        <v>43.549017818803414</v>
      </c>
      <c r="H144" s="271">
        <f t="shared" si="52"/>
        <v>2003.4713600000005</v>
      </c>
      <c r="I144" s="271"/>
      <c r="J144" s="271"/>
      <c r="K144" s="271">
        <f t="shared" si="49"/>
        <v>143486.65013781883</v>
      </c>
      <c r="L144" s="271">
        <f>K144*0.15</f>
        <v>21522.997520672823</v>
      </c>
      <c r="M144" s="272">
        <f t="shared" si="50"/>
        <v>165009.64765849165</v>
      </c>
      <c r="N144" s="271"/>
      <c r="O144" s="271">
        <f>'DGSP_chitiet (truKH)'!K144</f>
        <v>143486.65013781883</v>
      </c>
      <c r="P144" s="271">
        <f>'DGSP_chitiet (truKH)'!L144</f>
        <v>21522.997520672823</v>
      </c>
      <c r="Q144" s="306">
        <f>'DGSP_chitiet (truKH)'!M144</f>
        <v>165009.64765849165</v>
      </c>
      <c r="R144" s="271">
        <f>'DGSP_chitiet (truKH)'!N144</f>
        <v>0</v>
      </c>
      <c r="S144" s="271">
        <f t="shared" si="51"/>
        <v>4004.4061538461538</v>
      </c>
    </row>
    <row r="145" spans="1:19" s="232" customFormat="1" ht="15" customHeight="1">
      <c r="A145" s="1005"/>
      <c r="B145" s="1014"/>
      <c r="C145" s="1005"/>
      <c r="D145" s="242">
        <v>2</v>
      </c>
      <c r="E145" s="271">
        <f t="shared" si="47"/>
        <v>152658.01408000005</v>
      </c>
      <c r="F145" s="271">
        <f t="shared" si="47"/>
        <v>0</v>
      </c>
      <c r="G145" s="271">
        <f t="shared" si="52"/>
        <v>52.880950208546999</v>
      </c>
      <c r="H145" s="271">
        <f t="shared" si="52"/>
        <v>2003.4713600000005</v>
      </c>
      <c r="I145" s="271"/>
      <c r="J145" s="271"/>
      <c r="K145" s="271">
        <f t="shared" si="49"/>
        <v>154714.3663902086</v>
      </c>
      <c r="L145" s="271">
        <f>K145*0.15</f>
        <v>23207.15495853129</v>
      </c>
      <c r="M145" s="272">
        <f t="shared" si="50"/>
        <v>177921.52134873989</v>
      </c>
      <c r="N145" s="271"/>
      <c r="O145" s="271">
        <f>'DGSP_chitiet (truKH)'!K145</f>
        <v>154714.3663902086</v>
      </c>
      <c r="P145" s="271">
        <f>'DGSP_chitiet (truKH)'!L145</f>
        <v>23207.15495853129</v>
      </c>
      <c r="Q145" s="306">
        <f>'DGSP_chitiet (truKH)'!M145</f>
        <v>177921.52134873989</v>
      </c>
      <c r="R145" s="271">
        <f>'DGSP_chitiet (truKH)'!N145</f>
        <v>0</v>
      </c>
      <c r="S145" s="271">
        <f t="shared" si="51"/>
        <v>4322.0184615384624</v>
      </c>
    </row>
    <row r="146" spans="1:19" s="232" customFormat="1" ht="15" customHeight="1">
      <c r="A146" s="1005"/>
      <c r="B146" s="1014"/>
      <c r="C146" s="1005"/>
      <c r="D146" s="242">
        <v>3</v>
      </c>
      <c r="E146" s="271">
        <f t="shared" si="47"/>
        <v>163876.39840000006</v>
      </c>
      <c r="F146" s="271">
        <f t="shared" si="47"/>
        <v>0</v>
      </c>
      <c r="G146" s="271">
        <f t="shared" si="52"/>
        <v>62.212882598290598</v>
      </c>
      <c r="H146" s="271">
        <f t="shared" si="52"/>
        <v>2003.4713600000005</v>
      </c>
      <c r="I146" s="271"/>
      <c r="J146" s="271"/>
      <c r="K146" s="271">
        <f t="shared" si="49"/>
        <v>165942.08264259834</v>
      </c>
      <c r="L146" s="271">
        <f>K146*0.15</f>
        <v>24891.312396389749</v>
      </c>
      <c r="M146" s="272">
        <f t="shared" si="50"/>
        <v>190833.39503898809</v>
      </c>
      <c r="N146" s="271"/>
      <c r="O146" s="271">
        <f>'DGSP_chitiet (truKH)'!K146</f>
        <v>165942.08264259834</v>
      </c>
      <c r="P146" s="271">
        <f>'DGSP_chitiet (truKH)'!L146</f>
        <v>24891.312396389749</v>
      </c>
      <c r="Q146" s="306">
        <f>'DGSP_chitiet (truKH)'!M146</f>
        <v>190833.39503898809</v>
      </c>
      <c r="R146" s="271">
        <f>'DGSP_chitiet (truKH)'!N146</f>
        <v>0</v>
      </c>
      <c r="S146" s="271">
        <f t="shared" si="51"/>
        <v>4639.6307692307701</v>
      </c>
    </row>
    <row r="147" spans="1:19" s="232" customFormat="1" ht="15" customHeight="1">
      <c r="A147" s="1005"/>
      <c r="B147" s="1014"/>
      <c r="C147" s="1005"/>
      <c r="D147" s="242">
        <v>4</v>
      </c>
      <c r="E147" s="271">
        <f t="shared" si="47"/>
        <v>178834.24416000006</v>
      </c>
      <c r="F147" s="271">
        <f t="shared" si="47"/>
        <v>0</v>
      </c>
      <c r="G147" s="271">
        <f t="shared" si="52"/>
        <v>74.655459117948709</v>
      </c>
      <c r="H147" s="271">
        <f t="shared" si="52"/>
        <v>2003.4713600000005</v>
      </c>
      <c r="I147" s="271"/>
      <c r="J147" s="271"/>
      <c r="K147" s="271">
        <f t="shared" si="49"/>
        <v>180912.37097911802</v>
      </c>
      <c r="L147" s="271">
        <f>K147*0.15</f>
        <v>27136.855646867702</v>
      </c>
      <c r="M147" s="272">
        <f t="shared" si="50"/>
        <v>208049.22662598573</v>
      </c>
      <c r="N147" s="271"/>
      <c r="O147" s="271">
        <f>'DGSP_chitiet (truKH)'!K147</f>
        <v>180912.37097911802</v>
      </c>
      <c r="P147" s="271">
        <f>'DGSP_chitiet (truKH)'!L147</f>
        <v>27136.855646867702</v>
      </c>
      <c r="Q147" s="306">
        <f>'DGSP_chitiet (truKH)'!M147</f>
        <v>208049.22662598573</v>
      </c>
      <c r="R147" s="271">
        <f>'DGSP_chitiet (truKH)'!N147</f>
        <v>0</v>
      </c>
      <c r="S147" s="271">
        <f t="shared" si="51"/>
        <v>5063.1138461538467</v>
      </c>
    </row>
    <row r="148" spans="1:19" s="232" customFormat="1" ht="15" customHeight="1">
      <c r="A148" s="1005"/>
      <c r="B148" s="1014"/>
      <c r="C148" s="1005"/>
      <c r="D148" s="242">
        <v>5</v>
      </c>
      <c r="E148" s="271">
        <f t="shared" si="47"/>
        <v>196651.67808000004</v>
      </c>
      <c r="F148" s="271">
        <f t="shared" si="47"/>
        <v>0</v>
      </c>
      <c r="G148" s="271">
        <f t="shared" si="52"/>
        <v>90.208679767521375</v>
      </c>
      <c r="H148" s="271">
        <f t="shared" si="52"/>
        <v>2003.4713600000005</v>
      </c>
      <c r="I148" s="271"/>
      <c r="J148" s="271"/>
      <c r="K148" s="271">
        <f t="shared" si="49"/>
        <v>198745.35811976757</v>
      </c>
      <c r="L148" s="271">
        <f>K148*0.15</f>
        <v>29811.803717965133</v>
      </c>
      <c r="M148" s="272">
        <f t="shared" si="50"/>
        <v>228557.16183773271</v>
      </c>
      <c r="N148" s="271"/>
      <c r="O148" s="271">
        <f>'DGSP_chitiet (truKH)'!K148</f>
        <v>198745.35811976757</v>
      </c>
      <c r="P148" s="271">
        <f>'DGSP_chitiet (truKH)'!L148</f>
        <v>29811.803717965133</v>
      </c>
      <c r="Q148" s="306">
        <f>'DGSP_chitiet (truKH)'!M148</f>
        <v>228557.16183773271</v>
      </c>
      <c r="R148" s="271">
        <f>'DGSP_chitiet (truKH)'!N148</f>
        <v>0</v>
      </c>
      <c r="S148" s="271">
        <f t="shared" si="51"/>
        <v>5567.5569230769233</v>
      </c>
    </row>
    <row r="149" spans="1:19">
      <c r="A149" s="242" t="s">
        <v>502</v>
      </c>
      <c r="B149" s="965" t="s">
        <v>326</v>
      </c>
      <c r="C149" s="243"/>
      <c r="D149" s="243"/>
      <c r="E149" s="271"/>
      <c r="F149" s="271"/>
      <c r="G149" s="271"/>
      <c r="H149" s="271"/>
      <c r="I149" s="271"/>
      <c r="J149" s="271"/>
      <c r="K149" s="271"/>
      <c r="L149" s="271"/>
      <c r="M149" s="272"/>
      <c r="N149" s="271"/>
      <c r="O149" s="271">
        <f>'DGSP_chitiet (truKH)'!K149</f>
        <v>0</v>
      </c>
      <c r="P149" s="271">
        <f>'DGSP_chitiet (truKH)'!L149</f>
        <v>0</v>
      </c>
      <c r="Q149" s="306">
        <f>'DGSP_chitiet (truKH)'!M149</f>
        <v>0</v>
      </c>
      <c r="R149" s="271">
        <f>'DGSP_chitiet (truKH)'!N149</f>
        <v>0</v>
      </c>
      <c r="S149" s="271"/>
    </row>
    <row r="150" spans="1:19" s="232" customFormat="1" ht="13.5" customHeight="1">
      <c r="A150" s="1005"/>
      <c r="B150" s="1014" t="s">
        <v>190</v>
      </c>
      <c r="C150" s="1005" t="s">
        <v>21</v>
      </c>
      <c r="D150" s="242">
        <v>1</v>
      </c>
      <c r="E150" s="271">
        <f t="shared" ref="E150:F154" si="53">E127*1.15</f>
        <v>8157494.6227499992</v>
      </c>
      <c r="F150" s="271">
        <f t="shared" si="53"/>
        <v>1086226.3076923077</v>
      </c>
      <c r="G150" s="271">
        <f t="shared" ref="G150:J159" si="54">G127</f>
        <v>40718.232820512829</v>
      </c>
      <c r="H150" s="271">
        <f t="shared" si="54"/>
        <v>3030735.2800000003</v>
      </c>
      <c r="I150" s="271">
        <f t="shared" si="54"/>
        <v>60078.845714285715</v>
      </c>
      <c r="J150" s="271">
        <f t="shared" si="54"/>
        <v>113.97120000000001</v>
      </c>
      <c r="K150" s="271">
        <f t="shared" ref="K150:K159" si="55">SUM(E150:J150)</f>
        <v>12375367.260177106</v>
      </c>
      <c r="L150" s="271">
        <f>K150*0.25</f>
        <v>3093841.8150442764</v>
      </c>
      <c r="M150" s="272">
        <f t="shared" ref="M150:M159" si="56">K150+L150</f>
        <v>15469209.075221382</v>
      </c>
      <c r="N150" s="271">
        <f>M150+M155</f>
        <v>17888538.779186785</v>
      </c>
      <c r="O150" s="271">
        <f>'DGSP_chitiet (truKH)'!K150</f>
        <v>12315288.41446282</v>
      </c>
      <c r="P150" s="271">
        <f>'DGSP_chitiet (truKH)'!L150</f>
        <v>3078822.1036157049</v>
      </c>
      <c r="Q150" s="306">
        <f>'DGSP_chitiet (truKH)'!M150</f>
        <v>15394110.518078525</v>
      </c>
      <c r="R150" s="271">
        <f>'DGSP_chitiet (truKH)'!N150</f>
        <v>17735465.449083928</v>
      </c>
      <c r="S150" s="271">
        <f>S127*1.15</f>
        <v>230633.82692307691</v>
      </c>
    </row>
    <row r="151" spans="1:19" s="232" customFormat="1" ht="15" customHeight="1">
      <c r="A151" s="1005"/>
      <c r="B151" s="1014"/>
      <c r="C151" s="1005"/>
      <c r="D151" s="242">
        <v>2</v>
      </c>
      <c r="E151" s="271">
        <f t="shared" si="53"/>
        <v>9732192.8335500024</v>
      </c>
      <c r="F151" s="271">
        <f t="shared" si="53"/>
        <v>1308157.9076923076</v>
      </c>
      <c r="G151" s="271">
        <f t="shared" si="54"/>
        <v>49158.871196581211</v>
      </c>
      <c r="H151" s="271">
        <f t="shared" si="54"/>
        <v>3030735.2800000003</v>
      </c>
      <c r="I151" s="271">
        <f t="shared" si="54"/>
        <v>74335.508571428581</v>
      </c>
      <c r="J151" s="271">
        <f t="shared" si="54"/>
        <v>113.97120000000001</v>
      </c>
      <c r="K151" s="271">
        <f t="shared" si="55"/>
        <v>14194694.372210322</v>
      </c>
      <c r="L151" s="271">
        <f>K151*0.25</f>
        <v>3548673.5930525805</v>
      </c>
      <c r="M151" s="272">
        <f t="shared" si="56"/>
        <v>17743367.965262901</v>
      </c>
      <c r="N151" s="271">
        <f>M151+M156</f>
        <v>20327519.3060311</v>
      </c>
      <c r="O151" s="271">
        <f>'DGSP_chitiet (truKH)'!K151</f>
        <v>14120358.863638893</v>
      </c>
      <c r="P151" s="271">
        <f>'DGSP_chitiet (truKH)'!L151</f>
        <v>3530089.7159097232</v>
      </c>
      <c r="Q151" s="306">
        <f>'DGSP_chitiet (truKH)'!M151</f>
        <v>17650448.579548616</v>
      </c>
      <c r="R151" s="271">
        <f>'DGSP_chitiet (truKH)'!N151</f>
        <v>20145838.773482531</v>
      </c>
      <c r="S151" s="271">
        <f>S128*1.15</f>
        <v>275216.31923076924</v>
      </c>
    </row>
    <row r="152" spans="1:19" s="232" customFormat="1" ht="15" customHeight="1">
      <c r="A152" s="1005"/>
      <c r="B152" s="1014"/>
      <c r="C152" s="1005"/>
      <c r="D152" s="242">
        <v>3</v>
      </c>
      <c r="E152" s="271">
        <f t="shared" si="53"/>
        <v>11646020.327700002</v>
      </c>
      <c r="F152" s="271">
        <f t="shared" si="53"/>
        <v>1574944.4615384613</v>
      </c>
      <c r="G152" s="271">
        <f t="shared" si="54"/>
        <v>62239.495726495734</v>
      </c>
      <c r="H152" s="271">
        <f t="shared" si="54"/>
        <v>3030735.2800000003</v>
      </c>
      <c r="I152" s="271">
        <f t="shared" si="54"/>
        <v>99605.771428571432</v>
      </c>
      <c r="J152" s="271">
        <f t="shared" si="54"/>
        <v>113.97120000000001</v>
      </c>
      <c r="K152" s="271">
        <f t="shared" si="55"/>
        <v>16413659.307593534</v>
      </c>
      <c r="L152" s="271">
        <f>K152*0.25</f>
        <v>4103414.8268983834</v>
      </c>
      <c r="M152" s="272">
        <f t="shared" si="56"/>
        <v>20517074.134491917</v>
      </c>
      <c r="N152" s="271">
        <f>M152+M157</f>
        <v>23260652.037285775</v>
      </c>
      <c r="O152" s="271">
        <f>'DGSP_chitiet (truKH)'!K152</f>
        <v>16314053.536164962</v>
      </c>
      <c r="P152" s="271">
        <f>'DGSP_chitiet (truKH)'!L152</f>
        <v>4078513.3840412404</v>
      </c>
      <c r="Q152" s="306">
        <f>'DGSP_chitiet (truKH)'!M152</f>
        <v>20392566.920206204</v>
      </c>
      <c r="R152" s="271">
        <f>'DGSP_chitiet (truKH)'!N152</f>
        <v>23036766.085228633</v>
      </c>
      <c r="S152" s="271">
        <f>S129*1.15</f>
        <v>329400.16153846146</v>
      </c>
    </row>
    <row r="153" spans="1:19" s="232" customFormat="1" ht="15" customHeight="1">
      <c r="A153" s="1005"/>
      <c r="B153" s="1014"/>
      <c r="C153" s="1005"/>
      <c r="D153" s="242">
        <v>4</v>
      </c>
      <c r="E153" s="271">
        <f t="shared" si="53"/>
        <v>13953522.374550004</v>
      </c>
      <c r="F153" s="271">
        <f t="shared" si="53"/>
        <v>1898971.2923076923</v>
      </c>
      <c r="G153" s="271">
        <f t="shared" si="54"/>
        <v>77269.948547008578</v>
      </c>
      <c r="H153" s="271">
        <f t="shared" si="54"/>
        <v>3030735.2800000003</v>
      </c>
      <c r="I153" s="271">
        <f t="shared" si="54"/>
        <v>128659.21142857143</v>
      </c>
      <c r="J153" s="271">
        <f t="shared" si="54"/>
        <v>113.97120000000001</v>
      </c>
      <c r="K153" s="271">
        <f t="shared" si="55"/>
        <v>19089272.078033276</v>
      </c>
      <c r="L153" s="271">
        <f>K153*0.25</f>
        <v>4772318.019508319</v>
      </c>
      <c r="M153" s="272">
        <f t="shared" si="56"/>
        <v>23861590.097541593</v>
      </c>
      <c r="N153" s="271">
        <f>M153+M158</f>
        <v>26814189.343958229</v>
      </c>
      <c r="O153" s="271">
        <f>'DGSP_chitiet (truKH)'!K153</f>
        <v>18960612.866604704</v>
      </c>
      <c r="P153" s="271">
        <f>'DGSP_chitiet (truKH)'!L153</f>
        <v>4740153.2166511761</v>
      </c>
      <c r="Q153" s="306">
        <f>'DGSP_chitiet (truKH)'!M153</f>
        <v>23700766.08325588</v>
      </c>
      <c r="R153" s="271">
        <f>'DGSP_chitiet (truKH)'!N153</f>
        <v>26539708.70236966</v>
      </c>
      <c r="S153" s="271">
        <f>S130*1.15</f>
        <v>394729.62692307687</v>
      </c>
    </row>
    <row r="154" spans="1:19" s="232" customFormat="1" ht="15" customHeight="1">
      <c r="A154" s="1005"/>
      <c r="B154" s="1014"/>
      <c r="C154" s="1005"/>
      <c r="D154" s="242">
        <v>5</v>
      </c>
      <c r="E154" s="271">
        <f t="shared" si="53"/>
        <v>16700548.620799998</v>
      </c>
      <c r="F154" s="271">
        <f t="shared" si="53"/>
        <v>2281577.3538461542</v>
      </c>
      <c r="G154" s="271">
        <f t="shared" si="54"/>
        <v>96940.387521367549</v>
      </c>
      <c r="H154" s="271">
        <f t="shared" si="54"/>
        <v>3030735.2800000003</v>
      </c>
      <c r="I154" s="271">
        <f t="shared" si="54"/>
        <v>160690.02285714285</v>
      </c>
      <c r="J154" s="271">
        <f t="shared" si="54"/>
        <v>113.97120000000001</v>
      </c>
      <c r="K154" s="271">
        <f t="shared" si="55"/>
        <v>22270605.636224665</v>
      </c>
      <c r="L154" s="271">
        <f>K154*0.25</f>
        <v>5567651.4090561662</v>
      </c>
      <c r="M154" s="272">
        <f t="shared" si="56"/>
        <v>27838257.045280829</v>
      </c>
      <c r="N154" s="271">
        <f>M154+M159</f>
        <v>31041486.601479653</v>
      </c>
      <c r="O154" s="271">
        <f>'DGSP_chitiet (truKH)'!K154</f>
        <v>22109915.61336752</v>
      </c>
      <c r="P154" s="271">
        <f>'DGSP_chitiet (truKH)'!L154</f>
        <v>5527478.9033418801</v>
      </c>
      <c r="Q154" s="306">
        <f>'DGSP_chitiet (truKH)'!M154</f>
        <v>27637394.516709402</v>
      </c>
      <c r="R154" s="271">
        <f>'DGSP_chitiet (truKH)'!N154</f>
        <v>30710087.007765368</v>
      </c>
      <c r="S154" s="271">
        <f>S131*1.15</f>
        <v>472502.80000000005</v>
      </c>
    </row>
    <row r="155" spans="1:19" s="232" customFormat="1" ht="13.5" customHeight="1">
      <c r="A155" s="1005"/>
      <c r="B155" s="1014" t="s">
        <v>192</v>
      </c>
      <c r="C155" s="1005" t="s">
        <v>21</v>
      </c>
      <c r="D155" s="242">
        <v>1</v>
      </c>
      <c r="E155" s="271">
        <f t="shared" ref="E155:F159" si="57">E132*1.1</f>
        <v>1555835.9273600006</v>
      </c>
      <c r="F155" s="271">
        <f t="shared" si="57"/>
        <v>0</v>
      </c>
      <c r="G155" s="271">
        <f t="shared" si="54"/>
        <v>10968.808609914528</v>
      </c>
      <c r="H155" s="271">
        <f t="shared" si="54"/>
        <v>420287.36000000004</v>
      </c>
      <c r="I155" s="271">
        <f t="shared" si="54"/>
        <v>67804.150399999999</v>
      </c>
      <c r="J155" s="271">
        <f t="shared" si="54"/>
        <v>48868.713600000003</v>
      </c>
      <c r="K155" s="271">
        <f t="shared" si="55"/>
        <v>2103764.959969915</v>
      </c>
      <c r="L155" s="271">
        <f>K155*0.15</f>
        <v>315564.74399548722</v>
      </c>
      <c r="M155" s="272">
        <f t="shared" si="56"/>
        <v>2419329.7039654022</v>
      </c>
      <c r="N155" s="271"/>
      <c r="O155" s="271">
        <f>'DGSP_chitiet (truKH)'!K155</f>
        <v>2035960.8095699151</v>
      </c>
      <c r="P155" s="271">
        <f>'DGSP_chitiet (truKH)'!L155</f>
        <v>305394.12143548724</v>
      </c>
      <c r="Q155" s="306">
        <f>'DGSP_chitiet (truKH)'!M155</f>
        <v>2341354.9310054025</v>
      </c>
      <c r="R155" s="271">
        <f>'DGSP_chitiet (truKH)'!N155</f>
        <v>0</v>
      </c>
      <c r="S155" s="271">
        <f>S132*1.1</f>
        <v>44048.467692307691</v>
      </c>
    </row>
    <row r="156" spans="1:19" s="232" customFormat="1" ht="15" customHeight="1">
      <c r="A156" s="1005"/>
      <c r="B156" s="1014"/>
      <c r="C156" s="1005"/>
      <c r="D156" s="242">
        <v>2</v>
      </c>
      <c r="E156" s="271">
        <f t="shared" si="57"/>
        <v>1679238.1548800005</v>
      </c>
      <c r="F156" s="271">
        <f t="shared" si="57"/>
        <v>0</v>
      </c>
      <c r="G156" s="271">
        <f t="shared" si="54"/>
        <v>11552.054384273502</v>
      </c>
      <c r="H156" s="271">
        <f t="shared" si="54"/>
        <v>420287.36000000004</v>
      </c>
      <c r="I156" s="271">
        <f t="shared" si="54"/>
        <v>77183.605942857146</v>
      </c>
      <c r="J156" s="271">
        <f t="shared" si="54"/>
        <v>58826.947199999995</v>
      </c>
      <c r="K156" s="271">
        <f t="shared" si="55"/>
        <v>2247088.1224071309</v>
      </c>
      <c r="L156" s="271">
        <f>K156*0.15</f>
        <v>337063.21836106962</v>
      </c>
      <c r="M156" s="272">
        <f t="shared" si="56"/>
        <v>2584151.3407682003</v>
      </c>
      <c r="N156" s="271"/>
      <c r="O156" s="271">
        <f>'DGSP_chitiet (truKH)'!K156</f>
        <v>2169904.5164642739</v>
      </c>
      <c r="P156" s="271">
        <f>'DGSP_chitiet (truKH)'!L156</f>
        <v>325485.67746964109</v>
      </c>
      <c r="Q156" s="306">
        <f>'DGSP_chitiet (truKH)'!M156</f>
        <v>2495390.1939339149</v>
      </c>
      <c r="R156" s="271">
        <f>'DGSP_chitiet (truKH)'!N156</f>
        <v>0</v>
      </c>
      <c r="S156" s="271">
        <f>S133*1.1</f>
        <v>47542.203076923084</v>
      </c>
    </row>
    <row r="157" spans="1:19" s="232" customFormat="1" ht="15" customHeight="1">
      <c r="A157" s="1005"/>
      <c r="B157" s="1014"/>
      <c r="C157" s="1005"/>
      <c r="D157" s="242">
        <v>3</v>
      </c>
      <c r="E157" s="271">
        <f t="shared" si="57"/>
        <v>1802640.3824000007</v>
      </c>
      <c r="F157" s="271">
        <f t="shared" si="57"/>
        <v>0</v>
      </c>
      <c r="G157" s="271">
        <f t="shared" si="54"/>
        <v>12135.300158632477</v>
      </c>
      <c r="H157" s="271">
        <f t="shared" si="54"/>
        <v>420287.36000000004</v>
      </c>
      <c r="I157" s="271">
        <f t="shared" si="54"/>
        <v>86416.293714285697</v>
      </c>
      <c r="J157" s="271">
        <f t="shared" si="54"/>
        <v>64240.579199999993</v>
      </c>
      <c r="K157" s="271">
        <f t="shared" si="55"/>
        <v>2385719.9154729191</v>
      </c>
      <c r="L157" s="271">
        <f>K157*0.15</f>
        <v>357857.98732093786</v>
      </c>
      <c r="M157" s="272">
        <f t="shared" si="56"/>
        <v>2743577.9027938568</v>
      </c>
      <c r="N157" s="271"/>
      <c r="O157" s="271">
        <f>'DGSP_chitiet (truKH)'!K157</f>
        <v>2299303.6217586333</v>
      </c>
      <c r="P157" s="271">
        <f>'DGSP_chitiet (truKH)'!L157</f>
        <v>344895.54326379497</v>
      </c>
      <c r="Q157" s="306">
        <f>'DGSP_chitiet (truKH)'!M157</f>
        <v>2644199.1650224281</v>
      </c>
      <c r="R157" s="271">
        <f>'DGSP_chitiet (truKH)'!N157</f>
        <v>0</v>
      </c>
      <c r="S157" s="271">
        <f>S134*1.1</f>
        <v>51035.93846153847</v>
      </c>
    </row>
    <row r="158" spans="1:19" s="232" customFormat="1" ht="15" customHeight="1">
      <c r="A158" s="1005"/>
      <c r="B158" s="1014"/>
      <c r="C158" s="1005"/>
      <c r="D158" s="242">
        <v>4</v>
      </c>
      <c r="E158" s="271">
        <f t="shared" si="57"/>
        <v>1967176.6857600007</v>
      </c>
      <c r="F158" s="271">
        <f t="shared" si="57"/>
        <v>0</v>
      </c>
      <c r="G158" s="271">
        <f t="shared" si="54"/>
        <v>12912.96119111111</v>
      </c>
      <c r="H158" s="271">
        <f t="shared" si="54"/>
        <v>420287.36000000004</v>
      </c>
      <c r="I158" s="271">
        <f t="shared" si="54"/>
        <v>98831.84982857143</v>
      </c>
      <c r="J158" s="271">
        <f t="shared" si="54"/>
        <v>68268.748800000001</v>
      </c>
      <c r="K158" s="271">
        <f t="shared" si="55"/>
        <v>2567477.6055796836</v>
      </c>
      <c r="L158" s="271">
        <f>K158*0.15</f>
        <v>385121.64083695255</v>
      </c>
      <c r="M158" s="272">
        <f t="shared" si="56"/>
        <v>2952599.2464166363</v>
      </c>
      <c r="N158" s="271"/>
      <c r="O158" s="271">
        <f>'DGSP_chitiet (truKH)'!K158</f>
        <v>2468645.755751112</v>
      </c>
      <c r="P158" s="271">
        <f>'DGSP_chitiet (truKH)'!L158</f>
        <v>370296.8633626668</v>
      </c>
      <c r="Q158" s="306">
        <f>'DGSP_chitiet (truKH)'!M158</f>
        <v>2838942.6191137787</v>
      </c>
      <c r="R158" s="271">
        <f>'DGSP_chitiet (truKH)'!N158</f>
        <v>0</v>
      </c>
      <c r="S158" s="271">
        <f>S135*1.1</f>
        <v>55694.252307692317</v>
      </c>
    </row>
    <row r="159" spans="1:19" s="232" customFormat="1" ht="15" customHeight="1">
      <c r="A159" s="1005"/>
      <c r="B159" s="1014"/>
      <c r="C159" s="1005"/>
      <c r="D159" s="242">
        <v>5</v>
      </c>
      <c r="E159" s="271">
        <f t="shared" si="57"/>
        <v>2163168.4588800003</v>
      </c>
      <c r="F159" s="271">
        <f t="shared" si="57"/>
        <v>0</v>
      </c>
      <c r="G159" s="271">
        <f t="shared" si="54"/>
        <v>13885.0374817094</v>
      </c>
      <c r="H159" s="271">
        <f t="shared" si="54"/>
        <v>420287.36000000004</v>
      </c>
      <c r="I159" s="271">
        <f t="shared" si="54"/>
        <v>113510.49142857142</v>
      </c>
      <c r="J159" s="271">
        <f t="shared" si="54"/>
        <v>74565.657599999991</v>
      </c>
      <c r="K159" s="271">
        <f t="shared" si="55"/>
        <v>2785417.0053902809</v>
      </c>
      <c r="L159" s="271">
        <f>K159*0.15</f>
        <v>417812.55080854212</v>
      </c>
      <c r="M159" s="272">
        <f t="shared" si="56"/>
        <v>3203229.5561988228</v>
      </c>
      <c r="N159" s="271"/>
      <c r="O159" s="271">
        <f>'DGSP_chitiet (truKH)'!K159</f>
        <v>2671906.5139617096</v>
      </c>
      <c r="P159" s="271">
        <f>'DGSP_chitiet (truKH)'!L159</f>
        <v>400785.97709425644</v>
      </c>
      <c r="Q159" s="306">
        <f>'DGSP_chitiet (truKH)'!M159</f>
        <v>3072692.4910559659</v>
      </c>
      <c r="R159" s="271">
        <f>'DGSP_chitiet (truKH)'!N159</f>
        <v>0</v>
      </c>
      <c r="S159" s="271">
        <f>S136*1.1</f>
        <v>61243.126153846155</v>
      </c>
    </row>
    <row r="160" spans="1:19">
      <c r="A160" s="242">
        <v>1</v>
      </c>
      <c r="B160" s="276" t="s">
        <v>57</v>
      </c>
      <c r="C160" s="243"/>
      <c r="D160" s="243"/>
      <c r="E160" s="271"/>
      <c r="F160" s="271"/>
      <c r="G160" s="271"/>
      <c r="H160" s="271"/>
      <c r="I160" s="271"/>
      <c r="J160" s="271"/>
      <c r="K160" s="271"/>
      <c r="L160" s="271"/>
      <c r="M160" s="973">
        <v>6.25</v>
      </c>
      <c r="N160" s="974" t="s">
        <v>21</v>
      </c>
      <c r="O160" s="271">
        <f>'DGSP_chitiet (truKH)'!K160</f>
        <v>0</v>
      </c>
      <c r="P160" s="271">
        <f>'DGSP_chitiet (truKH)'!L160</f>
        <v>0</v>
      </c>
      <c r="Q160" s="306">
        <f>'DGSP_chitiet (truKH)'!M160</f>
        <v>6.25</v>
      </c>
      <c r="R160" s="271" t="str">
        <f>'DGSP_chitiet (truKH)'!N160</f>
        <v>ha</v>
      </c>
      <c r="S160" s="271"/>
    </row>
    <row r="161" spans="1:19">
      <c r="A161" s="969" t="s">
        <v>359</v>
      </c>
      <c r="B161" s="970" t="str">
        <f>NhanCong!B$61</f>
        <v>Công tác chuẩn bị</v>
      </c>
      <c r="C161" s="274" t="s">
        <v>317</v>
      </c>
      <c r="D161" s="274" t="s">
        <v>622</v>
      </c>
      <c r="E161" s="271">
        <f>NhanCong!M$61</f>
        <v>290265.88800000009</v>
      </c>
      <c r="F161" s="271">
        <f>NhanCong!M$62</f>
        <v>18046.769230769234</v>
      </c>
      <c r="G161" s="905">
        <f>Dcu!N$102*0.4</f>
        <v>8436.3384615384639</v>
      </c>
      <c r="H161" s="905">
        <f>VLieu!L$66</f>
        <v>450109.2</v>
      </c>
      <c r="I161" s="905"/>
      <c r="J161" s="905"/>
      <c r="K161" s="905">
        <f>SUM(E161:J161)</f>
        <v>766858.19569230778</v>
      </c>
      <c r="L161" s="905">
        <f>K161*0.25</f>
        <v>191714.54892307695</v>
      </c>
      <c r="M161" s="906">
        <f>K161+L161</f>
        <v>958572.74461538473</v>
      </c>
      <c r="N161" s="905"/>
      <c r="O161" s="271">
        <f>'DGSP_chitiet (truKH)'!K161</f>
        <v>766858.19569230778</v>
      </c>
      <c r="P161" s="271">
        <f>'DGSP_chitiet (truKH)'!L161</f>
        <v>191714.54892307695</v>
      </c>
      <c r="Q161" s="306">
        <f>'DGSP_chitiet (truKH)'!M161</f>
        <v>958572.74461538473</v>
      </c>
      <c r="R161" s="271">
        <f>'DGSP_chitiet (truKH)'!N161</f>
        <v>0</v>
      </c>
      <c r="S161" s="905">
        <f>NhanCong!N$61</f>
        <v>7940.3076923076924</v>
      </c>
    </row>
    <row r="162" spans="1:19">
      <c r="A162" s="1012" t="s">
        <v>269</v>
      </c>
      <c r="B162" s="1011" t="str">
        <f>NhanCong!B$63</f>
        <v>Lập lưới khống chế đo vẽ</v>
      </c>
      <c r="C162" s="1013" t="s">
        <v>317</v>
      </c>
      <c r="D162" s="274">
        <v>1</v>
      </c>
      <c r="E162" s="271">
        <f>NhanCong!M$63</f>
        <v>804259.17000000016</v>
      </c>
      <c r="F162" s="271"/>
      <c r="G162" s="905">
        <f>Dcu!N$82</f>
        <v>4441.9774358974346</v>
      </c>
      <c r="H162" s="905">
        <f>VLieu!L$67</f>
        <v>300072.8</v>
      </c>
      <c r="I162" s="905">
        <f>TBi!N$35</f>
        <v>10534.845714285713</v>
      </c>
      <c r="J162" s="905">
        <f>TBi!N$39</f>
        <v>113.97120000000001</v>
      </c>
      <c r="K162" s="905">
        <f t="shared" ref="K162:K166" si="58">SUM(E162:J162)</f>
        <v>1119422.7643501833</v>
      </c>
      <c r="L162" s="905">
        <f t="shared" ref="L162:L186" si="59">K162*0.25</f>
        <v>279855.69108754583</v>
      </c>
      <c r="M162" s="906">
        <f t="shared" ref="M162:M186" si="60">K162+L162</f>
        <v>1399278.4554377291</v>
      </c>
      <c r="N162" s="905"/>
      <c r="O162" s="271">
        <f>'DGSP_chitiet (truKH)'!K162</f>
        <v>1108887.9186358976</v>
      </c>
      <c r="P162" s="271">
        <f>'DGSP_chitiet (truKH)'!L162</f>
        <v>277221.97965897439</v>
      </c>
      <c r="Q162" s="306">
        <f>'DGSP_chitiet (truKH)'!M162</f>
        <v>1386109.8982948719</v>
      </c>
      <c r="R162" s="271">
        <f>'DGSP_chitiet (truKH)'!N162</f>
        <v>0</v>
      </c>
      <c r="S162" s="905">
        <f>NhanCong!N$63</f>
        <v>22769.999999999996</v>
      </c>
    </row>
    <row r="163" spans="1:19">
      <c r="A163" s="1012"/>
      <c r="B163" s="1011"/>
      <c r="C163" s="1013"/>
      <c r="D163" s="274">
        <v>2</v>
      </c>
      <c r="E163" s="271">
        <f>NhanCong!M$64</f>
        <v>965798.40500000026</v>
      </c>
      <c r="F163" s="271"/>
      <c r="G163" s="905">
        <f>Dcu!N$83</f>
        <v>5922.6365811965798</v>
      </c>
      <c r="H163" s="905">
        <f>VLieu!L$67</f>
        <v>300072.8</v>
      </c>
      <c r="I163" s="905">
        <f>TBi!O$35</f>
        <v>13351.348571428573</v>
      </c>
      <c r="J163" s="905">
        <f>TBi!O$39</f>
        <v>113.97120000000001</v>
      </c>
      <c r="K163" s="905">
        <f t="shared" si="58"/>
        <v>1285259.1613526253</v>
      </c>
      <c r="L163" s="905">
        <f t="shared" si="59"/>
        <v>321314.79033815634</v>
      </c>
      <c r="M163" s="906">
        <f t="shared" si="60"/>
        <v>1606573.9516907816</v>
      </c>
      <c r="N163" s="905"/>
      <c r="O163" s="271">
        <f>'DGSP_chitiet (truKH)'!K163</f>
        <v>1271907.8127811968</v>
      </c>
      <c r="P163" s="271">
        <f>'DGSP_chitiet (truKH)'!L163</f>
        <v>317976.9531952992</v>
      </c>
      <c r="Q163" s="306">
        <f>'DGSP_chitiet (truKH)'!M163</f>
        <v>1589884.765976496</v>
      </c>
      <c r="R163" s="271">
        <f>'DGSP_chitiet (truKH)'!N163</f>
        <v>0</v>
      </c>
      <c r="S163" s="905">
        <f>NhanCong!N$64</f>
        <v>27343.461538461539</v>
      </c>
    </row>
    <row r="164" spans="1:19">
      <c r="A164" s="1012"/>
      <c r="B164" s="1011"/>
      <c r="C164" s="1013"/>
      <c r="D164" s="274">
        <v>3</v>
      </c>
      <c r="E164" s="271">
        <f>NhanCong!M$65</f>
        <v>1158270.6850000003</v>
      </c>
      <c r="F164" s="271"/>
      <c r="G164" s="905">
        <f>Dcu!N$84</f>
        <v>7403.295726495724</v>
      </c>
      <c r="H164" s="905">
        <f>VLieu!L$67</f>
        <v>300072.8</v>
      </c>
      <c r="I164" s="905">
        <f>TBi!P$35</f>
        <v>17362.731428571427</v>
      </c>
      <c r="J164" s="905">
        <f>TBi!P$39</f>
        <v>113.97120000000001</v>
      </c>
      <c r="K164" s="905">
        <f t="shared" si="58"/>
        <v>1483223.4833550677</v>
      </c>
      <c r="L164" s="905">
        <f t="shared" si="59"/>
        <v>370805.87083876692</v>
      </c>
      <c r="M164" s="906">
        <f t="shared" si="60"/>
        <v>1854029.3541938346</v>
      </c>
      <c r="N164" s="905"/>
      <c r="O164" s="271">
        <f>'DGSP_chitiet (truKH)'!K164</f>
        <v>1465860.7519264962</v>
      </c>
      <c r="P164" s="271">
        <f>'DGSP_chitiet (truKH)'!L164</f>
        <v>366465.18798162404</v>
      </c>
      <c r="Q164" s="306">
        <f>'DGSP_chitiet (truKH)'!M164</f>
        <v>1832325.9399081203</v>
      </c>
      <c r="R164" s="271">
        <f>'DGSP_chitiet (truKH)'!N164</f>
        <v>0</v>
      </c>
      <c r="S164" s="905">
        <f>NhanCong!N$65</f>
        <v>32792.692307692312</v>
      </c>
    </row>
    <row r="165" spans="1:19">
      <c r="A165" s="1012"/>
      <c r="B165" s="1011"/>
      <c r="C165" s="1013"/>
      <c r="D165" s="274">
        <v>4</v>
      </c>
      <c r="E165" s="271">
        <f>NhanCong!M$66</f>
        <v>1388550.0200000003</v>
      </c>
      <c r="F165" s="271"/>
      <c r="G165" s="905">
        <f>Dcu!N$85</f>
        <v>8513.790085470082</v>
      </c>
      <c r="H165" s="905">
        <f>VLieu!L$67</f>
        <v>300072.8</v>
      </c>
      <c r="I165" s="905">
        <f>TBi!Q$35</f>
        <v>19752.491428571426</v>
      </c>
      <c r="J165" s="905">
        <f>TBi!Q$39</f>
        <v>113.97120000000001</v>
      </c>
      <c r="K165" s="905">
        <f t="shared" si="58"/>
        <v>1717003.0727140419</v>
      </c>
      <c r="L165" s="905">
        <f t="shared" si="59"/>
        <v>429250.76817851048</v>
      </c>
      <c r="M165" s="906">
        <f t="shared" si="60"/>
        <v>2146253.8408925524</v>
      </c>
      <c r="N165" s="905"/>
      <c r="O165" s="271">
        <f>'DGSP_chitiet (truKH)'!K165</f>
        <v>1697250.5812854704</v>
      </c>
      <c r="P165" s="271">
        <f>'DGSP_chitiet (truKH)'!L165</f>
        <v>424312.6453213676</v>
      </c>
      <c r="Q165" s="306">
        <f>'DGSP_chitiet (truKH)'!M165</f>
        <v>2121563.2266068379</v>
      </c>
      <c r="R165" s="271">
        <f>'DGSP_chitiet (truKH)'!N165</f>
        <v>0</v>
      </c>
      <c r="S165" s="905">
        <f>NhanCong!N$66</f>
        <v>39312.307692307688</v>
      </c>
    </row>
    <row r="166" spans="1:19">
      <c r="A166" s="1012"/>
      <c r="B166" s="1011"/>
      <c r="C166" s="1013"/>
      <c r="D166" s="274">
        <v>5</v>
      </c>
      <c r="E166" s="271">
        <f>NhanCong!M$67</f>
        <v>1663510.4200000006</v>
      </c>
      <c r="F166" s="271"/>
      <c r="G166" s="905">
        <f>Dcu!N$86</f>
        <v>9624.2844444444418</v>
      </c>
      <c r="H166" s="905">
        <f>VLieu!L$67</f>
        <v>300072.8</v>
      </c>
      <c r="I166" s="905">
        <f>TBi!R$35</f>
        <v>22056.902857142857</v>
      </c>
      <c r="J166" s="905">
        <f>TBi!R$39</f>
        <v>113.97120000000001</v>
      </c>
      <c r="K166" s="905">
        <f t="shared" si="58"/>
        <v>1995378.378501588</v>
      </c>
      <c r="L166" s="905">
        <f t="shared" si="59"/>
        <v>498844.594625397</v>
      </c>
      <c r="M166" s="906">
        <f t="shared" si="60"/>
        <v>2494222.9731269851</v>
      </c>
      <c r="N166" s="905"/>
      <c r="O166" s="271">
        <f>'DGSP_chitiet (truKH)'!K166</f>
        <v>1973321.475644445</v>
      </c>
      <c r="P166" s="271">
        <f>'DGSP_chitiet (truKH)'!L166</f>
        <v>493330.36891111126</v>
      </c>
      <c r="Q166" s="306">
        <f>'DGSP_chitiet (truKH)'!M166</f>
        <v>2466651.8445555563</v>
      </c>
      <c r="R166" s="271">
        <f>'DGSP_chitiet (truKH)'!N166</f>
        <v>0</v>
      </c>
      <c r="S166" s="905">
        <f>NhanCong!N$67</f>
        <v>47096.923076923078</v>
      </c>
    </row>
    <row r="167" spans="1:19">
      <c r="A167" s="1012" t="s">
        <v>36</v>
      </c>
      <c r="B167" s="1011" t="str">
        <f>NhanCong!B$68</f>
        <v>Xác định ranh giới thửa đất trên thực địa</v>
      </c>
      <c r="C167" s="1013" t="s">
        <v>317</v>
      </c>
      <c r="D167" s="274">
        <v>1</v>
      </c>
      <c r="E167" s="271">
        <f>NhanCong!M$68</f>
        <v>2697361.5240000002</v>
      </c>
      <c r="F167" s="271">
        <f>NhanCong!M$69</f>
        <v>571092.92307692312</v>
      </c>
      <c r="G167" s="905">
        <f>Dcu!N$103*0.4</f>
        <v>5061.8030769230791</v>
      </c>
      <c r="H167" s="905">
        <f>VLieu!L$68</f>
        <v>750182</v>
      </c>
      <c r="I167" s="905"/>
      <c r="J167" s="905"/>
      <c r="K167" s="905">
        <f>SUM(E167:J167)</f>
        <v>4023698.2501538461</v>
      </c>
      <c r="L167" s="905">
        <f t="shared" si="59"/>
        <v>1005924.5625384615</v>
      </c>
      <c r="M167" s="906">
        <f t="shared" si="60"/>
        <v>5029622.8126923079</v>
      </c>
      <c r="N167" s="905"/>
      <c r="O167" s="271">
        <f>'DGSP_chitiet (truKH)'!K167</f>
        <v>4023698.2501538461</v>
      </c>
      <c r="P167" s="271">
        <f>'DGSP_chitiet (truKH)'!L167</f>
        <v>1005924.5625384615</v>
      </c>
      <c r="Q167" s="306">
        <f>'DGSP_chitiet (truKH)'!M167</f>
        <v>5029622.8126923079</v>
      </c>
      <c r="R167" s="271">
        <f>'DGSP_chitiet (truKH)'!N167</f>
        <v>0</v>
      </c>
      <c r="S167" s="905">
        <f>NhanCong!N$68</f>
        <v>76367.076923076922</v>
      </c>
    </row>
    <row r="168" spans="1:19">
      <c r="A168" s="1012"/>
      <c r="B168" s="1011"/>
      <c r="C168" s="1013"/>
      <c r="D168" s="274">
        <v>2</v>
      </c>
      <c r="E168" s="271">
        <f>NhanCong!M$70</f>
        <v>3236283.9080000008</v>
      </c>
      <c r="F168" s="271">
        <f>NhanCong!M$71</f>
        <v>685195.07692307699</v>
      </c>
      <c r="G168" s="905">
        <f>Dcu!N$104*0.4</f>
        <v>6327.2538461538488</v>
      </c>
      <c r="H168" s="905">
        <f>VLieu!L$68</f>
        <v>750182</v>
      </c>
      <c r="I168" s="905"/>
      <c r="J168" s="905"/>
      <c r="K168" s="905">
        <f t="shared" ref="K168:K186" si="61">SUM(E168:J168)</f>
        <v>4677988.2387692314</v>
      </c>
      <c r="L168" s="905">
        <f t="shared" si="59"/>
        <v>1169497.0596923078</v>
      </c>
      <c r="M168" s="906">
        <f t="shared" si="60"/>
        <v>5847485.2984615397</v>
      </c>
      <c r="N168" s="905"/>
      <c r="O168" s="271">
        <f>'DGSP_chitiet (truKH)'!K168</f>
        <v>4677988.2387692314</v>
      </c>
      <c r="P168" s="271">
        <f>'DGSP_chitiet (truKH)'!L168</f>
        <v>1169497.0596923078</v>
      </c>
      <c r="Q168" s="306">
        <f>'DGSP_chitiet (truKH)'!M168</f>
        <v>5847485.2984615397</v>
      </c>
      <c r="R168" s="271">
        <f>'DGSP_chitiet (truKH)'!N168</f>
        <v>0</v>
      </c>
      <c r="S168" s="905">
        <f>NhanCong!N$70</f>
        <v>91624.923076923078</v>
      </c>
    </row>
    <row r="169" spans="1:19">
      <c r="A169" s="1012"/>
      <c r="B169" s="1011"/>
      <c r="C169" s="1013"/>
      <c r="D169" s="274">
        <v>3</v>
      </c>
      <c r="E169" s="271">
        <f>NhanCong!M$72</f>
        <v>3883815.6500000004</v>
      </c>
      <c r="F169" s="271">
        <f>NhanCong!M$73</f>
        <v>822292.30769230763</v>
      </c>
      <c r="G169" s="905">
        <f>Dcu!N$105*0.4</f>
        <v>8436.3384615384639</v>
      </c>
      <c r="H169" s="905">
        <f>VLieu!L$68</f>
        <v>750182</v>
      </c>
      <c r="I169" s="905"/>
      <c r="J169" s="905"/>
      <c r="K169" s="905">
        <f t="shared" si="61"/>
        <v>5464726.2961538471</v>
      </c>
      <c r="L169" s="905">
        <f t="shared" si="59"/>
        <v>1366181.5740384618</v>
      </c>
      <c r="M169" s="906">
        <f t="shared" si="60"/>
        <v>6830907.8701923089</v>
      </c>
      <c r="N169" s="905"/>
      <c r="O169" s="271">
        <f>'DGSP_chitiet (truKH)'!K169</f>
        <v>5464726.2961538471</v>
      </c>
      <c r="P169" s="271">
        <f>'DGSP_chitiet (truKH)'!L169</f>
        <v>1366181.5740384618</v>
      </c>
      <c r="Q169" s="306">
        <f>'DGSP_chitiet (truKH)'!M169</f>
        <v>6830907.8701923089</v>
      </c>
      <c r="R169" s="271">
        <f>'DGSP_chitiet (truKH)'!N169</f>
        <v>0</v>
      </c>
      <c r="S169" s="905">
        <f>NhanCong!N$72</f>
        <v>109957.6923076923</v>
      </c>
    </row>
    <row r="170" spans="1:19">
      <c r="A170" s="1012"/>
      <c r="B170" s="1011"/>
      <c r="C170" s="1013"/>
      <c r="D170" s="274">
        <v>4</v>
      </c>
      <c r="E170" s="271">
        <f>NhanCong!M$74</f>
        <v>4660578.78</v>
      </c>
      <c r="F170" s="271">
        <f>NhanCong!M$75</f>
        <v>986750.76923076925</v>
      </c>
      <c r="G170" s="905">
        <f>Dcu!N$106*0.4</f>
        <v>10967.240000000005</v>
      </c>
      <c r="H170" s="905">
        <f>VLieu!L$68</f>
        <v>750182</v>
      </c>
      <c r="I170" s="905"/>
      <c r="J170" s="905"/>
      <c r="K170" s="905">
        <f t="shared" si="61"/>
        <v>6408478.7892307695</v>
      </c>
      <c r="L170" s="905">
        <f t="shared" si="59"/>
        <v>1602119.6973076924</v>
      </c>
      <c r="M170" s="906">
        <f t="shared" si="60"/>
        <v>8010598.4865384623</v>
      </c>
      <c r="N170" s="905"/>
      <c r="O170" s="271">
        <f>'DGSP_chitiet (truKH)'!K170</f>
        <v>6408478.7892307695</v>
      </c>
      <c r="P170" s="271">
        <f>'DGSP_chitiet (truKH)'!L170</f>
        <v>1602119.6973076924</v>
      </c>
      <c r="Q170" s="306">
        <f>'DGSP_chitiet (truKH)'!M170</f>
        <v>8010598.4865384623</v>
      </c>
      <c r="R170" s="271">
        <f>'DGSP_chitiet (truKH)'!N170</f>
        <v>0</v>
      </c>
      <c r="S170" s="905">
        <f>NhanCong!N$74</f>
        <v>131949.23076923075</v>
      </c>
    </row>
    <row r="171" spans="1:19">
      <c r="A171" s="1012"/>
      <c r="B171" s="1011"/>
      <c r="C171" s="1013"/>
      <c r="D171" s="274">
        <v>5</v>
      </c>
      <c r="E171" s="271">
        <f>NhanCong!M$76</f>
        <v>5592694.5360000003</v>
      </c>
      <c r="F171" s="271">
        <f>NhanCong!M$77</f>
        <v>1184100.9230769232</v>
      </c>
      <c r="G171" s="905">
        <f>Dcu!N$107*0.4</f>
        <v>14341.775384615388</v>
      </c>
      <c r="H171" s="905">
        <f>VLieu!L$68</f>
        <v>750182</v>
      </c>
      <c r="I171" s="905"/>
      <c r="J171" s="905"/>
      <c r="K171" s="905">
        <f t="shared" si="61"/>
        <v>7541319.2344615385</v>
      </c>
      <c r="L171" s="905">
        <f t="shared" si="59"/>
        <v>1885329.8086153846</v>
      </c>
      <c r="M171" s="906">
        <f t="shared" si="60"/>
        <v>9426649.0430769231</v>
      </c>
      <c r="N171" s="905"/>
      <c r="O171" s="271">
        <f>'DGSP_chitiet (truKH)'!K171</f>
        <v>7541319.2344615385</v>
      </c>
      <c r="P171" s="271">
        <f>'DGSP_chitiet (truKH)'!L171</f>
        <v>1885329.8086153846</v>
      </c>
      <c r="Q171" s="306">
        <f>'DGSP_chitiet (truKH)'!M171</f>
        <v>9426649.0430769231</v>
      </c>
      <c r="R171" s="271">
        <f>'DGSP_chitiet (truKH)'!N171</f>
        <v>0</v>
      </c>
      <c r="S171" s="905">
        <f>NhanCong!N$76</f>
        <v>158339.07692307691</v>
      </c>
    </row>
    <row r="172" spans="1:19">
      <c r="A172" s="1012" t="s">
        <v>270</v>
      </c>
      <c r="B172" s="1011" t="str">
        <f>NhanCong!B$78</f>
        <v>Đo đạc ranh giới thửa đất và các đối tượng địa lý có liên quan</v>
      </c>
      <c r="C172" s="1013" t="s">
        <v>317</v>
      </c>
      <c r="D172" s="274" t="s">
        <v>18</v>
      </c>
      <c r="E172" s="271">
        <f>NhanCong!M$78</f>
        <v>2663678.8750000005</v>
      </c>
      <c r="F172" s="271">
        <f>NhanCong!M$79</f>
        <v>108280.6153846154</v>
      </c>
      <c r="G172" s="905">
        <f>Dcu!N$103</f>
        <v>12654.507692307696</v>
      </c>
      <c r="H172" s="905">
        <f>VLieu!L$69</f>
        <v>750182</v>
      </c>
      <c r="I172" s="905">
        <f>TBi!N$65</f>
        <v>49544</v>
      </c>
      <c r="J172" s="905"/>
      <c r="K172" s="905">
        <f t="shared" si="61"/>
        <v>3584339.9980769237</v>
      </c>
      <c r="L172" s="905">
        <f t="shared" si="59"/>
        <v>896084.99951923091</v>
      </c>
      <c r="M172" s="906">
        <f t="shared" si="60"/>
        <v>4480424.9975961549</v>
      </c>
      <c r="N172" s="905"/>
      <c r="O172" s="271">
        <f>'DGSP_chitiet (truKH)'!K172</f>
        <v>3534795.9980769237</v>
      </c>
      <c r="P172" s="271">
        <f>'DGSP_chitiet (truKH)'!L172</f>
        <v>883698.99951923091</v>
      </c>
      <c r="Q172" s="306">
        <f>'DGSP_chitiet (truKH)'!M172</f>
        <v>4418494.9975961549</v>
      </c>
      <c r="R172" s="271">
        <f>'DGSP_chitiet (truKH)'!N172</f>
        <v>0</v>
      </c>
      <c r="S172" s="905">
        <f>NhanCong!N$78</f>
        <v>75413.461538461546</v>
      </c>
    </row>
    <row r="173" spans="1:19">
      <c r="A173" s="1012"/>
      <c r="B173" s="1011"/>
      <c r="C173" s="1013"/>
      <c r="D173" s="274" t="s">
        <v>20</v>
      </c>
      <c r="E173" s="271">
        <f>NhanCong!M$80</f>
        <v>3196414.6500000013</v>
      </c>
      <c r="F173" s="271">
        <f>NhanCong!M$81</f>
        <v>135350.76923076925</v>
      </c>
      <c r="G173" s="905">
        <f>Dcu!N$104</f>
        <v>15818.134615384621</v>
      </c>
      <c r="H173" s="905">
        <f>VLieu!L$69</f>
        <v>750182</v>
      </c>
      <c r="I173" s="905">
        <f>TBi!O$65</f>
        <v>60984.160000000003</v>
      </c>
      <c r="J173" s="905"/>
      <c r="K173" s="905">
        <f t="shared" si="61"/>
        <v>4158749.713846155</v>
      </c>
      <c r="L173" s="905">
        <f t="shared" si="59"/>
        <v>1039687.4284615387</v>
      </c>
      <c r="M173" s="906">
        <f t="shared" si="60"/>
        <v>5198437.1423076941</v>
      </c>
      <c r="N173" s="905"/>
      <c r="O173" s="271">
        <f>'DGSP_chitiet (truKH)'!K173</f>
        <v>4097765.5538461548</v>
      </c>
      <c r="P173" s="271">
        <f>'DGSP_chitiet (truKH)'!L173</f>
        <v>1024441.3884615387</v>
      </c>
      <c r="Q173" s="306">
        <f>'DGSP_chitiet (truKH)'!M173</f>
        <v>5122206.9423076939</v>
      </c>
      <c r="R173" s="271">
        <f>'DGSP_chitiet (truKH)'!N173</f>
        <v>0</v>
      </c>
      <c r="S173" s="905">
        <f>NhanCong!N$80</f>
        <v>90496.153846153844</v>
      </c>
    </row>
    <row r="174" spans="1:19">
      <c r="A174" s="1012"/>
      <c r="B174" s="1011"/>
      <c r="C174" s="1013"/>
      <c r="D174" s="274" t="s">
        <v>35</v>
      </c>
      <c r="E174" s="271">
        <f>NhanCong!M$82</f>
        <v>3835697.580000001</v>
      </c>
      <c r="F174" s="271">
        <f>NhanCong!M$83</f>
        <v>162420.92307692309</v>
      </c>
      <c r="G174" s="905">
        <f>Dcu!N$105</f>
        <v>21090.84615384616</v>
      </c>
      <c r="H174" s="905">
        <f>VLieu!L$69</f>
        <v>750182</v>
      </c>
      <c r="I174" s="905">
        <f>TBi!P$65</f>
        <v>82243.040000000008</v>
      </c>
      <c r="J174" s="905"/>
      <c r="K174" s="905">
        <f t="shared" si="61"/>
        <v>4851634.3892307701</v>
      </c>
      <c r="L174" s="905">
        <f t="shared" si="59"/>
        <v>1212908.5973076925</v>
      </c>
      <c r="M174" s="906">
        <f t="shared" si="60"/>
        <v>6064542.9865384623</v>
      </c>
      <c r="N174" s="905"/>
      <c r="O174" s="271">
        <f>'DGSP_chitiet (truKH)'!K174</f>
        <v>4769391.34923077</v>
      </c>
      <c r="P174" s="271">
        <f>'DGSP_chitiet (truKH)'!L174</f>
        <v>1192347.8373076925</v>
      </c>
      <c r="Q174" s="306">
        <f>'DGSP_chitiet (truKH)'!M174</f>
        <v>5961739.1865384625</v>
      </c>
      <c r="R174" s="271">
        <f>'DGSP_chitiet (truKH)'!N174</f>
        <v>0</v>
      </c>
      <c r="S174" s="905">
        <f>NhanCong!N$82</f>
        <v>108595.3846153846</v>
      </c>
    </row>
    <row r="175" spans="1:19">
      <c r="A175" s="1012"/>
      <c r="B175" s="1011"/>
      <c r="C175" s="1013"/>
      <c r="D175" s="274" t="s">
        <v>33</v>
      </c>
      <c r="E175" s="271">
        <f>NhanCong!M$84</f>
        <v>4602149.6950000022</v>
      </c>
      <c r="F175" s="271">
        <f>NhanCong!M$85</f>
        <v>195021.53846153847</v>
      </c>
      <c r="G175" s="905">
        <f>Dcu!N$106</f>
        <v>27418.100000000009</v>
      </c>
      <c r="H175" s="905">
        <f>VLieu!L$69</f>
        <v>750182</v>
      </c>
      <c r="I175" s="905">
        <f>TBi!Q$65</f>
        <v>108906.72</v>
      </c>
      <c r="J175" s="905"/>
      <c r="K175" s="905">
        <f t="shared" si="61"/>
        <v>5683678.0534615396</v>
      </c>
      <c r="L175" s="905">
        <f t="shared" si="59"/>
        <v>1420919.5133653849</v>
      </c>
      <c r="M175" s="906">
        <f t="shared" si="60"/>
        <v>7104597.5668269247</v>
      </c>
      <c r="N175" s="905"/>
      <c r="O175" s="271">
        <f>'DGSP_chitiet (truKH)'!K175</f>
        <v>5574771.3334615398</v>
      </c>
      <c r="P175" s="271">
        <f>'DGSP_chitiet (truKH)'!L175</f>
        <v>1393692.833365385</v>
      </c>
      <c r="Q175" s="306">
        <f>'DGSP_chitiet (truKH)'!M175</f>
        <v>6968464.1668269243</v>
      </c>
      <c r="R175" s="271">
        <f>'DGSP_chitiet (truKH)'!N175</f>
        <v>0</v>
      </c>
      <c r="S175" s="905">
        <f>NhanCong!N$84</f>
        <v>130295</v>
      </c>
    </row>
    <row r="176" spans="1:19">
      <c r="A176" s="1012"/>
      <c r="B176" s="1011"/>
      <c r="C176" s="1013"/>
      <c r="D176" s="274" t="s">
        <v>13</v>
      </c>
      <c r="E176" s="271">
        <f>NhanCong!M$86</f>
        <v>5523267.0350000011</v>
      </c>
      <c r="F176" s="271">
        <f>NhanCong!M$87</f>
        <v>234025.84615384616</v>
      </c>
      <c r="G176" s="905">
        <f>Dcu!N$107</f>
        <v>35854.43846153847</v>
      </c>
      <c r="H176" s="905">
        <f>VLieu!L$69</f>
        <v>750182</v>
      </c>
      <c r="I176" s="905">
        <f>TBi!R$65</f>
        <v>138633.12</v>
      </c>
      <c r="J176" s="905"/>
      <c r="K176" s="905">
        <f t="shared" si="61"/>
        <v>6681962.4396153856</v>
      </c>
      <c r="L176" s="905">
        <f t="shared" si="59"/>
        <v>1670490.6099038464</v>
      </c>
      <c r="M176" s="906">
        <f t="shared" si="60"/>
        <v>8352453.0495192315</v>
      </c>
      <c r="N176" s="905"/>
      <c r="O176" s="271">
        <f>'DGSP_chitiet (truKH)'!K176</f>
        <v>6543329.3196153855</v>
      </c>
      <c r="P176" s="271">
        <f>'DGSP_chitiet (truKH)'!L176</f>
        <v>1635832.3299038464</v>
      </c>
      <c r="Q176" s="306">
        <f>'DGSP_chitiet (truKH)'!M176</f>
        <v>8179161.6495192321</v>
      </c>
      <c r="R176" s="271">
        <f>'DGSP_chitiet (truKH)'!N176</f>
        <v>0</v>
      </c>
      <c r="S176" s="905">
        <f>NhanCong!N$86</f>
        <v>156373.46153846153</v>
      </c>
    </row>
    <row r="177" spans="1:19">
      <c r="A177" s="1012" t="s">
        <v>363</v>
      </c>
      <c r="B177" s="1011" t="str">
        <f>NhanCong!B$88</f>
        <v>Đối soát, kiểm tra</v>
      </c>
      <c r="C177" s="1013" t="s">
        <v>317</v>
      </c>
      <c r="D177" s="274" t="s">
        <v>18</v>
      </c>
      <c r="E177" s="271">
        <f>NhanCong!M$88</f>
        <v>156040.02700000003</v>
      </c>
      <c r="F177" s="271">
        <f>NhanCong!M$89</f>
        <v>43079.384615384617</v>
      </c>
      <c r="G177" s="905">
        <f>Dcu!N$103*0.4</f>
        <v>5061.8030769230791</v>
      </c>
      <c r="H177" s="905">
        <f>VLieu!L$70</f>
        <v>390094.64</v>
      </c>
      <c r="I177" s="905"/>
      <c r="J177" s="905"/>
      <c r="K177" s="905">
        <f t="shared" si="61"/>
        <v>594275.85469230777</v>
      </c>
      <c r="L177" s="905">
        <f t="shared" si="59"/>
        <v>148568.96367307694</v>
      </c>
      <c r="M177" s="906">
        <f t="shared" si="60"/>
        <v>742844.81836538471</v>
      </c>
      <c r="N177" s="905"/>
      <c r="O177" s="271">
        <f>'DGSP_chitiet (truKH)'!K177</f>
        <v>594275.85469230777</v>
      </c>
      <c r="P177" s="271">
        <f>'DGSP_chitiet (truKH)'!L177</f>
        <v>148568.96367307694</v>
      </c>
      <c r="Q177" s="306">
        <f>'DGSP_chitiet (truKH)'!M177</f>
        <v>742844.81836538471</v>
      </c>
      <c r="R177" s="271">
        <f>'DGSP_chitiet (truKH)'!N177</f>
        <v>0</v>
      </c>
      <c r="S177" s="905">
        <f>NhanCong!N$88</f>
        <v>4417.7692307692305</v>
      </c>
    </row>
    <row r="178" spans="1:19">
      <c r="A178" s="1012"/>
      <c r="B178" s="1011"/>
      <c r="C178" s="1013"/>
      <c r="D178" s="274" t="s">
        <v>20</v>
      </c>
      <c r="E178" s="271">
        <f>NhanCong!M$90</f>
        <v>195221.88400000002</v>
      </c>
      <c r="F178" s="271">
        <f>NhanCong!M$91</f>
        <v>53849.23076923078</v>
      </c>
      <c r="G178" s="905">
        <f>Dcu!N$104*0.4</f>
        <v>6327.2538461538488</v>
      </c>
      <c r="H178" s="905">
        <f>VLieu!L$70</f>
        <v>390094.64</v>
      </c>
      <c r="I178" s="905"/>
      <c r="J178" s="905"/>
      <c r="K178" s="905">
        <f t="shared" si="61"/>
        <v>645493.00861538469</v>
      </c>
      <c r="L178" s="905">
        <f t="shared" si="59"/>
        <v>161373.25215384617</v>
      </c>
      <c r="M178" s="906">
        <f t="shared" si="60"/>
        <v>806866.2607692309</v>
      </c>
      <c r="N178" s="905"/>
      <c r="O178" s="271">
        <f>'DGSP_chitiet (truKH)'!K178</f>
        <v>645493.00861538469</v>
      </c>
      <c r="P178" s="271">
        <f>'DGSP_chitiet (truKH)'!L178</f>
        <v>161373.25215384617</v>
      </c>
      <c r="Q178" s="306">
        <f>'DGSP_chitiet (truKH)'!M178</f>
        <v>806866.2607692309</v>
      </c>
      <c r="R178" s="271">
        <f>'DGSP_chitiet (truKH)'!N178</f>
        <v>0</v>
      </c>
      <c r="S178" s="905">
        <f>NhanCong!N$90</f>
        <v>5527.0769230769229</v>
      </c>
    </row>
    <row r="179" spans="1:19">
      <c r="A179" s="1012"/>
      <c r="B179" s="1011"/>
      <c r="C179" s="1013"/>
      <c r="D179" s="274" t="s">
        <v>35</v>
      </c>
      <c r="E179" s="271">
        <f>NhanCong!M$92</f>
        <v>264649.38500000007</v>
      </c>
      <c r="F179" s="271">
        <f>NhanCong!M$93</f>
        <v>72769.23076923078</v>
      </c>
      <c r="G179" s="905">
        <f>Dcu!N$105*0.4</f>
        <v>8436.3384615384639</v>
      </c>
      <c r="H179" s="905">
        <f>VLieu!L$70</f>
        <v>390094.64</v>
      </c>
      <c r="I179" s="905"/>
      <c r="J179" s="905"/>
      <c r="K179" s="905">
        <f t="shared" si="61"/>
        <v>735949.59423076943</v>
      </c>
      <c r="L179" s="905">
        <f t="shared" si="59"/>
        <v>183987.39855769236</v>
      </c>
      <c r="M179" s="906">
        <f t="shared" si="60"/>
        <v>919936.99278846174</v>
      </c>
      <c r="N179" s="905"/>
      <c r="O179" s="271">
        <f>'DGSP_chitiet (truKH)'!K179</f>
        <v>735949.59423076943</v>
      </c>
      <c r="P179" s="271">
        <f>'DGSP_chitiet (truKH)'!L179</f>
        <v>183987.39855769236</v>
      </c>
      <c r="Q179" s="306">
        <f>'DGSP_chitiet (truKH)'!M179</f>
        <v>919936.99278846174</v>
      </c>
      <c r="R179" s="271">
        <f>'DGSP_chitiet (truKH)'!N179</f>
        <v>0</v>
      </c>
      <c r="S179" s="905">
        <f>NhanCong!N$92</f>
        <v>7492.6923076923076</v>
      </c>
    </row>
    <row r="180" spans="1:19">
      <c r="A180" s="1012"/>
      <c r="B180" s="1011"/>
      <c r="C180" s="1013"/>
      <c r="D180" s="274" t="s">
        <v>33</v>
      </c>
      <c r="E180" s="271">
        <f>NhanCong!M$94</f>
        <v>358823.32200000004</v>
      </c>
      <c r="F180" s="271">
        <f>NhanCong!M$95</f>
        <v>98675.076923076937</v>
      </c>
      <c r="G180" s="905">
        <f>Dcu!N$106*0.4</f>
        <v>10967.240000000005</v>
      </c>
      <c r="H180" s="905">
        <f>VLieu!L$70</f>
        <v>390094.64</v>
      </c>
      <c r="I180" s="905"/>
      <c r="J180" s="905"/>
      <c r="K180" s="905">
        <f t="shared" si="61"/>
        <v>858560.27892307704</v>
      </c>
      <c r="L180" s="905">
        <f t="shared" si="59"/>
        <v>214640.06973076926</v>
      </c>
      <c r="M180" s="906">
        <f t="shared" si="60"/>
        <v>1073200.3486538464</v>
      </c>
      <c r="N180" s="905"/>
      <c r="O180" s="271">
        <f>'DGSP_chitiet (truKH)'!K180</f>
        <v>858560.27892307704</v>
      </c>
      <c r="P180" s="271">
        <f>'DGSP_chitiet (truKH)'!L180</f>
        <v>214640.06973076926</v>
      </c>
      <c r="Q180" s="306">
        <f>'DGSP_chitiet (truKH)'!M180</f>
        <v>1073200.3486538464</v>
      </c>
      <c r="R180" s="271">
        <f>'DGSP_chitiet (truKH)'!N180</f>
        <v>0</v>
      </c>
      <c r="S180" s="905">
        <f>NhanCong!N$94</f>
        <v>10158.923076923076</v>
      </c>
    </row>
    <row r="181" spans="1:19">
      <c r="A181" s="1012"/>
      <c r="B181" s="1011"/>
      <c r="C181" s="1013"/>
      <c r="D181" s="274" t="s">
        <v>13</v>
      </c>
      <c r="E181" s="271">
        <f>NhanCong!M$96</f>
        <v>452997.25900000008</v>
      </c>
      <c r="F181" s="271">
        <f>NhanCong!M$97</f>
        <v>124580.92307692309</v>
      </c>
      <c r="G181" s="905">
        <f>Dcu!N$107*0.4</f>
        <v>14341.775384615388</v>
      </c>
      <c r="H181" s="905">
        <f>VLieu!L$70</f>
        <v>390094.64</v>
      </c>
      <c r="I181" s="905"/>
      <c r="J181" s="905"/>
      <c r="K181" s="905">
        <f t="shared" si="61"/>
        <v>982014.59746153862</v>
      </c>
      <c r="L181" s="905">
        <f t="shared" si="59"/>
        <v>245503.64936538466</v>
      </c>
      <c r="M181" s="906">
        <f t="shared" si="60"/>
        <v>1227518.2468269232</v>
      </c>
      <c r="N181" s="905"/>
      <c r="O181" s="271">
        <f>'DGSP_chitiet (truKH)'!K181</f>
        <v>982014.59746153862</v>
      </c>
      <c r="P181" s="271">
        <f>'DGSP_chitiet (truKH)'!L181</f>
        <v>245503.64936538466</v>
      </c>
      <c r="Q181" s="306">
        <f>'DGSP_chitiet (truKH)'!M181</f>
        <v>1227518.2468269232</v>
      </c>
      <c r="R181" s="271">
        <f>'DGSP_chitiet (truKH)'!N181</f>
        <v>0</v>
      </c>
      <c r="S181" s="905">
        <f>NhanCong!N$96</f>
        <v>12825.153846153846</v>
      </c>
    </row>
    <row r="182" spans="1:19" ht="12.75" customHeight="1">
      <c r="A182" s="1012" t="s">
        <v>364</v>
      </c>
      <c r="B182" s="1011" t="str">
        <f>NhanCong!B$98</f>
        <v>Giao nhận Phiếu kết quả đo đạc hiện trạng thửa đất</v>
      </c>
      <c r="C182" s="1013" t="s">
        <v>317</v>
      </c>
      <c r="D182" s="274" t="s">
        <v>18</v>
      </c>
      <c r="E182" s="271">
        <f>NhanCong!M$98</f>
        <v>481868.10100000008</v>
      </c>
      <c r="F182" s="271">
        <f>NhanCong!M$99</f>
        <v>204044.92307692309</v>
      </c>
      <c r="G182" s="905">
        <f>Dcu!N$103*0.4</f>
        <v>5061.8030769230791</v>
      </c>
      <c r="H182" s="905">
        <f>VLieu!L$71</f>
        <v>390094.64</v>
      </c>
      <c r="I182" s="905"/>
      <c r="J182" s="905"/>
      <c r="K182" s="905">
        <f t="shared" si="61"/>
        <v>1081069.4671538463</v>
      </c>
      <c r="L182" s="905">
        <f t="shared" si="59"/>
        <v>270267.36678846157</v>
      </c>
      <c r="M182" s="906">
        <f t="shared" si="60"/>
        <v>1351336.8339423079</v>
      </c>
      <c r="N182" s="905"/>
      <c r="O182" s="271">
        <f>'DGSP_chitiet (truKH)'!K182</f>
        <v>1081069.4671538463</v>
      </c>
      <c r="P182" s="271">
        <f>'DGSP_chitiet (truKH)'!L182</f>
        <v>270267.36678846157</v>
      </c>
      <c r="Q182" s="306">
        <f>'DGSP_chitiet (truKH)'!M182</f>
        <v>1351336.8339423079</v>
      </c>
      <c r="R182" s="271">
        <f>'DGSP_chitiet (truKH)'!N182</f>
        <v>0</v>
      </c>
      <c r="S182" s="905">
        <f>NhanCong!N$98</f>
        <v>13642.538461538461</v>
      </c>
    </row>
    <row r="183" spans="1:19">
      <c r="A183" s="1012"/>
      <c r="B183" s="1011"/>
      <c r="C183" s="1013"/>
      <c r="D183" s="274" t="s">
        <v>20</v>
      </c>
      <c r="E183" s="271">
        <f>NhanCong!M$100</f>
        <v>578791.64200000011</v>
      </c>
      <c r="F183" s="271">
        <f>NhanCong!M$101</f>
        <v>245086.76923076925</v>
      </c>
      <c r="G183" s="905">
        <f>Dcu!N$104*0.4</f>
        <v>6327.2538461538488</v>
      </c>
      <c r="H183" s="905">
        <f>VLieu!L$71</f>
        <v>390094.64</v>
      </c>
      <c r="I183" s="905"/>
      <c r="J183" s="905"/>
      <c r="K183" s="905">
        <f t="shared" si="61"/>
        <v>1220300.3050769232</v>
      </c>
      <c r="L183" s="905">
        <f t="shared" si="59"/>
        <v>305075.07626923081</v>
      </c>
      <c r="M183" s="906">
        <f t="shared" si="60"/>
        <v>1525375.381346154</v>
      </c>
      <c r="N183" s="905"/>
      <c r="O183" s="271">
        <f>'DGSP_chitiet (truKH)'!K183</f>
        <v>1220300.3050769232</v>
      </c>
      <c r="P183" s="271">
        <f>'DGSP_chitiet (truKH)'!L183</f>
        <v>305075.07626923081</v>
      </c>
      <c r="Q183" s="306">
        <f>'DGSP_chitiet (truKH)'!M183</f>
        <v>1525375.381346154</v>
      </c>
      <c r="R183" s="271">
        <f>'DGSP_chitiet (truKH)'!N183</f>
        <v>0</v>
      </c>
      <c r="S183" s="905">
        <f>NhanCong!N$100</f>
        <v>16386.615384615387</v>
      </c>
    </row>
    <row r="184" spans="1:19">
      <c r="A184" s="1012"/>
      <c r="B184" s="1011"/>
      <c r="C184" s="1013"/>
      <c r="D184" s="274" t="s">
        <v>35</v>
      </c>
      <c r="E184" s="271">
        <f>NhanCong!M$102</f>
        <v>694275.01</v>
      </c>
      <c r="F184" s="271">
        <f>NhanCong!M$103</f>
        <v>293987.69230769231</v>
      </c>
      <c r="G184" s="905">
        <f>Dcu!N$105*0.4</f>
        <v>8436.3384615384639</v>
      </c>
      <c r="H184" s="905">
        <f>VLieu!L$71</f>
        <v>390094.64</v>
      </c>
      <c r="I184" s="905"/>
      <c r="J184" s="905"/>
      <c r="K184" s="905">
        <f t="shared" si="61"/>
        <v>1386793.6807692307</v>
      </c>
      <c r="L184" s="905">
        <f t="shared" si="59"/>
        <v>346698.42019230768</v>
      </c>
      <c r="M184" s="906">
        <f t="shared" si="60"/>
        <v>1733492.1009615385</v>
      </c>
      <c r="N184" s="905"/>
      <c r="O184" s="271">
        <f>'DGSP_chitiet (truKH)'!K184</f>
        <v>1386793.6807692307</v>
      </c>
      <c r="P184" s="271">
        <f>'DGSP_chitiet (truKH)'!L184</f>
        <v>346698.42019230768</v>
      </c>
      <c r="Q184" s="306">
        <f>'DGSP_chitiet (truKH)'!M184</f>
        <v>1733492.1009615385</v>
      </c>
      <c r="R184" s="271">
        <f>'DGSP_chitiet (truKH)'!N184</f>
        <v>0</v>
      </c>
      <c r="S184" s="905">
        <f>NhanCong!N$102</f>
        <v>19656.153846153844</v>
      </c>
    </row>
    <row r="185" spans="1:19">
      <c r="A185" s="1012"/>
      <c r="B185" s="1011"/>
      <c r="C185" s="1013"/>
      <c r="D185" s="274" t="s">
        <v>33</v>
      </c>
      <c r="E185" s="271">
        <f>NhanCong!M$104</f>
        <v>833130.01200000022</v>
      </c>
      <c r="F185" s="271">
        <f>NhanCong!M$105</f>
        <v>352785.23076923081</v>
      </c>
      <c r="G185" s="905">
        <f>Dcu!N$106*0.4</f>
        <v>10967.240000000005</v>
      </c>
      <c r="H185" s="905">
        <f>VLieu!L$71</f>
        <v>390094.64</v>
      </c>
      <c r="I185" s="905"/>
      <c r="J185" s="905"/>
      <c r="K185" s="905">
        <f t="shared" si="61"/>
        <v>1586977.122769231</v>
      </c>
      <c r="L185" s="905">
        <f t="shared" si="59"/>
        <v>396744.28069230774</v>
      </c>
      <c r="M185" s="906">
        <f t="shared" si="60"/>
        <v>1983721.4034615387</v>
      </c>
      <c r="N185" s="905"/>
      <c r="O185" s="271">
        <f>'DGSP_chitiet (truKH)'!K185</f>
        <v>1586977.122769231</v>
      </c>
      <c r="P185" s="271">
        <f>'DGSP_chitiet (truKH)'!L185</f>
        <v>396744.28069230774</v>
      </c>
      <c r="Q185" s="306">
        <f>'DGSP_chitiet (truKH)'!M185</f>
        <v>1983721.4034615387</v>
      </c>
      <c r="R185" s="271">
        <f>'DGSP_chitiet (truKH)'!N185</f>
        <v>0</v>
      </c>
      <c r="S185" s="905">
        <f>NhanCong!N$104</f>
        <v>23587.38461538461</v>
      </c>
    </row>
    <row r="186" spans="1:19">
      <c r="A186" s="1012"/>
      <c r="B186" s="1011"/>
      <c r="C186" s="1013"/>
      <c r="D186" s="274" t="s">
        <v>13</v>
      </c>
      <c r="E186" s="271">
        <f>NhanCong!M$106</f>
        <v>999481.054</v>
      </c>
      <c r="F186" s="271">
        <f>NhanCong!M$107</f>
        <v>423225.84615384619</v>
      </c>
      <c r="G186" s="905">
        <f>Dcu!N$107*0.4</f>
        <v>14341.775384615388</v>
      </c>
      <c r="H186" s="905">
        <f>VLieu!L$71</f>
        <v>390094.64</v>
      </c>
      <c r="I186" s="905"/>
      <c r="J186" s="905"/>
      <c r="K186" s="905">
        <f t="shared" si="61"/>
        <v>1827143.3155384618</v>
      </c>
      <c r="L186" s="905">
        <f t="shared" si="59"/>
        <v>456785.82888461545</v>
      </c>
      <c r="M186" s="906">
        <f t="shared" si="60"/>
        <v>2283929.1444230773</v>
      </c>
      <c r="N186" s="905"/>
      <c r="O186" s="271">
        <f>'DGSP_chitiet (truKH)'!K186</f>
        <v>1827143.3155384618</v>
      </c>
      <c r="P186" s="271">
        <f>'DGSP_chitiet (truKH)'!L186</f>
        <v>456785.82888461545</v>
      </c>
      <c r="Q186" s="306">
        <f>'DGSP_chitiet (truKH)'!M186</f>
        <v>2283929.1444230773</v>
      </c>
      <c r="R186" s="271">
        <f>'DGSP_chitiet (truKH)'!N186</f>
        <v>0</v>
      </c>
      <c r="S186" s="905">
        <f>NhanCong!N$106</f>
        <v>28297.076923076922</v>
      </c>
    </row>
    <row r="187" spans="1:19" ht="13.5" customHeight="1">
      <c r="A187" s="242">
        <v>2</v>
      </c>
      <c r="B187" s="276" t="s">
        <v>58</v>
      </c>
      <c r="C187" s="274" t="s">
        <v>43</v>
      </c>
      <c r="D187" s="274"/>
      <c r="E187" s="271">
        <f>NhanCong!M$108</f>
        <v>0</v>
      </c>
      <c r="F187" s="271"/>
      <c r="G187" s="905"/>
      <c r="H187" s="905"/>
      <c r="I187" s="905"/>
      <c r="J187" s="905"/>
      <c r="K187" s="905">
        <f>E187+F187+G187+I187+J187</f>
        <v>0</v>
      </c>
      <c r="L187" s="905"/>
      <c r="M187" s="906"/>
      <c r="N187" s="905"/>
      <c r="O187" s="271">
        <f>'DGSP_chitiet (truKH)'!K187</f>
        <v>0</v>
      </c>
      <c r="P187" s="271">
        <f>'DGSP_chitiet (truKH)'!L187</f>
        <v>0</v>
      </c>
      <c r="Q187" s="306">
        <f>'DGSP_chitiet (truKH)'!M187</f>
        <v>0</v>
      </c>
      <c r="R187" s="271">
        <f>'DGSP_chitiet (truKH)'!N187</f>
        <v>0</v>
      </c>
      <c r="S187" s="905"/>
    </row>
    <row r="188" spans="1:19">
      <c r="A188" s="1012" t="s">
        <v>268</v>
      </c>
      <c r="B188" s="1011" t="str">
        <f>NhanCong!B$109</f>
        <v>Biên tập bản đồ địa chính</v>
      </c>
      <c r="C188" s="1013" t="s">
        <v>317</v>
      </c>
      <c r="D188" s="274" t="s">
        <v>18</v>
      </c>
      <c r="E188" s="271">
        <f>NhanCong!M$109</f>
        <v>504827.29440000007</v>
      </c>
      <c r="F188" s="271"/>
      <c r="G188" s="905">
        <f>Dcu!N$123</f>
        <v>2721.8136136752132</v>
      </c>
      <c r="H188" s="905">
        <f>VLieu!L$90</f>
        <v>125216.96000000002</v>
      </c>
      <c r="I188" s="905">
        <f>TBi!N$94</f>
        <v>42044.979885714281</v>
      </c>
      <c r="J188" s="905">
        <f>TBi!N$100</f>
        <v>12180.672000000002</v>
      </c>
      <c r="K188" s="905">
        <f>SUM(E188:J188)</f>
        <v>686991.71989938954</v>
      </c>
      <c r="L188" s="905">
        <f>K188*0.15</f>
        <v>103048.75798490843</v>
      </c>
      <c r="M188" s="906">
        <f>K188+L188</f>
        <v>790040.47788429796</v>
      </c>
      <c r="N188" s="905"/>
      <c r="O188" s="271">
        <f>'DGSP_chitiet (truKH)'!K188</f>
        <v>644946.7400136753</v>
      </c>
      <c r="P188" s="271">
        <f>'DGSP_chitiet (truKH)'!L188</f>
        <v>96742.011002051295</v>
      </c>
      <c r="Q188" s="306">
        <f>'DGSP_chitiet (truKH)'!M188</f>
        <v>741688.75101572659</v>
      </c>
      <c r="R188" s="271">
        <f>'DGSP_chitiet (truKH)'!N188</f>
        <v>0</v>
      </c>
      <c r="S188" s="905">
        <f>NhanCong!N$109</f>
        <v>14292.553846153845</v>
      </c>
    </row>
    <row r="189" spans="1:19">
      <c r="A189" s="1012"/>
      <c r="B189" s="1011"/>
      <c r="C189" s="1013"/>
      <c r="D189" s="274" t="s">
        <v>20</v>
      </c>
      <c r="E189" s="271">
        <f>NhanCong!M$110</f>
        <v>617011.13760000013</v>
      </c>
      <c r="F189" s="271"/>
      <c r="G189" s="905">
        <f>Dcu!N$124</f>
        <v>3305.0593880341876</v>
      </c>
      <c r="H189" s="905">
        <f>VLieu!L$90</f>
        <v>125216.96000000002</v>
      </c>
      <c r="I189" s="905">
        <f>TBi!O$94</f>
        <v>51424.435428571436</v>
      </c>
      <c r="J189" s="905">
        <f>TBi!O$100</f>
        <v>22138.905600000002</v>
      </c>
      <c r="K189" s="905">
        <f>SUM(E189:J189)</f>
        <v>819096.49801660574</v>
      </c>
      <c r="L189" s="905">
        <f>K189*0.15</f>
        <v>122864.47470249086</v>
      </c>
      <c r="M189" s="906">
        <f>K189+L189</f>
        <v>941960.97271909658</v>
      </c>
      <c r="N189" s="905"/>
      <c r="O189" s="271">
        <f>'DGSP_chitiet (truKH)'!K189</f>
        <v>767672.06258803431</v>
      </c>
      <c r="P189" s="271">
        <f>'DGSP_chitiet (truKH)'!L189</f>
        <v>115150.80938820515</v>
      </c>
      <c r="Q189" s="306">
        <f>'DGSP_chitiet (truKH)'!M189</f>
        <v>882822.87197623949</v>
      </c>
      <c r="R189" s="271">
        <f>'DGSP_chitiet (truKH)'!N189</f>
        <v>0</v>
      </c>
      <c r="S189" s="905">
        <f>NhanCong!N$110</f>
        <v>17468.676923076924</v>
      </c>
    </row>
    <row r="190" spans="1:19">
      <c r="A190" s="1012"/>
      <c r="B190" s="1011"/>
      <c r="C190" s="1013"/>
      <c r="D190" s="274" t="s">
        <v>35</v>
      </c>
      <c r="E190" s="271">
        <f>NhanCong!M$111</f>
        <v>729194.98080000014</v>
      </c>
      <c r="F190" s="271"/>
      <c r="G190" s="905">
        <f>Dcu!N$125</f>
        <v>3888.3051623931619</v>
      </c>
      <c r="H190" s="905">
        <f>VLieu!L$90</f>
        <v>125216.96000000002</v>
      </c>
      <c r="I190" s="905">
        <f>TBi!P$94</f>
        <v>60657.123199999987</v>
      </c>
      <c r="J190" s="905">
        <f>TBi!P$100</f>
        <v>27552.537599999996</v>
      </c>
      <c r="K190" s="905">
        <f>SUM(E190:J190)</f>
        <v>946509.90676239331</v>
      </c>
      <c r="L190" s="905">
        <f>K190*0.15</f>
        <v>141976.48601435899</v>
      </c>
      <c r="M190" s="906">
        <f>K190+L190</f>
        <v>1088486.3927767524</v>
      </c>
      <c r="N190" s="905"/>
      <c r="O190" s="271">
        <f>'DGSP_chitiet (truKH)'!K190</f>
        <v>885852.78356239328</v>
      </c>
      <c r="P190" s="271">
        <f>'DGSP_chitiet (truKH)'!L190</f>
        <v>132877.91753435897</v>
      </c>
      <c r="Q190" s="306">
        <f>'DGSP_chitiet (truKH)'!M190</f>
        <v>1018730.7010967522</v>
      </c>
      <c r="R190" s="271">
        <f>'DGSP_chitiet (truKH)'!N190</f>
        <v>0</v>
      </c>
      <c r="S190" s="905">
        <f>NhanCong!N$111</f>
        <v>20644.8</v>
      </c>
    </row>
    <row r="191" spans="1:19">
      <c r="A191" s="1012"/>
      <c r="B191" s="1011"/>
      <c r="C191" s="1013"/>
      <c r="D191" s="274" t="s">
        <v>33</v>
      </c>
      <c r="E191" s="271">
        <f>NhanCong!M$112</f>
        <v>878773.43840000022</v>
      </c>
      <c r="F191" s="271"/>
      <c r="G191" s="905">
        <f>Dcu!N$126</f>
        <v>4665.966194871794</v>
      </c>
      <c r="H191" s="905">
        <f>VLieu!L$90</f>
        <v>125216.96000000002</v>
      </c>
      <c r="I191" s="905">
        <f>TBi!Q$94</f>
        <v>73072.67931428572</v>
      </c>
      <c r="J191" s="905">
        <f>TBi!Q$100</f>
        <v>31580.707200000001</v>
      </c>
      <c r="K191" s="905">
        <f>SUM(E191:J191)</f>
        <v>1113309.7511091579</v>
      </c>
      <c r="L191" s="905">
        <f>K191*0.15</f>
        <v>166996.46266637367</v>
      </c>
      <c r="M191" s="906">
        <f>K191+L191</f>
        <v>1280306.2137755316</v>
      </c>
      <c r="N191" s="905"/>
      <c r="O191" s="271">
        <f>'DGSP_chitiet (truKH)'!K191</f>
        <v>1040237.0717948721</v>
      </c>
      <c r="P191" s="271">
        <f>'DGSP_chitiet (truKH)'!L191</f>
        <v>156035.5607692308</v>
      </c>
      <c r="Q191" s="306">
        <f>'DGSP_chitiet (truKH)'!M191</f>
        <v>1196272.6325641028</v>
      </c>
      <c r="R191" s="271">
        <f>'DGSP_chitiet (truKH)'!N191</f>
        <v>0</v>
      </c>
      <c r="S191" s="905">
        <f>NhanCong!N$112</f>
        <v>24879.630769230771</v>
      </c>
    </row>
    <row r="192" spans="1:19">
      <c r="A192" s="1012"/>
      <c r="B192" s="1011"/>
      <c r="C192" s="1013"/>
      <c r="D192" s="274" t="s">
        <v>13</v>
      </c>
      <c r="E192" s="271">
        <f>NhanCong!M$113</f>
        <v>1056947.7776000001</v>
      </c>
      <c r="F192" s="271"/>
      <c r="G192" s="905">
        <f>Dcu!N$127</f>
        <v>5638.042485470085</v>
      </c>
      <c r="H192" s="905">
        <f>VLieu!L$90</f>
        <v>125216.96000000002</v>
      </c>
      <c r="I192" s="905">
        <f>TBi!R$94</f>
        <v>87751.320914285709</v>
      </c>
      <c r="J192" s="905">
        <f>TBi!R$100</f>
        <v>37877.615999999995</v>
      </c>
      <c r="K192" s="905">
        <f>SUM(E192:J192)</f>
        <v>1313431.7169997559</v>
      </c>
      <c r="L192" s="905">
        <f>K192*0.15</f>
        <v>197014.7575499634</v>
      </c>
      <c r="M192" s="906">
        <f>K192+L192</f>
        <v>1510446.4745497194</v>
      </c>
      <c r="N192" s="905"/>
      <c r="O192" s="271">
        <f>'DGSP_chitiet (truKH)'!K192</f>
        <v>1225680.3960854702</v>
      </c>
      <c r="P192" s="271">
        <f>'DGSP_chitiet (truKH)'!L192</f>
        <v>183852.05941282053</v>
      </c>
      <c r="Q192" s="306">
        <f>'DGSP_chitiet (truKH)'!M192</f>
        <v>1409532.4554982907</v>
      </c>
      <c r="R192" s="271">
        <f>'DGSP_chitiet (truKH)'!N192</f>
        <v>0</v>
      </c>
      <c r="S192" s="905">
        <f>NhanCong!N$113</f>
        <v>29924.061538461534</v>
      </c>
    </row>
    <row r="193" spans="1:19" ht="26">
      <c r="A193" s="969">
        <v>2.2000000000000002</v>
      </c>
      <c r="B193" s="970" t="str">
        <f>NhanCong!B$114</f>
        <v>Lập Phiếu xác nhận kết quả đo đạc hiện trạng thửa đất</v>
      </c>
      <c r="C193" s="274" t="s">
        <v>317</v>
      </c>
      <c r="D193" s="274" t="s">
        <v>15</v>
      </c>
      <c r="E193" s="271">
        <f>NhanCong!M$114</f>
        <v>414640.28320000006</v>
      </c>
      <c r="F193" s="271"/>
      <c r="G193" s="905">
        <f>Dcu!N$138</f>
        <v>1863.0833435897437</v>
      </c>
      <c r="H193" s="905">
        <f>VLieu!L$91</f>
        <v>102450.24000000001</v>
      </c>
      <c r="I193" s="905">
        <f>TBi!N$134</f>
        <v>11175.880571428572</v>
      </c>
      <c r="J193" s="905">
        <f>TBi!N$137</f>
        <v>17921.9712</v>
      </c>
      <c r="K193" s="905">
        <f t="shared" ref="K193:K198" si="62">SUM(E193:J193)</f>
        <v>548051.45831501845</v>
      </c>
      <c r="L193" s="905">
        <f t="shared" ref="L193:L198" si="63">K193*0.15</f>
        <v>82207.718747252758</v>
      </c>
      <c r="M193" s="906">
        <f t="shared" ref="M193:M198" si="64">K193+L193</f>
        <v>630259.17706227116</v>
      </c>
      <c r="N193" s="905"/>
      <c r="O193" s="271">
        <f>'DGSP_chitiet (truKH)'!K193</f>
        <v>536875.57774358976</v>
      </c>
      <c r="P193" s="271">
        <f>'DGSP_chitiet (truKH)'!L193</f>
        <v>80531.336661538458</v>
      </c>
      <c r="Q193" s="306">
        <f>'DGSP_chitiet (truKH)'!M193</f>
        <v>617406.91440512822</v>
      </c>
      <c r="R193" s="271">
        <f>'DGSP_chitiet (truKH)'!N193</f>
        <v>0</v>
      </c>
      <c r="S193" s="905">
        <f>NhanCong!N$114</f>
        <v>11739.2</v>
      </c>
    </row>
    <row r="194" spans="1:19" ht="26">
      <c r="A194" s="969" t="s">
        <v>246</v>
      </c>
      <c r="B194" s="970" t="str">
        <f>NhanCong!B$115</f>
        <v>Công khai bản đồ địa chính, Hoàn thiện bản đồ địa chính</v>
      </c>
      <c r="C194" s="274" t="s">
        <v>317</v>
      </c>
      <c r="D194" s="274" t="s">
        <v>15</v>
      </c>
      <c r="E194" s="271">
        <f>NhanCong!M$115</f>
        <v>340400.9752000001</v>
      </c>
      <c r="F194" s="271"/>
      <c r="G194" s="905">
        <f>Dcu!N$130</f>
        <v>2721.8136136752132</v>
      </c>
      <c r="H194" s="905">
        <f>VLieu!L$94</f>
        <v>45533.440000000002</v>
      </c>
      <c r="I194" s="905">
        <f>TBi!N$160</f>
        <v>13326.735999999999</v>
      </c>
      <c r="J194" s="905">
        <f>TBi!N$163</f>
        <v>17491.017599999999</v>
      </c>
      <c r="K194" s="905">
        <f t="shared" si="62"/>
        <v>419473.98241367529</v>
      </c>
      <c r="L194" s="905">
        <f t="shared" si="63"/>
        <v>62921.097362051289</v>
      </c>
      <c r="M194" s="906">
        <f t="shared" si="64"/>
        <v>482395.0797757266</v>
      </c>
      <c r="N194" s="905"/>
      <c r="O194" s="271">
        <f>'DGSP_chitiet (truKH)'!K194</f>
        <v>406147.24641367531</v>
      </c>
      <c r="P194" s="271">
        <f>'DGSP_chitiet (truKH)'!L194</f>
        <v>60922.086962051297</v>
      </c>
      <c r="Q194" s="306">
        <f>'DGSP_chitiet (truKH)'!M194</f>
        <v>467069.33337572659</v>
      </c>
      <c r="R194" s="271">
        <f>'DGSP_chitiet (truKH)'!N194</f>
        <v>0</v>
      </c>
      <c r="S194" s="905">
        <f>NhanCong!N$115</f>
        <v>9637.3538461538465</v>
      </c>
    </row>
    <row r="195" spans="1:19">
      <c r="A195" s="969">
        <v>2.4</v>
      </c>
      <c r="B195" s="970" t="str">
        <f>NhanCong!B$116</f>
        <v>Lập sổ mục kê đất đai phạm vi khu đo</v>
      </c>
      <c r="C195" s="274" t="s">
        <v>317</v>
      </c>
      <c r="D195" s="274" t="s">
        <v>15</v>
      </c>
      <c r="E195" s="271">
        <f>NhanCong!M$116</f>
        <v>19247.228000000003</v>
      </c>
      <c r="F195" s="271"/>
      <c r="G195" s="905">
        <f>Dcu!N$140</f>
        <v>1166.4915487179485</v>
      </c>
      <c r="H195" s="905">
        <f>VLieu!L$94</f>
        <v>45533.440000000002</v>
      </c>
      <c r="I195" s="905"/>
      <c r="J195" s="905"/>
      <c r="K195" s="905">
        <f t="shared" si="62"/>
        <v>65947.159548717958</v>
      </c>
      <c r="L195" s="905">
        <f t="shared" si="63"/>
        <v>9892.0739323076941</v>
      </c>
      <c r="M195" s="906">
        <f t="shared" si="64"/>
        <v>75839.233481025658</v>
      </c>
      <c r="N195" s="905"/>
      <c r="O195" s="271">
        <f>'DGSP_chitiet (truKH)'!K195</f>
        <v>65947.159548717958</v>
      </c>
      <c r="P195" s="271">
        <f>'DGSP_chitiet (truKH)'!L195</f>
        <v>9892.0739323076941</v>
      </c>
      <c r="Q195" s="306">
        <f>'DGSP_chitiet (truKH)'!M195</f>
        <v>75839.233481025658</v>
      </c>
      <c r="R195" s="271">
        <f>'DGSP_chitiet (truKH)'!N195</f>
        <v>0</v>
      </c>
      <c r="S195" s="905">
        <f>NhanCong!N$116</f>
        <v>544.92307692307691</v>
      </c>
    </row>
    <row r="196" spans="1:19" ht="39">
      <c r="A196" s="969">
        <v>2.5</v>
      </c>
      <c r="B196" s="970" t="str">
        <f>NhanCong!B$117</f>
        <v>In sản phẩm đo đạc lập bản đồ địa chính gồm sản phẩm chính và sản phẩm trung gian</v>
      </c>
      <c r="C196" s="274" t="s">
        <v>317</v>
      </c>
      <c r="D196" s="274" t="s">
        <v>15</v>
      </c>
      <c r="E196" s="271">
        <f>NhanCong!M$117</f>
        <v>32995.248</v>
      </c>
      <c r="F196" s="271"/>
      <c r="G196" s="905">
        <f>Dcu!N$152</f>
        <v>1265.8237538461537</v>
      </c>
      <c r="H196" s="905">
        <f>VLieu!L$102</f>
        <v>10486.4</v>
      </c>
      <c r="I196" s="905">
        <f>TBi!N$187</f>
        <v>1256.5539428571428</v>
      </c>
      <c r="J196" s="905">
        <f>TBi!N$191</f>
        <v>1275.0527999999999</v>
      </c>
      <c r="K196" s="905">
        <f t="shared" si="62"/>
        <v>47279.078496703296</v>
      </c>
      <c r="L196" s="905">
        <f t="shared" si="63"/>
        <v>7091.8617745054944</v>
      </c>
      <c r="M196" s="906">
        <f t="shared" si="64"/>
        <v>54370.94027120879</v>
      </c>
      <c r="N196" s="905"/>
      <c r="O196" s="271">
        <f>'DGSP_chitiet (truKH)'!K196</f>
        <v>46022.524553846153</v>
      </c>
      <c r="P196" s="271">
        <f>'DGSP_chitiet (truKH)'!L196</f>
        <v>6903.3786830769232</v>
      </c>
      <c r="Q196" s="306">
        <f>'DGSP_chitiet (truKH)'!M196</f>
        <v>52925.903236923077</v>
      </c>
      <c r="R196" s="271">
        <f>'DGSP_chitiet (truKH)'!N196</f>
        <v>0</v>
      </c>
      <c r="S196" s="905">
        <f>NhanCong!N$117</f>
        <v>934.15384615384608</v>
      </c>
    </row>
    <row r="197" spans="1:19">
      <c r="A197" s="969">
        <v>2.6</v>
      </c>
      <c r="B197" s="970" t="str">
        <f>NhanCong!B$118</f>
        <v>Trình ký xác nhận hồ sơ</v>
      </c>
      <c r="C197" s="274" t="s">
        <v>317</v>
      </c>
      <c r="D197" s="274" t="s">
        <v>15</v>
      </c>
      <c r="E197" s="271">
        <f>NhanCong!M$118</f>
        <v>32995.248</v>
      </c>
      <c r="F197" s="271"/>
      <c r="G197" s="905">
        <f>Dcu!N$140</f>
        <v>1166.4915487179485</v>
      </c>
      <c r="H197" s="905">
        <f>VLieu!L$94</f>
        <v>45533.440000000002</v>
      </c>
      <c r="I197" s="905"/>
      <c r="J197" s="905"/>
      <c r="K197" s="905">
        <f t="shared" si="62"/>
        <v>79695.179548717948</v>
      </c>
      <c r="L197" s="905">
        <f t="shared" si="63"/>
        <v>11954.276932307692</v>
      </c>
      <c r="M197" s="906">
        <f t="shared" si="64"/>
        <v>91649.456481025642</v>
      </c>
      <c r="N197" s="905"/>
      <c r="O197" s="271">
        <f>'DGSP_chitiet (truKH)'!K197</f>
        <v>79695.179548717948</v>
      </c>
      <c r="P197" s="271">
        <f>'DGSP_chitiet (truKH)'!L197</f>
        <v>11954.276932307692</v>
      </c>
      <c r="Q197" s="306">
        <f>'DGSP_chitiet (truKH)'!M197</f>
        <v>91649.456481025642</v>
      </c>
      <c r="R197" s="271">
        <f>'DGSP_chitiet (truKH)'!N197</f>
        <v>0</v>
      </c>
      <c r="S197" s="905">
        <f>NhanCong!N$118</f>
        <v>934.15384615384608</v>
      </c>
    </row>
    <row r="198" spans="1:19" ht="31" customHeight="1">
      <c r="A198" s="969">
        <v>2.7</v>
      </c>
      <c r="B198" s="970" t="str">
        <f>NhanCong!B$119</f>
        <v>Giao nộp sản phẩm đo đạc lập bản đồ địa chính</v>
      </c>
      <c r="C198" s="274" t="s">
        <v>317</v>
      </c>
      <c r="D198" s="274" t="s">
        <v>15</v>
      </c>
      <c r="E198" s="271">
        <f>NhanCong!M$119</f>
        <v>69290.020800000013</v>
      </c>
      <c r="F198" s="271"/>
      <c r="G198" s="905">
        <f>Dcu!N$154</f>
        <v>63.291187692307687</v>
      </c>
      <c r="H198" s="905">
        <f>VLieu!L$94</f>
        <v>45533.440000000002</v>
      </c>
      <c r="I198" s="905"/>
      <c r="J198" s="905"/>
      <c r="K198" s="905">
        <f t="shared" si="62"/>
        <v>114886.75198769232</v>
      </c>
      <c r="L198" s="905">
        <f t="shared" si="63"/>
        <v>17233.012798153846</v>
      </c>
      <c r="M198" s="906">
        <f t="shared" si="64"/>
        <v>132119.76478584617</v>
      </c>
      <c r="N198" s="905"/>
      <c r="O198" s="271">
        <f>'DGSP_chitiet (truKH)'!K198</f>
        <v>114886.75198769232</v>
      </c>
      <c r="P198" s="271">
        <f>'DGSP_chitiet (truKH)'!L198</f>
        <v>17233.012798153846</v>
      </c>
      <c r="Q198" s="306">
        <f>'DGSP_chitiet (truKH)'!M198</f>
        <v>132119.76478584617</v>
      </c>
      <c r="R198" s="271">
        <f>'DGSP_chitiet (truKH)'!N198</f>
        <v>0</v>
      </c>
      <c r="S198" s="905">
        <f>NhanCong!N$119</f>
        <v>1961.7230769230769</v>
      </c>
    </row>
    <row r="199" spans="1:19">
      <c r="A199" s="242" t="s">
        <v>29</v>
      </c>
      <c r="B199" s="276" t="s">
        <v>46</v>
      </c>
      <c r="C199" s="243"/>
      <c r="D199" s="243"/>
      <c r="E199" s="271"/>
      <c r="F199" s="271"/>
      <c r="G199" s="271"/>
      <c r="H199" s="271"/>
      <c r="I199" s="271"/>
      <c r="J199" s="271"/>
      <c r="K199" s="271"/>
      <c r="L199" s="271"/>
      <c r="M199" s="272">
        <v>25</v>
      </c>
      <c r="N199" s="972" t="s">
        <v>21</v>
      </c>
      <c r="O199" s="271">
        <f>'DGSP_chitiet (truKH)'!K199</f>
        <v>0</v>
      </c>
      <c r="P199" s="271">
        <f>'DGSP_chitiet (truKH)'!L199</f>
        <v>0</v>
      </c>
      <c r="Q199" s="306">
        <f>'DGSP_chitiet (truKH)'!M199</f>
        <v>25</v>
      </c>
      <c r="R199" s="271" t="str">
        <f>'DGSP_chitiet (truKH)'!N199</f>
        <v>ha</v>
      </c>
      <c r="S199" s="271"/>
    </row>
    <row r="200" spans="1:19" s="232" customFormat="1" ht="13.5" customHeight="1">
      <c r="A200" s="1005"/>
      <c r="B200" s="1014" t="s">
        <v>190</v>
      </c>
      <c r="C200" s="1005" t="s">
        <v>21</v>
      </c>
      <c r="D200" s="242">
        <v>1</v>
      </c>
      <c r="E200" s="271">
        <f t="shared" ref="E200:J200" si="65">SUM(E$234,E235,E240,E245,E250,E255)</f>
        <v>2310422.0590000004</v>
      </c>
      <c r="F200" s="271">
        <f t="shared" si="65"/>
        <v>254619.5384615385</v>
      </c>
      <c r="G200" s="271">
        <f t="shared" si="65"/>
        <v>19229.625641025639</v>
      </c>
      <c r="H200" s="271">
        <f t="shared" si="65"/>
        <v>588480.54</v>
      </c>
      <c r="I200" s="271">
        <f t="shared" si="65"/>
        <v>27443.377142857145</v>
      </c>
      <c r="J200" s="271">
        <f t="shared" si="65"/>
        <v>58.766400000000004</v>
      </c>
      <c r="K200" s="271">
        <f t="shared" ref="K200:K209" si="66">SUM(E200:J200)</f>
        <v>3200253.9066454219</v>
      </c>
      <c r="L200" s="271">
        <f>K200*0.25</f>
        <v>800063.47666135547</v>
      </c>
      <c r="M200" s="272">
        <f t="shared" ref="M200:M209" si="67">K200+L200</f>
        <v>4000317.3833067771</v>
      </c>
      <c r="N200" s="271">
        <f>M200+M205</f>
        <v>5069684.3655533642</v>
      </c>
      <c r="O200" s="271">
        <f>'DGSP_chitiet (truKH)'!K200</f>
        <v>3172810.5295025646</v>
      </c>
      <c r="P200" s="271">
        <f>'DGSP_chitiet (truKH)'!L200</f>
        <v>793202.63237564114</v>
      </c>
      <c r="Q200" s="306">
        <f>'DGSP_chitiet (truKH)'!M200</f>
        <v>3966013.1618782058</v>
      </c>
      <c r="R200" s="271">
        <f>'DGSP_chitiet (truKH)'!N200</f>
        <v>5001721.0906933649</v>
      </c>
      <c r="S200" s="271">
        <f>SUM(S$234,S235,S240,S245,S250,S255)</f>
        <v>65273.999999999993</v>
      </c>
    </row>
    <row r="201" spans="1:19" s="232" customFormat="1" ht="15" customHeight="1">
      <c r="A201" s="1005"/>
      <c r="B201" s="1014"/>
      <c r="C201" s="1005"/>
      <c r="D201" s="242">
        <v>2</v>
      </c>
      <c r="E201" s="271">
        <f>SUM(E$234,E236,E241,E246,E251,E256)</f>
        <v>2739875.8337500007</v>
      </c>
      <c r="F201" s="271">
        <f t="shared" ref="F201:J204" si="68">SUM(F$234,F236,F241,F246,F251,F256)</f>
        <v>302428.92307692312</v>
      </c>
      <c r="G201" s="271">
        <f t="shared" si="68"/>
        <v>22437.169294871794</v>
      </c>
      <c r="H201" s="271">
        <f t="shared" si="68"/>
        <v>588480.54</v>
      </c>
      <c r="I201" s="271">
        <f t="shared" si="68"/>
        <v>32330.217142857146</v>
      </c>
      <c r="J201" s="271">
        <f>SUM(J$234,J236,J241,J246,J251,J256)</f>
        <v>58.766400000000004</v>
      </c>
      <c r="K201" s="271">
        <f t="shared" si="66"/>
        <v>3685611.4496646528</v>
      </c>
      <c r="L201" s="271">
        <f>K201*0.25</f>
        <v>921402.8624161632</v>
      </c>
      <c r="M201" s="272">
        <f t="shared" si="67"/>
        <v>4607014.3120808164</v>
      </c>
      <c r="N201" s="271">
        <f>M201+M206</f>
        <v>5745456.3195952345</v>
      </c>
      <c r="O201" s="271">
        <f>'DGSP_chitiet (truKH)'!K201</f>
        <v>3653281.2325217957</v>
      </c>
      <c r="P201" s="271">
        <f>'DGSP_chitiet (truKH)'!L201</f>
        <v>913320.30813044892</v>
      </c>
      <c r="Q201" s="306">
        <f>'DGSP_chitiet (truKH)'!M201</f>
        <v>4566601.5406522444</v>
      </c>
      <c r="R201" s="271">
        <f>'DGSP_chitiet (truKH)'!N201</f>
        <v>5667354.6676595192</v>
      </c>
      <c r="S201" s="271">
        <f t="shared" ref="S201:S204" si="69">SUM(S$234,S236,S241,S246,S251,S256)</f>
        <v>77432.596153846156</v>
      </c>
    </row>
    <row r="202" spans="1:19" s="232" customFormat="1" ht="15" customHeight="1">
      <c r="A202" s="1005"/>
      <c r="B202" s="1014"/>
      <c r="C202" s="1005"/>
      <c r="D202" s="242">
        <v>3</v>
      </c>
      <c r="E202" s="271">
        <f>SUM(E$234,E237,E242,E247,E252,E257)</f>
        <v>3517498.2150000003</v>
      </c>
      <c r="F202" s="271">
        <f t="shared" si="68"/>
        <v>415803.38461538462</v>
      </c>
      <c r="G202" s="271">
        <f t="shared" si="68"/>
        <v>25759.798717948717</v>
      </c>
      <c r="H202" s="271">
        <f t="shared" si="68"/>
        <v>588480.54</v>
      </c>
      <c r="I202" s="271">
        <f t="shared" si="68"/>
        <v>38230.457142857143</v>
      </c>
      <c r="J202" s="271">
        <f t="shared" si="68"/>
        <v>58.766400000000004</v>
      </c>
      <c r="K202" s="271">
        <f t="shared" si="66"/>
        <v>4585831.1618761905</v>
      </c>
      <c r="L202" s="271">
        <f>K202*0.25</f>
        <v>1146457.7904690476</v>
      </c>
      <c r="M202" s="272">
        <f t="shared" si="67"/>
        <v>5732288.9523452381</v>
      </c>
      <c r="N202" s="271">
        <f>M202+M207</f>
        <v>6960899.557749087</v>
      </c>
      <c r="O202" s="271">
        <f>'DGSP_chitiet (truKH)'!K202</f>
        <v>4547600.7047333336</v>
      </c>
      <c r="P202" s="271">
        <f>'DGSP_chitiet (truKH)'!L202</f>
        <v>1136900.1761833334</v>
      </c>
      <c r="Q202" s="306">
        <f>'DGSP_chitiet (truKH)'!M202</f>
        <v>5684500.8809166672</v>
      </c>
      <c r="R202" s="271">
        <f>'DGSP_chitiet (truKH)'!N202</f>
        <v>6867760.2809990877</v>
      </c>
      <c r="S202" s="271">
        <f t="shared" si="69"/>
        <v>99448.461538461517</v>
      </c>
    </row>
    <row r="203" spans="1:19" s="232" customFormat="1" ht="15" customHeight="1">
      <c r="A203" s="1005"/>
      <c r="B203" s="1014"/>
      <c r="C203" s="1005"/>
      <c r="D203" s="242">
        <v>4</v>
      </c>
      <c r="E203" s="271">
        <f t="shared" ref="E203:E204" si="70">SUM(E$234,E238,E243,E248,E253,E258)</f>
        <v>4841088.8405000009</v>
      </c>
      <c r="F203" s="271">
        <f t="shared" si="68"/>
        <v>663728.15384615387</v>
      </c>
      <c r="G203" s="271">
        <f t="shared" si="68"/>
        <v>31297.514423076918</v>
      </c>
      <c r="H203" s="271">
        <f t="shared" si="68"/>
        <v>588480.54</v>
      </c>
      <c r="I203" s="271">
        <f t="shared" si="68"/>
        <v>48702.257142857139</v>
      </c>
      <c r="J203" s="271">
        <f t="shared" si="68"/>
        <v>58.766400000000004</v>
      </c>
      <c r="K203" s="271">
        <f t="shared" si="66"/>
        <v>6173356.0723120887</v>
      </c>
      <c r="L203" s="271">
        <f>K203*0.25</f>
        <v>1543339.0180780222</v>
      </c>
      <c r="M203" s="272">
        <f t="shared" si="67"/>
        <v>7716695.0903901104</v>
      </c>
      <c r="N203" s="271">
        <f>M203+M208</f>
        <v>9055864.9945371766</v>
      </c>
      <c r="O203" s="271">
        <f>'DGSP_chitiet (truKH)'!K203</f>
        <v>6124653.815169232</v>
      </c>
      <c r="P203" s="271">
        <f>'DGSP_chitiet (truKH)'!L203</f>
        <v>1531163.453792308</v>
      </c>
      <c r="Q203" s="306">
        <f>'DGSP_chitiet (truKH)'!M203</f>
        <v>7655817.2689615395</v>
      </c>
      <c r="R203" s="271">
        <f>'DGSP_chitiet (truKH)'!N203</f>
        <v>8941494.0681328923</v>
      </c>
      <c r="S203" s="271">
        <f t="shared" si="69"/>
        <v>136921.65384615384</v>
      </c>
    </row>
    <row r="204" spans="1:19" s="232" customFormat="1" ht="15" customHeight="1">
      <c r="A204" s="1005"/>
      <c r="B204" s="1014"/>
      <c r="C204" s="1005"/>
      <c r="D204" s="242">
        <v>5</v>
      </c>
      <c r="E204" s="271">
        <f t="shared" si="70"/>
        <v>6050055.3492500018</v>
      </c>
      <c r="F204" s="271">
        <f t="shared" si="68"/>
        <v>851763.84615384624</v>
      </c>
      <c r="G204" s="271">
        <f t="shared" si="68"/>
        <v>38164.281897435896</v>
      </c>
      <c r="H204" s="271">
        <f t="shared" si="68"/>
        <v>588480.54</v>
      </c>
      <c r="I204" s="271">
        <f t="shared" si="68"/>
        <v>61651.257142857139</v>
      </c>
      <c r="J204" s="271">
        <f t="shared" si="68"/>
        <v>58.766400000000004</v>
      </c>
      <c r="K204" s="271">
        <f t="shared" si="66"/>
        <v>7590174.0408441406</v>
      </c>
      <c r="L204" s="271">
        <f>K204*0.25</f>
        <v>1897543.5102110351</v>
      </c>
      <c r="M204" s="272">
        <f t="shared" si="67"/>
        <v>9487717.5510551762</v>
      </c>
      <c r="N204" s="271">
        <f>M204+M209</f>
        <v>10965109.224517146</v>
      </c>
      <c r="O204" s="271">
        <f>'DGSP_chitiet (truKH)'!K204</f>
        <v>7528522.7837012839</v>
      </c>
      <c r="P204" s="271">
        <f>'DGSP_chitiet (truKH)'!L204</f>
        <v>1882130.695925321</v>
      </c>
      <c r="Q204" s="306">
        <f>'DGSP_chitiet (truKH)'!M204</f>
        <v>9410653.4796266053</v>
      </c>
      <c r="R204" s="271">
        <f>'DGSP_chitiet (truKH)'!N204</f>
        <v>10824389.850111432</v>
      </c>
      <c r="S204" s="271">
        <f t="shared" si="69"/>
        <v>171149.6346153846</v>
      </c>
    </row>
    <row r="205" spans="1:19" s="232" customFormat="1" ht="13.5" customHeight="1">
      <c r="A205" s="1005"/>
      <c r="B205" s="1014" t="s">
        <v>192</v>
      </c>
      <c r="C205" s="1005" t="s">
        <v>21</v>
      </c>
      <c r="D205" s="242">
        <v>1</v>
      </c>
      <c r="E205" s="271">
        <f t="shared" ref="E205:J209" si="71">(E262+SUM(E$267:E$272))</f>
        <v>683963.99500000011</v>
      </c>
      <c r="F205" s="271">
        <f t="shared" si="71"/>
        <v>0</v>
      </c>
      <c r="G205" s="271">
        <f t="shared" si="71"/>
        <v>4891.1160740512823</v>
      </c>
      <c r="H205" s="271">
        <f t="shared" si="71"/>
        <v>189480</v>
      </c>
      <c r="I205" s="271">
        <f t="shared" si="71"/>
        <v>29268.742114285713</v>
      </c>
      <c r="J205" s="271">
        <f t="shared" si="71"/>
        <v>22280.479200000002</v>
      </c>
      <c r="K205" s="271">
        <f t="shared" si="66"/>
        <v>929884.332388337</v>
      </c>
      <c r="L205" s="271">
        <f>K205*0.15</f>
        <v>139482.64985825054</v>
      </c>
      <c r="M205" s="272">
        <f t="shared" si="67"/>
        <v>1069366.9822465875</v>
      </c>
      <c r="N205" s="271"/>
      <c r="O205" s="271">
        <f>'DGSP_chitiet (truKH)'!K205</f>
        <v>900615.5902740513</v>
      </c>
      <c r="P205" s="271">
        <f>'DGSP_chitiet (truKH)'!L205</f>
        <v>135092.33854110769</v>
      </c>
      <c r="Q205" s="306">
        <f>'DGSP_chitiet (truKH)'!M205</f>
        <v>1035707.928815159</v>
      </c>
      <c r="R205" s="271">
        <f>'DGSP_chitiet (truKH)'!N205</f>
        <v>0</v>
      </c>
      <c r="S205" s="271">
        <f>(S262+SUM(S$267:S$272))</f>
        <v>19364.23076923077</v>
      </c>
    </row>
    <row r="206" spans="1:19" s="232" customFormat="1" ht="15" customHeight="1">
      <c r="A206" s="1005"/>
      <c r="B206" s="1014"/>
      <c r="C206" s="1005"/>
      <c r="D206" s="242">
        <v>2</v>
      </c>
      <c r="E206" s="271">
        <f t="shared" si="71"/>
        <v>738681.1146000002</v>
      </c>
      <c r="F206" s="271">
        <f t="shared" si="71"/>
        <v>0</v>
      </c>
      <c r="G206" s="271">
        <f t="shared" si="71"/>
        <v>5176.8383802393164</v>
      </c>
      <c r="H206" s="271">
        <f t="shared" si="71"/>
        <v>189480</v>
      </c>
      <c r="I206" s="271">
        <f t="shared" si="71"/>
        <v>32772.939571428571</v>
      </c>
      <c r="J206" s="271">
        <f t="shared" si="71"/>
        <v>23838.679199999999</v>
      </c>
      <c r="K206" s="271">
        <f t="shared" si="66"/>
        <v>989949.57175166812</v>
      </c>
      <c r="L206" s="271">
        <f>K206*0.15</f>
        <v>148492.43576275022</v>
      </c>
      <c r="M206" s="272">
        <f t="shared" si="67"/>
        <v>1138442.0075144183</v>
      </c>
      <c r="N206" s="271"/>
      <c r="O206" s="271">
        <f>'DGSP_chitiet (truKH)'!K206</f>
        <v>957176.63218023954</v>
      </c>
      <c r="P206" s="271">
        <f>'DGSP_chitiet (truKH)'!L206</f>
        <v>143576.49482703593</v>
      </c>
      <c r="Q206" s="306">
        <f>'DGSP_chitiet (truKH)'!M206</f>
        <v>1100753.1270072754</v>
      </c>
      <c r="R206" s="271">
        <f>'DGSP_chitiet (truKH)'!N206</f>
        <v>0</v>
      </c>
      <c r="S206" s="271">
        <f>(S263+SUM(S$267:S$272))</f>
        <v>20913.369230769233</v>
      </c>
    </row>
    <row r="207" spans="1:19" s="232" customFormat="1" ht="15" customHeight="1">
      <c r="A207" s="1005"/>
      <c r="B207" s="1014"/>
      <c r="C207" s="1005"/>
      <c r="D207" s="242">
        <v>3</v>
      </c>
      <c r="E207" s="271">
        <f t="shared" si="71"/>
        <v>807146.2542000002</v>
      </c>
      <c r="F207" s="271">
        <f t="shared" si="71"/>
        <v>0</v>
      </c>
      <c r="G207" s="271">
        <f t="shared" si="71"/>
        <v>5533.9912629743585</v>
      </c>
      <c r="H207" s="271">
        <f t="shared" si="71"/>
        <v>189480</v>
      </c>
      <c r="I207" s="271">
        <f t="shared" si="71"/>
        <v>39435.830714285708</v>
      </c>
      <c r="J207" s="271">
        <f t="shared" si="71"/>
        <v>26760.972000000002</v>
      </c>
      <c r="K207" s="271">
        <f t="shared" si="66"/>
        <v>1068357.0481772602</v>
      </c>
      <c r="L207" s="271">
        <f>K207*0.15</f>
        <v>160253.55722658904</v>
      </c>
      <c r="M207" s="272">
        <f t="shared" si="67"/>
        <v>1228610.6054038492</v>
      </c>
      <c r="N207" s="271"/>
      <c r="O207" s="271">
        <f>'DGSP_chitiet (truKH)'!K207</f>
        <v>1028921.2174629745</v>
      </c>
      <c r="P207" s="271">
        <f>'DGSP_chitiet (truKH)'!L207</f>
        <v>154338.18261944616</v>
      </c>
      <c r="Q207" s="306">
        <f>'DGSP_chitiet (truKH)'!M207</f>
        <v>1183259.4000824206</v>
      </c>
      <c r="R207" s="271">
        <f>'DGSP_chitiet (truKH)'!N207</f>
        <v>0</v>
      </c>
      <c r="S207" s="271">
        <f>(S264+SUM(S$267:S$272))</f>
        <v>22851.738461538462</v>
      </c>
    </row>
    <row r="208" spans="1:19" s="232" customFormat="1" ht="15" customHeight="1">
      <c r="A208" s="1005"/>
      <c r="B208" s="1014"/>
      <c r="C208" s="1005"/>
      <c r="D208" s="242">
        <v>4</v>
      </c>
      <c r="E208" s="271">
        <f t="shared" si="71"/>
        <v>892658.93860000023</v>
      </c>
      <c r="F208" s="271">
        <f t="shared" si="71"/>
        <v>0</v>
      </c>
      <c r="G208" s="271">
        <f t="shared" si="71"/>
        <v>5980.4323663931627</v>
      </c>
      <c r="H208" s="271">
        <f t="shared" si="71"/>
        <v>189480</v>
      </c>
      <c r="I208" s="271">
        <f t="shared" si="71"/>
        <v>46515.74345714286</v>
      </c>
      <c r="J208" s="271">
        <f t="shared" si="71"/>
        <v>29860.454400000002</v>
      </c>
      <c r="K208" s="271">
        <f t="shared" si="66"/>
        <v>1164495.5688235364</v>
      </c>
      <c r="L208" s="271">
        <f>K208*0.15</f>
        <v>174674.33532353045</v>
      </c>
      <c r="M208" s="272">
        <f t="shared" si="67"/>
        <v>1339169.9041470669</v>
      </c>
      <c r="N208" s="271"/>
      <c r="O208" s="271">
        <f>'DGSP_chitiet (truKH)'!K208</f>
        <v>1117979.8253663934</v>
      </c>
      <c r="P208" s="271">
        <f>'DGSP_chitiet (truKH)'!L208</f>
        <v>167696.97380495901</v>
      </c>
      <c r="Q208" s="306">
        <f>'DGSP_chitiet (truKH)'!M208</f>
        <v>1285676.7991713525</v>
      </c>
      <c r="R208" s="271">
        <f>'DGSP_chitiet (truKH)'!N208</f>
        <v>0</v>
      </c>
      <c r="S208" s="271">
        <f>(S265+SUM(S$267:S$272))</f>
        <v>25272.753846153846</v>
      </c>
    </row>
    <row r="209" spans="1:19" s="232" customFormat="1" ht="15" customHeight="1">
      <c r="A209" s="1005"/>
      <c r="B209" s="1014"/>
      <c r="C209" s="1005"/>
      <c r="D209" s="242">
        <v>5</v>
      </c>
      <c r="E209" s="271">
        <f t="shared" si="71"/>
        <v>999618.53420000034</v>
      </c>
      <c r="F209" s="271">
        <f t="shared" si="71"/>
        <v>0</v>
      </c>
      <c r="G209" s="271">
        <f t="shared" si="71"/>
        <v>6534.0193346324786</v>
      </c>
      <c r="H209" s="271">
        <f t="shared" si="71"/>
        <v>189480</v>
      </c>
      <c r="I209" s="271">
        <f t="shared" si="71"/>
        <v>55352.437371428576</v>
      </c>
      <c r="J209" s="271">
        <f t="shared" si="71"/>
        <v>33703.4208</v>
      </c>
      <c r="K209" s="271">
        <f t="shared" si="66"/>
        <v>1284688.4117060613</v>
      </c>
      <c r="L209" s="271">
        <f>K209*0.15</f>
        <v>192703.26175590919</v>
      </c>
      <c r="M209" s="272">
        <f t="shared" si="67"/>
        <v>1477391.6734619704</v>
      </c>
      <c r="N209" s="271"/>
      <c r="O209" s="271">
        <f>'DGSP_chitiet (truKH)'!K209</f>
        <v>1229335.9743346327</v>
      </c>
      <c r="P209" s="271">
        <f>'DGSP_chitiet (truKH)'!L209</f>
        <v>184400.39615019489</v>
      </c>
      <c r="Q209" s="306">
        <f>'DGSP_chitiet (truKH)'!M209</f>
        <v>1413736.3704848276</v>
      </c>
      <c r="R209" s="271">
        <f>'DGSP_chitiet (truKH)'!N209</f>
        <v>0</v>
      </c>
      <c r="S209" s="271">
        <f>(S266+SUM(S$267:S$272))</f>
        <v>28300.969230769231</v>
      </c>
    </row>
    <row r="210" spans="1:19">
      <c r="A210" s="242"/>
      <c r="B210" s="965" t="s">
        <v>322</v>
      </c>
      <c r="C210" s="243"/>
      <c r="D210" s="243"/>
      <c r="E210" s="271"/>
      <c r="F210" s="271"/>
      <c r="G210" s="271"/>
      <c r="H210" s="271"/>
      <c r="I210" s="271"/>
      <c r="J210" s="271"/>
      <c r="K210" s="271"/>
      <c r="L210" s="271"/>
      <c r="M210" s="272"/>
      <c r="N210" s="271"/>
      <c r="O210" s="271">
        <f>'DGSP_chitiet (truKH)'!K210</f>
        <v>0</v>
      </c>
      <c r="P210" s="271">
        <f>'DGSP_chitiet (truKH)'!L210</f>
        <v>0</v>
      </c>
      <c r="Q210" s="306">
        <f>'DGSP_chitiet (truKH)'!M210</f>
        <v>0</v>
      </c>
      <c r="R210" s="271">
        <f>'DGSP_chitiet (truKH)'!N210</f>
        <v>0</v>
      </c>
      <c r="S210" s="271"/>
    </row>
    <row r="211" spans="1:19">
      <c r="A211" s="242" t="s">
        <v>323</v>
      </c>
      <c r="B211" s="965" t="s">
        <v>324</v>
      </c>
      <c r="C211" s="243"/>
      <c r="D211" s="243"/>
      <c r="E211" s="271"/>
      <c r="F211" s="271"/>
      <c r="G211" s="271"/>
      <c r="H211" s="271"/>
      <c r="I211" s="271"/>
      <c r="J211" s="271"/>
      <c r="K211" s="271"/>
      <c r="L211" s="271"/>
      <c r="M211" s="272"/>
      <c r="N211" s="271"/>
      <c r="O211" s="271">
        <f>'DGSP_chitiet (truKH)'!K211</f>
        <v>0</v>
      </c>
      <c r="P211" s="271">
        <f>'DGSP_chitiet (truKH)'!L211</f>
        <v>0</v>
      </c>
      <c r="Q211" s="306">
        <f>'DGSP_chitiet (truKH)'!M211</f>
        <v>0</v>
      </c>
      <c r="R211" s="271">
        <f>'DGSP_chitiet (truKH)'!N211</f>
        <v>0</v>
      </c>
      <c r="S211" s="271"/>
    </row>
    <row r="212" spans="1:19" s="232" customFormat="1" ht="13.5" customHeight="1">
      <c r="A212" s="1005"/>
      <c r="B212" s="1014" t="s">
        <v>190</v>
      </c>
      <c r="C212" s="1005" t="s">
        <v>21</v>
      </c>
      <c r="D212" s="242">
        <v>1</v>
      </c>
      <c r="E212" s="271">
        <f t="shared" ref="E212:F221" si="72">E200*0.1</f>
        <v>231042.20590000006</v>
      </c>
      <c r="F212" s="271">
        <f t="shared" si="72"/>
        <v>25461.95384615385</v>
      </c>
      <c r="G212" s="271">
        <f>G245*0.1/$M$199</f>
        <v>25.26255128205128</v>
      </c>
      <c r="H212" s="271">
        <f t="shared" ref="H212:I216" si="73">H200*0.1</f>
        <v>58848.054000000004</v>
      </c>
      <c r="I212" s="271">
        <f t="shared" si="73"/>
        <v>2744.3377142857148</v>
      </c>
      <c r="J212" s="271">
        <f>J245*0.1/$M$199</f>
        <v>0</v>
      </c>
      <c r="K212" s="271">
        <f t="shared" ref="K212:K221" si="74">SUM(E212:J212)</f>
        <v>318121.81401172164</v>
      </c>
      <c r="L212" s="271">
        <f>K212*0.25</f>
        <v>79530.45350293041</v>
      </c>
      <c r="M212" s="272">
        <f t="shared" ref="M212:M221" si="75">K212+L212</f>
        <v>397652.26751465205</v>
      </c>
      <c r="N212" s="271">
        <f>M212+M217</f>
        <v>476575.98811008595</v>
      </c>
      <c r="O212" s="271">
        <f>'DGSP_chitiet (truKH)'!K212</f>
        <v>315377.47629743593</v>
      </c>
      <c r="P212" s="271">
        <f>'DGSP_chitiet (truKH)'!L212</f>
        <v>78844.369074358983</v>
      </c>
      <c r="Q212" s="306">
        <f>'DGSP_chitiet (truKH)'!M212</f>
        <v>394221.84537179489</v>
      </c>
      <c r="R212" s="271">
        <f>'DGSP_chitiet (truKH)'!N212</f>
        <v>473145.56596722879</v>
      </c>
      <c r="S212" s="271">
        <f t="shared" ref="S212:S221" si="76">S200*0.1</f>
        <v>6527.4</v>
      </c>
    </row>
    <row r="213" spans="1:19" s="232" customFormat="1" ht="15" customHeight="1">
      <c r="A213" s="1005"/>
      <c r="B213" s="1014"/>
      <c r="C213" s="1005"/>
      <c r="D213" s="242">
        <v>2</v>
      </c>
      <c r="E213" s="271">
        <f t="shared" si="72"/>
        <v>273987.5833750001</v>
      </c>
      <c r="F213" s="271">
        <f t="shared" si="72"/>
        <v>30242.892307692313</v>
      </c>
      <c r="G213" s="271">
        <f>G246*0.1/$M$199</f>
        <v>30.675955128205125</v>
      </c>
      <c r="H213" s="271">
        <f t="shared" si="73"/>
        <v>58848.054000000004</v>
      </c>
      <c r="I213" s="271">
        <f t="shared" si="73"/>
        <v>3233.0217142857146</v>
      </c>
      <c r="J213" s="271">
        <f>J246*0.1/$M$199</f>
        <v>0</v>
      </c>
      <c r="K213" s="271">
        <f t="shared" si="74"/>
        <v>366342.22735210636</v>
      </c>
      <c r="L213" s="271">
        <f>K213*0.25</f>
        <v>91585.55683802659</v>
      </c>
      <c r="M213" s="272">
        <f t="shared" si="75"/>
        <v>457927.78419013298</v>
      </c>
      <c r="N213" s="271">
        <f>M213+M218</f>
        <v>543145.28786217538</v>
      </c>
      <c r="O213" s="271">
        <f>'DGSP_chitiet (truKH)'!K213</f>
        <v>363109.20563782065</v>
      </c>
      <c r="P213" s="271">
        <f>'DGSP_chitiet (truKH)'!L213</f>
        <v>90777.301409455162</v>
      </c>
      <c r="Q213" s="306">
        <f>'DGSP_chitiet (truKH)'!M213</f>
        <v>453886.50704727578</v>
      </c>
      <c r="R213" s="271">
        <f>'DGSP_chitiet (truKH)'!N213</f>
        <v>539104.01071931818</v>
      </c>
      <c r="S213" s="271">
        <f t="shared" si="76"/>
        <v>7743.2596153846162</v>
      </c>
    </row>
    <row r="214" spans="1:19" s="232" customFormat="1" ht="15" customHeight="1">
      <c r="A214" s="1005"/>
      <c r="B214" s="1014"/>
      <c r="C214" s="1005"/>
      <c r="D214" s="242">
        <v>3</v>
      </c>
      <c r="E214" s="271">
        <f t="shared" si="72"/>
        <v>351749.82150000008</v>
      </c>
      <c r="F214" s="271">
        <f t="shared" si="72"/>
        <v>41580.338461538464</v>
      </c>
      <c r="G214" s="271">
        <f>G247*0.1/$M$199</f>
        <v>36.089358974358973</v>
      </c>
      <c r="H214" s="271">
        <f t="shared" si="73"/>
        <v>58848.054000000004</v>
      </c>
      <c r="I214" s="271">
        <f t="shared" si="73"/>
        <v>3823.0457142857144</v>
      </c>
      <c r="J214" s="271">
        <f>J247*0.1/$M$199</f>
        <v>0</v>
      </c>
      <c r="K214" s="271">
        <f t="shared" si="74"/>
        <v>456037.34903479862</v>
      </c>
      <c r="L214" s="271">
        <f>K214*0.25</f>
        <v>114009.33725869966</v>
      </c>
      <c r="M214" s="272">
        <f t="shared" si="75"/>
        <v>570046.68629349826</v>
      </c>
      <c r="N214" s="271">
        <f>M214+M219</f>
        <v>663139.32392280118</v>
      </c>
      <c r="O214" s="271">
        <f>'DGSP_chitiet (truKH)'!K214</f>
        <v>452214.30332051293</v>
      </c>
      <c r="P214" s="271">
        <f>'DGSP_chitiet (truKH)'!L214</f>
        <v>113053.57583012823</v>
      </c>
      <c r="Q214" s="306">
        <f>'DGSP_chitiet (truKH)'!M214</f>
        <v>565267.87915064115</v>
      </c>
      <c r="R214" s="271">
        <f>'DGSP_chitiet (truKH)'!N214</f>
        <v>658360.51677994407</v>
      </c>
      <c r="S214" s="271">
        <f t="shared" si="76"/>
        <v>9944.8461538461524</v>
      </c>
    </row>
    <row r="215" spans="1:19" s="232" customFormat="1" ht="15" customHeight="1">
      <c r="A215" s="1005"/>
      <c r="B215" s="1014"/>
      <c r="C215" s="1005"/>
      <c r="D215" s="242">
        <v>4</v>
      </c>
      <c r="E215" s="271">
        <f t="shared" si="72"/>
        <v>484108.88405000011</v>
      </c>
      <c r="F215" s="271">
        <f t="shared" si="72"/>
        <v>66372.815384615387</v>
      </c>
      <c r="G215" s="271">
        <f>G248*0.1/$M$199</f>
        <v>45.111698717948713</v>
      </c>
      <c r="H215" s="271">
        <f t="shared" si="73"/>
        <v>58848.054000000004</v>
      </c>
      <c r="I215" s="271">
        <f t="shared" si="73"/>
        <v>4870.2257142857143</v>
      </c>
      <c r="J215" s="271">
        <f>J248*0.1/$M$199</f>
        <v>0</v>
      </c>
      <c r="K215" s="271">
        <f t="shared" si="74"/>
        <v>614245.09084761911</v>
      </c>
      <c r="L215" s="271">
        <f>K215*0.25</f>
        <v>153561.27271190478</v>
      </c>
      <c r="M215" s="272">
        <f t="shared" si="75"/>
        <v>767806.36355952383</v>
      </c>
      <c r="N215" s="271">
        <f>M215+M220</f>
        <v>870735.01352390251</v>
      </c>
      <c r="O215" s="271">
        <f>'DGSP_chitiet (truKH)'!K215</f>
        <v>609374.86513333337</v>
      </c>
      <c r="P215" s="271">
        <f>'DGSP_chitiet (truKH)'!L215</f>
        <v>152343.71628333334</v>
      </c>
      <c r="Q215" s="306">
        <f>'DGSP_chitiet (truKH)'!M215</f>
        <v>761718.58141666674</v>
      </c>
      <c r="R215" s="271">
        <f>'DGSP_chitiet (truKH)'!N215</f>
        <v>864647.23138104542</v>
      </c>
      <c r="S215" s="271">
        <f t="shared" si="76"/>
        <v>13692.165384615386</v>
      </c>
    </row>
    <row r="216" spans="1:19" s="232" customFormat="1" ht="15" customHeight="1">
      <c r="A216" s="1005"/>
      <c r="B216" s="1014"/>
      <c r="C216" s="1005"/>
      <c r="D216" s="242">
        <v>5</v>
      </c>
      <c r="E216" s="271">
        <f t="shared" si="72"/>
        <v>605005.53492500016</v>
      </c>
      <c r="F216" s="271">
        <f t="shared" si="72"/>
        <v>85176.384615384624</v>
      </c>
      <c r="G216" s="271">
        <f>G249*0.1/$M$199</f>
        <v>56.299399999999999</v>
      </c>
      <c r="H216" s="271">
        <f t="shared" si="73"/>
        <v>58848.054000000004</v>
      </c>
      <c r="I216" s="271">
        <f t="shared" si="73"/>
        <v>6165.1257142857139</v>
      </c>
      <c r="J216" s="271">
        <f>J249*0.1/$M$199</f>
        <v>0</v>
      </c>
      <c r="K216" s="271">
        <f t="shared" si="74"/>
        <v>755251.39865467057</v>
      </c>
      <c r="L216" s="271">
        <f>K216*0.25</f>
        <v>188812.84966366764</v>
      </c>
      <c r="M216" s="272">
        <f t="shared" si="75"/>
        <v>944064.24831833818</v>
      </c>
      <c r="N216" s="271">
        <f>M216+M221</f>
        <v>1059295.7982767709</v>
      </c>
      <c r="O216" s="271">
        <f>'DGSP_chitiet (truKH)'!K216</f>
        <v>749086.27294038481</v>
      </c>
      <c r="P216" s="271">
        <f>'DGSP_chitiet (truKH)'!L216</f>
        <v>187271.5682350962</v>
      </c>
      <c r="Q216" s="306">
        <f>'DGSP_chitiet (truKH)'!M216</f>
        <v>936357.84117548098</v>
      </c>
      <c r="R216" s="271">
        <f>'DGSP_chitiet (truKH)'!N216</f>
        <v>1051589.3911339135</v>
      </c>
      <c r="S216" s="271">
        <f t="shared" si="76"/>
        <v>17114.96346153846</v>
      </c>
    </row>
    <row r="217" spans="1:19" s="232" customFormat="1" ht="13.5" customHeight="1">
      <c r="A217" s="1005"/>
      <c r="B217" s="1014" t="s">
        <v>192</v>
      </c>
      <c r="C217" s="1005" t="s">
        <v>21</v>
      </c>
      <c r="D217" s="242">
        <v>1</v>
      </c>
      <c r="E217" s="271">
        <f t="shared" si="72"/>
        <v>68396.399500000014</v>
      </c>
      <c r="F217" s="271">
        <f t="shared" si="72"/>
        <v>0</v>
      </c>
      <c r="G217" s="271">
        <f t="shared" ref="G217:H221" si="77">G262*0.1/$M$199</f>
        <v>4.5715568990085469</v>
      </c>
      <c r="H217" s="271">
        <f t="shared" si="77"/>
        <v>228.35120000000003</v>
      </c>
      <c r="I217" s="271"/>
      <c r="J217" s="271"/>
      <c r="K217" s="271">
        <f t="shared" si="74"/>
        <v>68629.322256899031</v>
      </c>
      <c r="L217" s="271">
        <f>K217*0.15</f>
        <v>10294.398338534855</v>
      </c>
      <c r="M217" s="272">
        <f t="shared" si="75"/>
        <v>78923.720595433886</v>
      </c>
      <c r="N217" s="271"/>
      <c r="O217" s="271">
        <f>'DGSP_chitiet (truKH)'!K217</f>
        <v>68629.322256899031</v>
      </c>
      <c r="P217" s="271">
        <f>'DGSP_chitiet (truKH)'!L217</f>
        <v>10294.398338534855</v>
      </c>
      <c r="Q217" s="306">
        <f>'DGSP_chitiet (truKH)'!M217</f>
        <v>78923.720595433886</v>
      </c>
      <c r="R217" s="271">
        <f>'DGSP_chitiet (truKH)'!N217</f>
        <v>0</v>
      </c>
      <c r="S217" s="271">
        <f t="shared" si="76"/>
        <v>1936.4230769230771</v>
      </c>
    </row>
    <row r="218" spans="1:19" s="232" customFormat="1" ht="15" customHeight="1">
      <c r="A218" s="1005"/>
      <c r="B218" s="1014"/>
      <c r="C218" s="1005"/>
      <c r="D218" s="242">
        <v>2</v>
      </c>
      <c r="E218" s="271">
        <f t="shared" si="72"/>
        <v>73868.111460000029</v>
      </c>
      <c r="F218" s="271">
        <f t="shared" si="72"/>
        <v>0</v>
      </c>
      <c r="G218" s="271">
        <f t="shared" si="77"/>
        <v>5.7144461237606841</v>
      </c>
      <c r="H218" s="271">
        <f t="shared" si="77"/>
        <v>228.35120000000003</v>
      </c>
      <c r="I218" s="271"/>
      <c r="J218" s="271"/>
      <c r="K218" s="271">
        <f t="shared" si="74"/>
        <v>74102.177106123796</v>
      </c>
      <c r="L218" s="271">
        <f>K218*0.15</f>
        <v>11115.326565918569</v>
      </c>
      <c r="M218" s="272">
        <f t="shared" si="75"/>
        <v>85217.503672042367</v>
      </c>
      <c r="N218" s="271"/>
      <c r="O218" s="271">
        <f>'DGSP_chitiet (truKH)'!K218</f>
        <v>74102.177106123796</v>
      </c>
      <c r="P218" s="271">
        <f>'DGSP_chitiet (truKH)'!L218</f>
        <v>11115.326565918569</v>
      </c>
      <c r="Q218" s="306">
        <f>'DGSP_chitiet (truKH)'!M218</f>
        <v>85217.503672042367</v>
      </c>
      <c r="R218" s="271">
        <f>'DGSP_chitiet (truKH)'!N218</f>
        <v>0</v>
      </c>
      <c r="S218" s="271">
        <f t="shared" si="76"/>
        <v>2091.3369230769235</v>
      </c>
    </row>
    <row r="219" spans="1:19" s="232" customFormat="1" ht="15" customHeight="1">
      <c r="A219" s="1005"/>
      <c r="B219" s="1014"/>
      <c r="C219" s="1005"/>
      <c r="D219" s="242">
        <v>3</v>
      </c>
      <c r="E219" s="271">
        <f t="shared" si="72"/>
        <v>80714.625420000026</v>
      </c>
      <c r="F219" s="271">
        <f t="shared" si="72"/>
        <v>0</v>
      </c>
      <c r="G219" s="271">
        <f t="shared" si="77"/>
        <v>7.1430576547008551</v>
      </c>
      <c r="H219" s="271">
        <f t="shared" si="77"/>
        <v>228.35120000000003</v>
      </c>
      <c r="I219" s="271"/>
      <c r="J219" s="271"/>
      <c r="K219" s="271">
        <f t="shared" si="74"/>
        <v>80950.119677654729</v>
      </c>
      <c r="L219" s="271">
        <f>K219*0.15</f>
        <v>12142.517951648209</v>
      </c>
      <c r="M219" s="272">
        <f t="shared" si="75"/>
        <v>93092.637629302946</v>
      </c>
      <c r="N219" s="271"/>
      <c r="O219" s="271">
        <f>'DGSP_chitiet (truKH)'!K219</f>
        <v>80950.119677654729</v>
      </c>
      <c r="P219" s="271">
        <f>'DGSP_chitiet (truKH)'!L219</f>
        <v>12142.517951648209</v>
      </c>
      <c r="Q219" s="306">
        <f>'DGSP_chitiet (truKH)'!M219</f>
        <v>93092.637629302946</v>
      </c>
      <c r="R219" s="271">
        <f>'DGSP_chitiet (truKH)'!N219</f>
        <v>0</v>
      </c>
      <c r="S219" s="271">
        <f t="shared" si="76"/>
        <v>2285.1738461538462</v>
      </c>
    </row>
    <row r="220" spans="1:19" s="232" customFormat="1" ht="15" customHeight="1">
      <c r="A220" s="1005"/>
      <c r="B220" s="1014"/>
      <c r="C220" s="1005"/>
      <c r="D220" s="242">
        <v>4</v>
      </c>
      <c r="E220" s="271">
        <f t="shared" si="72"/>
        <v>89265.893860000026</v>
      </c>
      <c r="F220" s="271">
        <f t="shared" si="72"/>
        <v>0</v>
      </c>
      <c r="G220" s="271">
        <f t="shared" si="77"/>
        <v>8.9288220683760695</v>
      </c>
      <c r="H220" s="271">
        <f t="shared" si="77"/>
        <v>228.35120000000003</v>
      </c>
      <c r="I220" s="271"/>
      <c r="J220" s="271"/>
      <c r="K220" s="271">
        <f t="shared" si="74"/>
        <v>89503.173882068411</v>
      </c>
      <c r="L220" s="271">
        <f>K220*0.15</f>
        <v>13425.476082310261</v>
      </c>
      <c r="M220" s="272">
        <f t="shared" si="75"/>
        <v>102928.64996437867</v>
      </c>
      <c r="N220" s="271"/>
      <c r="O220" s="271">
        <f>'DGSP_chitiet (truKH)'!K220</f>
        <v>89503.173882068411</v>
      </c>
      <c r="P220" s="271">
        <f>'DGSP_chitiet (truKH)'!L220</f>
        <v>13425.476082310261</v>
      </c>
      <c r="Q220" s="306">
        <f>'DGSP_chitiet (truKH)'!M220</f>
        <v>102928.64996437867</v>
      </c>
      <c r="R220" s="271">
        <f>'DGSP_chitiet (truKH)'!N220</f>
        <v>0</v>
      </c>
      <c r="S220" s="271">
        <f t="shared" si="76"/>
        <v>2527.2753846153846</v>
      </c>
    </row>
    <row r="221" spans="1:19" s="232" customFormat="1" ht="15" customHeight="1">
      <c r="A221" s="1005"/>
      <c r="B221" s="1014"/>
      <c r="C221" s="1005"/>
      <c r="D221" s="242">
        <v>5</v>
      </c>
      <c r="E221" s="271">
        <f t="shared" si="72"/>
        <v>99961.853420000043</v>
      </c>
      <c r="F221" s="271">
        <f t="shared" si="72"/>
        <v>0</v>
      </c>
      <c r="G221" s="271">
        <f t="shared" si="77"/>
        <v>11.143169941333333</v>
      </c>
      <c r="H221" s="271">
        <f t="shared" si="77"/>
        <v>228.35120000000003</v>
      </c>
      <c r="I221" s="271"/>
      <c r="J221" s="271"/>
      <c r="K221" s="271">
        <f t="shared" si="74"/>
        <v>100201.34778994138</v>
      </c>
      <c r="L221" s="271">
        <f>K221*0.15</f>
        <v>15030.202168491207</v>
      </c>
      <c r="M221" s="272">
        <f t="shared" si="75"/>
        <v>115231.54995843259</v>
      </c>
      <c r="N221" s="271"/>
      <c r="O221" s="271">
        <f>'DGSP_chitiet (truKH)'!K221</f>
        <v>100201.34778994138</v>
      </c>
      <c r="P221" s="271">
        <f>'DGSP_chitiet (truKH)'!L221</f>
        <v>15030.202168491207</v>
      </c>
      <c r="Q221" s="306">
        <f>'DGSP_chitiet (truKH)'!M221</f>
        <v>115231.54995843259</v>
      </c>
      <c r="R221" s="271">
        <f>'DGSP_chitiet (truKH)'!N221</f>
        <v>0</v>
      </c>
      <c r="S221" s="271">
        <f t="shared" si="76"/>
        <v>2830.0969230769233</v>
      </c>
    </row>
    <row r="222" spans="1:19" ht="24" customHeight="1">
      <c r="A222" s="242" t="s">
        <v>505</v>
      </c>
      <c r="B222" s="965" t="s">
        <v>326</v>
      </c>
      <c r="C222" s="243"/>
      <c r="D222" s="243"/>
      <c r="E222" s="271"/>
      <c r="F222" s="271"/>
      <c r="G222" s="271"/>
      <c r="H222" s="271"/>
      <c r="I222" s="271"/>
      <c r="J222" s="271"/>
      <c r="K222" s="271"/>
      <c r="L222" s="271"/>
      <c r="M222" s="272"/>
      <c r="N222" s="271"/>
      <c r="O222" s="271">
        <f>'DGSP_chitiet (truKH)'!K222</f>
        <v>0</v>
      </c>
      <c r="P222" s="271">
        <f>'DGSP_chitiet (truKH)'!L222</f>
        <v>0</v>
      </c>
      <c r="Q222" s="306">
        <f>'DGSP_chitiet (truKH)'!M222</f>
        <v>0</v>
      </c>
      <c r="R222" s="271">
        <f>'DGSP_chitiet (truKH)'!N222</f>
        <v>0</v>
      </c>
      <c r="S222" s="271"/>
    </row>
    <row r="223" spans="1:19" s="232" customFormat="1" ht="13.5" customHeight="1">
      <c r="A223" s="1005"/>
      <c r="B223" s="1014" t="s">
        <v>190</v>
      </c>
      <c r="C223" s="1005" t="s">
        <v>21</v>
      </c>
      <c r="D223" s="242">
        <v>1</v>
      </c>
      <c r="E223" s="271">
        <f t="shared" ref="E223:F227" si="78">E200*1.15</f>
        <v>2656985.36785</v>
      </c>
      <c r="F223" s="271">
        <f t="shared" si="78"/>
        <v>292812.46923076926</v>
      </c>
      <c r="G223" s="271">
        <f t="shared" ref="G223:J232" si="79">G200</f>
        <v>19229.625641025639</v>
      </c>
      <c r="H223" s="271">
        <f t="shared" si="79"/>
        <v>588480.54</v>
      </c>
      <c r="I223" s="271">
        <f t="shared" si="79"/>
        <v>27443.377142857145</v>
      </c>
      <c r="J223" s="271">
        <f t="shared" si="79"/>
        <v>58.766400000000004</v>
      </c>
      <c r="K223" s="271">
        <f t="shared" ref="K223:K232" si="80">SUM(E223:J223)</f>
        <v>3585010.1462646523</v>
      </c>
      <c r="L223" s="271">
        <f>K223*0.25</f>
        <v>896252.53656616306</v>
      </c>
      <c r="M223" s="272">
        <f t="shared" ref="M223:M232" si="81">K223+L223</f>
        <v>4481262.6828308152</v>
      </c>
      <c r="N223" s="271">
        <f>M223+M228</f>
        <v>5629285.5245024031</v>
      </c>
      <c r="O223" s="271">
        <f>'DGSP_chitiet (truKH)'!K223</f>
        <v>3557566.769121795</v>
      </c>
      <c r="P223" s="271">
        <f>'DGSP_chitiet (truKH)'!L223</f>
        <v>889391.69228044874</v>
      </c>
      <c r="Q223" s="306">
        <f>'DGSP_chitiet (truKH)'!M223</f>
        <v>4446958.4614022439</v>
      </c>
      <c r="R223" s="271">
        <f>'DGSP_chitiet (truKH)'!N223</f>
        <v>5561322.2496424029</v>
      </c>
      <c r="S223" s="271">
        <f>S200*1.15</f>
        <v>75065.099999999991</v>
      </c>
    </row>
    <row r="224" spans="1:19" s="232" customFormat="1" ht="15" customHeight="1">
      <c r="A224" s="1005"/>
      <c r="B224" s="1014"/>
      <c r="C224" s="1005"/>
      <c r="D224" s="242">
        <v>2</v>
      </c>
      <c r="E224" s="271">
        <f t="shared" si="78"/>
        <v>3150857.2088125004</v>
      </c>
      <c r="F224" s="271">
        <f t="shared" si="78"/>
        <v>347793.26153846155</v>
      </c>
      <c r="G224" s="271">
        <f t="shared" si="79"/>
        <v>22437.169294871794</v>
      </c>
      <c r="H224" s="271">
        <f t="shared" si="79"/>
        <v>588480.54</v>
      </c>
      <c r="I224" s="271">
        <f t="shared" si="79"/>
        <v>32330.217142857146</v>
      </c>
      <c r="J224" s="271">
        <f t="shared" si="79"/>
        <v>58.766400000000004</v>
      </c>
      <c r="K224" s="271">
        <f t="shared" si="80"/>
        <v>4141957.1631886913</v>
      </c>
      <c r="L224" s="271">
        <f>K224*0.25</f>
        <v>1035489.2907971728</v>
      </c>
      <c r="M224" s="272">
        <f t="shared" si="81"/>
        <v>5177446.4539858643</v>
      </c>
      <c r="N224" s="271">
        <f>M224+M229</f>
        <v>6400836.7896792823</v>
      </c>
      <c r="O224" s="271">
        <f>'DGSP_chitiet (truKH)'!K224</f>
        <v>4109626.9460458341</v>
      </c>
      <c r="P224" s="271">
        <f>'DGSP_chitiet (truKH)'!L224</f>
        <v>1027406.7365114585</v>
      </c>
      <c r="Q224" s="306">
        <f>'DGSP_chitiet (truKH)'!M224</f>
        <v>5137033.6825572923</v>
      </c>
      <c r="R224" s="271">
        <f>'DGSP_chitiet (truKH)'!N224</f>
        <v>6322735.137743568</v>
      </c>
      <c r="S224" s="271">
        <f>S201*1.15</f>
        <v>89047.485576923078</v>
      </c>
    </row>
    <row r="225" spans="1:19" s="232" customFormat="1" ht="15" customHeight="1">
      <c r="A225" s="1005"/>
      <c r="B225" s="1014"/>
      <c r="C225" s="1005"/>
      <c r="D225" s="242">
        <v>3</v>
      </c>
      <c r="E225" s="271">
        <f t="shared" si="78"/>
        <v>4045122.9472500002</v>
      </c>
      <c r="F225" s="271">
        <f t="shared" si="78"/>
        <v>478173.89230769227</v>
      </c>
      <c r="G225" s="271">
        <f t="shared" si="79"/>
        <v>25759.798717948717</v>
      </c>
      <c r="H225" s="271">
        <f t="shared" si="79"/>
        <v>588480.54</v>
      </c>
      <c r="I225" s="271">
        <f t="shared" si="79"/>
        <v>38230.457142857143</v>
      </c>
      <c r="J225" s="271">
        <f t="shared" si="79"/>
        <v>58.766400000000004</v>
      </c>
      <c r="K225" s="271">
        <f t="shared" si="80"/>
        <v>5175826.401818498</v>
      </c>
      <c r="L225" s="271">
        <f>K225*0.25</f>
        <v>1293956.6004546245</v>
      </c>
      <c r="M225" s="272">
        <f t="shared" si="81"/>
        <v>6469783.0022731228</v>
      </c>
      <c r="N225" s="271">
        <f>M225+M230</f>
        <v>7791215.426909972</v>
      </c>
      <c r="O225" s="271">
        <f>'DGSP_chitiet (truKH)'!K225</f>
        <v>5137595.9446756411</v>
      </c>
      <c r="P225" s="271">
        <f>'DGSP_chitiet (truKH)'!L225</f>
        <v>1284398.9861689103</v>
      </c>
      <c r="Q225" s="306">
        <f>'DGSP_chitiet (truKH)'!M225</f>
        <v>6421994.930844551</v>
      </c>
      <c r="R225" s="271">
        <f>'DGSP_chitiet (truKH)'!N225</f>
        <v>7698076.1501599718</v>
      </c>
      <c r="S225" s="271">
        <f>S202*1.15</f>
        <v>114365.73076923074</v>
      </c>
    </row>
    <row r="226" spans="1:19" s="232" customFormat="1" ht="15" customHeight="1">
      <c r="A226" s="1005"/>
      <c r="B226" s="1014"/>
      <c r="C226" s="1005"/>
      <c r="D226" s="242">
        <v>4</v>
      </c>
      <c r="E226" s="271">
        <f t="shared" si="78"/>
        <v>5567252.1665750006</v>
      </c>
      <c r="F226" s="271">
        <f t="shared" si="78"/>
        <v>763287.37692307692</v>
      </c>
      <c r="G226" s="271">
        <f t="shared" si="79"/>
        <v>31297.514423076918</v>
      </c>
      <c r="H226" s="271">
        <f t="shared" si="79"/>
        <v>588480.54</v>
      </c>
      <c r="I226" s="271">
        <f t="shared" si="79"/>
        <v>48702.257142857139</v>
      </c>
      <c r="J226" s="271">
        <f t="shared" si="79"/>
        <v>58.766400000000004</v>
      </c>
      <c r="K226" s="271">
        <f t="shared" si="80"/>
        <v>6999078.6214640113</v>
      </c>
      <c r="L226" s="271">
        <f>K226*0.25</f>
        <v>1749769.6553660028</v>
      </c>
      <c r="M226" s="272">
        <f t="shared" si="81"/>
        <v>8748848.2768300138</v>
      </c>
      <c r="N226" s="271">
        <f>M226+M231</f>
        <v>10190673.958916081</v>
      </c>
      <c r="O226" s="271">
        <f>'DGSP_chitiet (truKH)'!K226</f>
        <v>6950376.3643211545</v>
      </c>
      <c r="P226" s="271">
        <f>'DGSP_chitiet (truKH)'!L226</f>
        <v>1737594.0910802886</v>
      </c>
      <c r="Q226" s="306">
        <f>'DGSP_chitiet (truKH)'!M226</f>
        <v>8687970.4554014429</v>
      </c>
      <c r="R226" s="271">
        <f>'DGSP_chitiet (truKH)'!N226</f>
        <v>10076303.032511795</v>
      </c>
      <c r="S226" s="271">
        <f>S203*1.15</f>
        <v>157459.90192307692</v>
      </c>
    </row>
    <row r="227" spans="1:19" s="232" customFormat="1" ht="15" customHeight="1">
      <c r="A227" s="1005"/>
      <c r="B227" s="1014"/>
      <c r="C227" s="1005"/>
      <c r="D227" s="242">
        <v>5</v>
      </c>
      <c r="E227" s="271">
        <f t="shared" si="78"/>
        <v>6957563.651637502</v>
      </c>
      <c r="F227" s="271">
        <f t="shared" si="78"/>
        <v>979528.42307692312</v>
      </c>
      <c r="G227" s="271">
        <f t="shared" si="79"/>
        <v>38164.281897435896</v>
      </c>
      <c r="H227" s="271">
        <f t="shared" si="79"/>
        <v>588480.54</v>
      </c>
      <c r="I227" s="271">
        <f t="shared" si="79"/>
        <v>61651.257142857139</v>
      </c>
      <c r="J227" s="271">
        <f t="shared" si="79"/>
        <v>58.766400000000004</v>
      </c>
      <c r="K227" s="271">
        <f t="shared" si="80"/>
        <v>8625446.9201547187</v>
      </c>
      <c r="L227" s="271">
        <f>K227*0.25</f>
        <v>2156361.7300386797</v>
      </c>
      <c r="M227" s="272">
        <f t="shared" si="81"/>
        <v>10781808.650193399</v>
      </c>
      <c r="N227" s="271">
        <f>M227+M232</f>
        <v>12374156.45508837</v>
      </c>
      <c r="O227" s="271">
        <f>'DGSP_chitiet (truKH)'!K227</f>
        <v>8563795.663011862</v>
      </c>
      <c r="P227" s="271">
        <f>'DGSP_chitiet (truKH)'!L227</f>
        <v>2140948.9157529655</v>
      </c>
      <c r="Q227" s="306">
        <f>'DGSP_chitiet (truKH)'!M227</f>
        <v>10704744.578764828</v>
      </c>
      <c r="R227" s="271">
        <f>'DGSP_chitiet (truKH)'!N227</f>
        <v>12233437.080682656</v>
      </c>
      <c r="S227" s="271">
        <f>S204*1.15</f>
        <v>196822.07980769227</v>
      </c>
    </row>
    <row r="228" spans="1:19" s="232" customFormat="1" ht="13.5" customHeight="1">
      <c r="A228" s="1005"/>
      <c r="B228" s="1014" t="s">
        <v>192</v>
      </c>
      <c r="C228" s="1005" t="s">
        <v>21</v>
      </c>
      <c r="D228" s="242">
        <v>1</v>
      </c>
      <c r="E228" s="271">
        <f t="shared" ref="E228:F232" si="82">E205*1.1</f>
        <v>752360.39450000017</v>
      </c>
      <c r="F228" s="271">
        <f t="shared" si="82"/>
        <v>0</v>
      </c>
      <c r="G228" s="271">
        <f t="shared" si="79"/>
        <v>4891.1160740512823</v>
      </c>
      <c r="H228" s="271">
        <f t="shared" si="79"/>
        <v>189480</v>
      </c>
      <c r="I228" s="271">
        <f t="shared" si="79"/>
        <v>29268.742114285713</v>
      </c>
      <c r="J228" s="271">
        <f t="shared" si="79"/>
        <v>22280.479200000002</v>
      </c>
      <c r="K228" s="271">
        <f t="shared" si="80"/>
        <v>998280.73188833706</v>
      </c>
      <c r="L228" s="271">
        <f>K228*0.15</f>
        <v>149742.10978325055</v>
      </c>
      <c r="M228" s="272">
        <f t="shared" si="81"/>
        <v>1148022.8416715877</v>
      </c>
      <c r="N228" s="271"/>
      <c r="O228" s="271">
        <f>'DGSP_chitiet (truKH)'!K228</f>
        <v>969011.98977405136</v>
      </c>
      <c r="P228" s="271">
        <f>'DGSP_chitiet (truKH)'!L228</f>
        <v>145351.79846610769</v>
      </c>
      <c r="Q228" s="306">
        <f>'DGSP_chitiet (truKH)'!M228</f>
        <v>1114363.7882401589</v>
      </c>
      <c r="R228" s="271">
        <f>'DGSP_chitiet (truKH)'!N228</f>
        <v>0</v>
      </c>
      <c r="S228" s="271">
        <f>S205*1.1</f>
        <v>21300.653846153848</v>
      </c>
    </row>
    <row r="229" spans="1:19" s="232" customFormat="1" ht="15" customHeight="1">
      <c r="A229" s="1005"/>
      <c r="B229" s="1014"/>
      <c r="C229" s="1005"/>
      <c r="D229" s="242">
        <v>2</v>
      </c>
      <c r="E229" s="271">
        <f t="shared" si="82"/>
        <v>812549.22606000025</v>
      </c>
      <c r="F229" s="271">
        <f t="shared" si="82"/>
        <v>0</v>
      </c>
      <c r="G229" s="271">
        <f t="shared" si="79"/>
        <v>5176.8383802393164</v>
      </c>
      <c r="H229" s="271">
        <f t="shared" si="79"/>
        <v>189480</v>
      </c>
      <c r="I229" s="271">
        <f t="shared" si="79"/>
        <v>32772.939571428571</v>
      </c>
      <c r="J229" s="271">
        <f t="shared" si="79"/>
        <v>23838.679199999999</v>
      </c>
      <c r="K229" s="271">
        <f t="shared" si="80"/>
        <v>1063817.6832116682</v>
      </c>
      <c r="L229" s="271">
        <f>K229*0.15</f>
        <v>159572.65248175021</v>
      </c>
      <c r="M229" s="272">
        <f t="shared" si="81"/>
        <v>1223390.3356934183</v>
      </c>
      <c r="N229" s="271"/>
      <c r="O229" s="271">
        <f>'DGSP_chitiet (truKH)'!K229</f>
        <v>1031044.7436402396</v>
      </c>
      <c r="P229" s="271">
        <f>'DGSP_chitiet (truKH)'!L229</f>
        <v>154656.71154603592</v>
      </c>
      <c r="Q229" s="306">
        <f>'DGSP_chitiet (truKH)'!M229</f>
        <v>1185701.4551862755</v>
      </c>
      <c r="R229" s="271">
        <f>'DGSP_chitiet (truKH)'!N229</f>
        <v>0</v>
      </c>
      <c r="S229" s="271">
        <f>S206*1.1</f>
        <v>23004.706153846157</v>
      </c>
    </row>
    <row r="230" spans="1:19" s="232" customFormat="1" ht="15" customHeight="1">
      <c r="A230" s="1005"/>
      <c r="B230" s="1014"/>
      <c r="C230" s="1005"/>
      <c r="D230" s="242">
        <v>3</v>
      </c>
      <c r="E230" s="271">
        <f t="shared" si="82"/>
        <v>887860.87962000025</v>
      </c>
      <c r="F230" s="271">
        <f t="shared" si="82"/>
        <v>0</v>
      </c>
      <c r="G230" s="271">
        <f t="shared" si="79"/>
        <v>5533.9912629743585</v>
      </c>
      <c r="H230" s="271">
        <f t="shared" si="79"/>
        <v>189480</v>
      </c>
      <c r="I230" s="271">
        <f t="shared" si="79"/>
        <v>39435.830714285708</v>
      </c>
      <c r="J230" s="271">
        <f t="shared" si="79"/>
        <v>26760.972000000002</v>
      </c>
      <c r="K230" s="271">
        <f t="shared" si="80"/>
        <v>1149071.6735972601</v>
      </c>
      <c r="L230" s="271">
        <f>K230*0.15</f>
        <v>172360.75103958903</v>
      </c>
      <c r="M230" s="272">
        <f t="shared" si="81"/>
        <v>1321432.4246368492</v>
      </c>
      <c r="N230" s="271"/>
      <c r="O230" s="271">
        <f>'DGSP_chitiet (truKH)'!K230</f>
        <v>1109635.8428829745</v>
      </c>
      <c r="P230" s="271">
        <f>'DGSP_chitiet (truKH)'!L230</f>
        <v>166445.37643244618</v>
      </c>
      <c r="Q230" s="306">
        <f>'DGSP_chitiet (truKH)'!M230</f>
        <v>1276081.2193154208</v>
      </c>
      <c r="R230" s="271">
        <f>'DGSP_chitiet (truKH)'!N230</f>
        <v>0</v>
      </c>
      <c r="S230" s="271">
        <f>S207*1.1</f>
        <v>25136.91230769231</v>
      </c>
    </row>
    <row r="231" spans="1:19" s="232" customFormat="1" ht="15" customHeight="1">
      <c r="A231" s="1005"/>
      <c r="B231" s="1014"/>
      <c r="C231" s="1005"/>
      <c r="D231" s="242">
        <v>4</v>
      </c>
      <c r="E231" s="271">
        <f t="shared" si="82"/>
        <v>981924.8324600003</v>
      </c>
      <c r="F231" s="271">
        <f t="shared" si="82"/>
        <v>0</v>
      </c>
      <c r="G231" s="271">
        <f t="shared" si="79"/>
        <v>5980.4323663931627</v>
      </c>
      <c r="H231" s="271">
        <f t="shared" si="79"/>
        <v>189480</v>
      </c>
      <c r="I231" s="271">
        <f t="shared" si="79"/>
        <v>46515.74345714286</v>
      </c>
      <c r="J231" s="271">
        <f t="shared" si="79"/>
        <v>29860.454400000002</v>
      </c>
      <c r="K231" s="271">
        <f t="shared" si="80"/>
        <v>1253761.4626835363</v>
      </c>
      <c r="L231" s="271">
        <f>K231*0.15</f>
        <v>188064.21940253043</v>
      </c>
      <c r="M231" s="272">
        <f t="shared" si="81"/>
        <v>1441825.6820860668</v>
      </c>
      <c r="N231" s="271"/>
      <c r="O231" s="271">
        <f>'DGSP_chitiet (truKH)'!K231</f>
        <v>1207245.7192263934</v>
      </c>
      <c r="P231" s="271">
        <f>'DGSP_chitiet (truKH)'!L231</f>
        <v>181086.85788395899</v>
      </c>
      <c r="Q231" s="306">
        <f>'DGSP_chitiet (truKH)'!M231</f>
        <v>1388332.5771103525</v>
      </c>
      <c r="R231" s="271">
        <f>'DGSP_chitiet (truKH)'!N231</f>
        <v>0</v>
      </c>
      <c r="S231" s="271">
        <f>S208*1.1</f>
        <v>27800.029230769233</v>
      </c>
    </row>
    <row r="232" spans="1:19" s="232" customFormat="1" ht="15" customHeight="1">
      <c r="A232" s="1005"/>
      <c r="B232" s="1014"/>
      <c r="C232" s="1005"/>
      <c r="D232" s="242">
        <v>5</v>
      </c>
      <c r="E232" s="271">
        <f t="shared" si="82"/>
        <v>1099580.3876200004</v>
      </c>
      <c r="F232" s="271">
        <f t="shared" si="82"/>
        <v>0</v>
      </c>
      <c r="G232" s="271">
        <f t="shared" si="79"/>
        <v>6534.0193346324786</v>
      </c>
      <c r="H232" s="271">
        <f t="shared" si="79"/>
        <v>189480</v>
      </c>
      <c r="I232" s="271">
        <f t="shared" si="79"/>
        <v>55352.437371428576</v>
      </c>
      <c r="J232" s="271">
        <f t="shared" si="79"/>
        <v>33703.4208</v>
      </c>
      <c r="K232" s="271">
        <f t="shared" si="80"/>
        <v>1384650.2651260614</v>
      </c>
      <c r="L232" s="271">
        <f>K232*0.15</f>
        <v>207697.53976890919</v>
      </c>
      <c r="M232" s="272">
        <f t="shared" si="81"/>
        <v>1592347.8048949705</v>
      </c>
      <c r="N232" s="271"/>
      <c r="O232" s="271">
        <f>'DGSP_chitiet (truKH)'!K232</f>
        <v>1329297.8277546328</v>
      </c>
      <c r="P232" s="271">
        <f>'DGSP_chitiet (truKH)'!L232</f>
        <v>199394.67416319493</v>
      </c>
      <c r="Q232" s="306">
        <f>'DGSP_chitiet (truKH)'!M232</f>
        <v>1528692.5019178276</v>
      </c>
      <c r="R232" s="271">
        <f>'DGSP_chitiet (truKH)'!N232</f>
        <v>0</v>
      </c>
      <c r="S232" s="271">
        <f>S209*1.1</f>
        <v>31131.066153846157</v>
      </c>
    </row>
    <row r="233" spans="1:19">
      <c r="A233" s="242">
        <v>1</v>
      </c>
      <c r="B233" s="276" t="s">
        <v>57</v>
      </c>
      <c r="C233" s="243"/>
      <c r="D233" s="243"/>
      <c r="E233" s="271"/>
      <c r="F233" s="271"/>
      <c r="G233" s="271"/>
      <c r="H233" s="271"/>
      <c r="I233" s="271"/>
      <c r="J233" s="271"/>
      <c r="K233" s="271"/>
      <c r="L233" s="271"/>
      <c r="M233" s="272">
        <v>25</v>
      </c>
      <c r="N233" s="974" t="s">
        <v>21</v>
      </c>
      <c r="O233" s="271">
        <f>'DGSP_chitiet (truKH)'!K233</f>
        <v>0</v>
      </c>
      <c r="P233" s="271">
        <f>'DGSP_chitiet (truKH)'!L233</f>
        <v>0</v>
      </c>
      <c r="Q233" s="306">
        <f>'DGSP_chitiet (truKH)'!M233</f>
        <v>25</v>
      </c>
      <c r="R233" s="271" t="str">
        <f>'DGSP_chitiet (truKH)'!N233</f>
        <v>ha</v>
      </c>
      <c r="S233" s="271"/>
    </row>
    <row r="234" spans="1:19">
      <c r="A234" s="969" t="s">
        <v>359</v>
      </c>
      <c r="B234" s="970" t="str">
        <f>NhanCong!B$61</f>
        <v>Công tác chuẩn bị</v>
      </c>
      <c r="C234" s="274" t="s">
        <v>317</v>
      </c>
      <c r="D234" s="274" t="s">
        <v>622</v>
      </c>
      <c r="E234" s="271">
        <f>NhanCong!Q$61</f>
        <v>144421.50800000003</v>
      </c>
      <c r="F234" s="271">
        <f>NhanCong!Q$62</f>
        <v>9023.3846153846171</v>
      </c>
      <c r="G234" s="905">
        <f>Dcu!O$102*0.4</f>
        <v>3608.935897435897</v>
      </c>
      <c r="H234" s="905">
        <f>VLieu!M$66</f>
        <v>87398.099999999991</v>
      </c>
      <c r="I234" s="905"/>
      <c r="J234" s="905"/>
      <c r="K234" s="905">
        <f>SUM(E234:J234)</f>
        <v>244451.92851282057</v>
      </c>
      <c r="L234" s="905">
        <f>K234*0.25</f>
        <v>61112.982128205142</v>
      </c>
      <c r="M234" s="906">
        <f>K234+L234</f>
        <v>305564.91064102569</v>
      </c>
      <c r="N234" s="905"/>
      <c r="O234" s="271">
        <f>'DGSP_chitiet (truKH)'!K234</f>
        <v>244451.92851282057</v>
      </c>
      <c r="P234" s="271">
        <f>'DGSP_chitiet (truKH)'!L234</f>
        <v>61112.982128205142</v>
      </c>
      <c r="Q234" s="306">
        <f>'DGSP_chitiet (truKH)'!M234</f>
        <v>305564.91064102569</v>
      </c>
      <c r="R234" s="271">
        <f>'DGSP_chitiet (truKH)'!N234</f>
        <v>0</v>
      </c>
      <c r="S234" s="905">
        <f>NhanCong!R$61</f>
        <v>3950.6923076923067</v>
      </c>
    </row>
    <row r="235" spans="1:19">
      <c r="A235" s="1012" t="s">
        <v>269</v>
      </c>
      <c r="B235" s="1011" t="str">
        <f>NhanCong!B$63</f>
        <v>Lập lưới khống chế đo vẽ</v>
      </c>
      <c r="C235" s="1013" t="s">
        <v>317</v>
      </c>
      <c r="D235" s="274">
        <v>1</v>
      </c>
      <c r="E235" s="271">
        <f>NhanCong!Q$63</f>
        <v>241449.60125000007</v>
      </c>
      <c r="F235" s="271"/>
      <c r="G235" s="905">
        <f>Dcu!O$82</f>
        <v>1726.2865384615382</v>
      </c>
      <c r="H235" s="905">
        <f>VLieu!M$67</f>
        <v>58265.4</v>
      </c>
      <c r="I235" s="905">
        <f>TBi!N$40</f>
        <v>3887.457142857143</v>
      </c>
      <c r="J235" s="905">
        <f>TBi!N$44</f>
        <v>58.766400000000004</v>
      </c>
      <c r="K235" s="905">
        <f t="shared" ref="K235:K239" si="83">SUM(E235:J235)</f>
        <v>305387.51133131876</v>
      </c>
      <c r="L235" s="905">
        <f t="shared" ref="L235:L259" si="84">K235*0.25</f>
        <v>76346.87783282969</v>
      </c>
      <c r="M235" s="906">
        <f t="shared" ref="M235:M259" si="85">K235+L235</f>
        <v>381734.38916414848</v>
      </c>
      <c r="N235" s="905"/>
      <c r="O235" s="271">
        <f>'DGSP_chitiet (truKH)'!K235</f>
        <v>301500.05418846163</v>
      </c>
      <c r="P235" s="271">
        <f>'DGSP_chitiet (truKH)'!L235</f>
        <v>75375.013547115406</v>
      </c>
      <c r="Q235" s="306">
        <f>'DGSP_chitiet (truKH)'!M235</f>
        <v>376875.067735577</v>
      </c>
      <c r="R235" s="271">
        <f>'DGSP_chitiet (truKH)'!N235</f>
        <v>0</v>
      </c>
      <c r="S235" s="905">
        <f>NhanCong!R$63</f>
        <v>6835.8653846153848</v>
      </c>
    </row>
    <row r="236" spans="1:19">
      <c r="A236" s="1012"/>
      <c r="B236" s="1011"/>
      <c r="C236" s="1013"/>
      <c r="D236" s="274">
        <v>2</v>
      </c>
      <c r="E236" s="271">
        <f>NhanCong!Q$64</f>
        <v>289567.67125000007</v>
      </c>
      <c r="F236" s="271"/>
      <c r="G236" s="905">
        <f>Dcu!O$83</f>
        <v>1956.4580769230765</v>
      </c>
      <c r="H236" s="905">
        <f>VLieu!M$67</f>
        <v>58265.4</v>
      </c>
      <c r="I236" s="905">
        <f>TBi!O$40</f>
        <v>4563.057142857142</v>
      </c>
      <c r="J236" s="905">
        <f>TBi!O$44</f>
        <v>58.766400000000004</v>
      </c>
      <c r="K236" s="905">
        <f t="shared" si="83"/>
        <v>354411.35286978033</v>
      </c>
      <c r="L236" s="905">
        <f t="shared" si="84"/>
        <v>88602.838217445082</v>
      </c>
      <c r="M236" s="906">
        <f t="shared" si="85"/>
        <v>443014.19108722539</v>
      </c>
      <c r="N236" s="905"/>
      <c r="O236" s="271">
        <f>'DGSP_chitiet (truKH)'!K236</f>
        <v>349848.29572692321</v>
      </c>
      <c r="P236" s="271">
        <f>'DGSP_chitiet (truKH)'!L236</f>
        <v>87462.073931730803</v>
      </c>
      <c r="Q236" s="306">
        <f>'DGSP_chitiet (truKH)'!M236</f>
        <v>437310.36965865403</v>
      </c>
      <c r="R236" s="271">
        <f>'DGSP_chitiet (truKH)'!N236</f>
        <v>0</v>
      </c>
      <c r="S236" s="905">
        <f>NhanCong!R$64</f>
        <v>8198.173076923078</v>
      </c>
    </row>
    <row r="237" spans="1:19">
      <c r="A237" s="1012"/>
      <c r="B237" s="1011"/>
      <c r="C237" s="1013"/>
      <c r="D237" s="274">
        <v>3</v>
      </c>
      <c r="E237" s="271">
        <f>NhanCong!Q$65</f>
        <v>347137.50500000006</v>
      </c>
      <c r="F237" s="271"/>
      <c r="G237" s="905">
        <f>Dcu!O$84</f>
        <v>2301.7153846153842</v>
      </c>
      <c r="H237" s="905">
        <f>VLieu!M$67</f>
        <v>58265.4</v>
      </c>
      <c r="I237" s="905">
        <f>TBi!P$40</f>
        <v>5418.8171428571432</v>
      </c>
      <c r="J237" s="905">
        <f>TBi!P$44</f>
        <v>58.766400000000004</v>
      </c>
      <c r="K237" s="905">
        <f t="shared" si="83"/>
        <v>413182.20392747264</v>
      </c>
      <c r="L237" s="905">
        <f t="shared" si="84"/>
        <v>103295.55098186816</v>
      </c>
      <c r="M237" s="906">
        <f t="shared" si="85"/>
        <v>516477.75490934082</v>
      </c>
      <c r="N237" s="905"/>
      <c r="O237" s="271">
        <f>'DGSP_chitiet (truKH)'!K237</f>
        <v>407763.38678461552</v>
      </c>
      <c r="P237" s="271">
        <f>'DGSP_chitiet (truKH)'!L237</f>
        <v>101940.84669615388</v>
      </c>
      <c r="Q237" s="306">
        <f>'DGSP_chitiet (truKH)'!M237</f>
        <v>509704.23348076938</v>
      </c>
      <c r="R237" s="271">
        <f>'DGSP_chitiet (truKH)'!N237</f>
        <v>0</v>
      </c>
      <c r="S237" s="905">
        <f>NhanCong!R$65</f>
        <v>9828.076923076922</v>
      </c>
    </row>
    <row r="238" spans="1:19">
      <c r="A238" s="1012"/>
      <c r="B238" s="1011"/>
      <c r="C238" s="1013"/>
      <c r="D238" s="274">
        <v>4</v>
      </c>
      <c r="E238" s="271">
        <f>NhanCong!Q$66</f>
        <v>416736.85625000007</v>
      </c>
      <c r="F238" s="271"/>
      <c r="G238" s="905">
        <f>Dcu!O$85</f>
        <v>2877.1442307692305</v>
      </c>
      <c r="H238" s="905">
        <f>VLieu!M$67</f>
        <v>58265.4</v>
      </c>
      <c r="I238" s="905">
        <f>TBi!Q$40</f>
        <v>7693.3371428571418</v>
      </c>
      <c r="J238" s="905">
        <f>TBi!Q$44</f>
        <v>58.766400000000004</v>
      </c>
      <c r="K238" s="905">
        <f t="shared" si="83"/>
        <v>485631.5040236265</v>
      </c>
      <c r="L238" s="905">
        <f t="shared" si="84"/>
        <v>121407.87600590663</v>
      </c>
      <c r="M238" s="906">
        <f t="shared" si="85"/>
        <v>607039.38002953317</v>
      </c>
      <c r="N238" s="905"/>
      <c r="O238" s="271">
        <f>'DGSP_chitiet (truKH)'!K238</f>
        <v>477938.16688076936</v>
      </c>
      <c r="P238" s="271">
        <f>'DGSP_chitiet (truKH)'!L238</f>
        <v>119484.54172019234</v>
      </c>
      <c r="Q238" s="306">
        <f>'DGSP_chitiet (truKH)'!M238</f>
        <v>597422.70860096172</v>
      </c>
      <c r="R238" s="271">
        <f>'DGSP_chitiet (truKH)'!N238</f>
        <v>0</v>
      </c>
      <c r="S238" s="905">
        <f>NhanCong!R$66</f>
        <v>11798.557692307693</v>
      </c>
    </row>
    <row r="239" spans="1:19">
      <c r="A239" s="1012"/>
      <c r="B239" s="1011"/>
      <c r="C239" s="1013"/>
      <c r="D239" s="274">
        <v>5</v>
      </c>
      <c r="E239" s="271">
        <f>NhanCong!Q$67</f>
        <v>499224.97625000012</v>
      </c>
      <c r="F239" s="271"/>
      <c r="G239" s="905">
        <f>Dcu!O$86</f>
        <v>3590.6759999999995</v>
      </c>
      <c r="H239" s="905">
        <f>VLieu!M$67</f>
        <v>58265.4</v>
      </c>
      <c r="I239" s="905">
        <f>TBi!R$40</f>
        <v>10373.217142857144</v>
      </c>
      <c r="J239" s="905">
        <f>TBi!R$44</f>
        <v>58.766400000000004</v>
      </c>
      <c r="K239" s="905">
        <f t="shared" si="83"/>
        <v>571513.03579285718</v>
      </c>
      <c r="L239" s="905">
        <f t="shared" si="84"/>
        <v>142878.25894821429</v>
      </c>
      <c r="M239" s="906">
        <f t="shared" si="85"/>
        <v>714391.29474107153</v>
      </c>
      <c r="N239" s="905"/>
      <c r="O239" s="271">
        <f>'DGSP_chitiet (truKH)'!K239</f>
        <v>561139.81865000003</v>
      </c>
      <c r="P239" s="271">
        <f>'DGSP_chitiet (truKH)'!L239</f>
        <v>140284.95466250001</v>
      </c>
      <c r="Q239" s="306">
        <f>'DGSP_chitiet (truKH)'!M239</f>
        <v>701424.77331249998</v>
      </c>
      <c r="R239" s="271">
        <f>'DGSP_chitiet (truKH)'!N239</f>
        <v>0</v>
      </c>
      <c r="S239" s="905">
        <f>NhanCong!R$67</f>
        <v>14133.942307692305</v>
      </c>
    </row>
    <row r="240" spans="1:19">
      <c r="A240" s="1012" t="s">
        <v>36</v>
      </c>
      <c r="B240" s="1011" t="str">
        <f>NhanCong!B$68</f>
        <v>Xác định ranh giới thửa đất trên thực địa</v>
      </c>
      <c r="C240" s="1013" t="s">
        <v>317</v>
      </c>
      <c r="D240" s="274">
        <v>1</v>
      </c>
      <c r="E240" s="271">
        <f>NhanCong!Q$68</f>
        <v>618660.9</v>
      </c>
      <c r="F240" s="271">
        <f>NhanCong!Q$69</f>
        <v>130984.6153846154</v>
      </c>
      <c r="G240" s="905">
        <f>Dcu!O$103*0.4</f>
        <v>2526.2551282051281</v>
      </c>
      <c r="H240" s="905">
        <f>VLieu!M$68</f>
        <v>145663.5</v>
      </c>
      <c r="I240" s="905"/>
      <c r="J240" s="905"/>
      <c r="K240" s="905">
        <f>SUM(E240:J240)</f>
        <v>897835.27051282057</v>
      </c>
      <c r="L240" s="905">
        <f t="shared" si="84"/>
        <v>224458.81762820514</v>
      </c>
      <c r="M240" s="906">
        <f t="shared" si="85"/>
        <v>1122294.0881410257</v>
      </c>
      <c r="N240" s="905"/>
      <c r="O240" s="271">
        <f>'DGSP_chitiet (truKH)'!K240</f>
        <v>897835.27051282057</v>
      </c>
      <c r="P240" s="271">
        <f>'DGSP_chitiet (truKH)'!L240</f>
        <v>224458.81762820514</v>
      </c>
      <c r="Q240" s="306">
        <f>'DGSP_chitiet (truKH)'!M240</f>
        <v>1122294.0881410257</v>
      </c>
      <c r="R240" s="271">
        <f>'DGSP_chitiet (truKH)'!N240</f>
        <v>0</v>
      </c>
      <c r="S240" s="905">
        <f>NhanCong!R$68</f>
        <v>17515.384615384613</v>
      </c>
    </row>
    <row r="241" spans="1:19">
      <c r="A241" s="1012"/>
      <c r="B241" s="1011"/>
      <c r="C241" s="1013"/>
      <c r="D241" s="274">
        <v>2</v>
      </c>
      <c r="E241" s="271">
        <f>NhanCong!Q$70</f>
        <v>742393.08000000019</v>
      </c>
      <c r="F241" s="271">
        <f>NhanCong!Q$71</f>
        <v>157181.53846153847</v>
      </c>
      <c r="G241" s="905">
        <f>Dcu!O$104*0.4</f>
        <v>3067.5955128205123</v>
      </c>
      <c r="H241" s="905">
        <f>VLieu!M$68</f>
        <v>145663.5</v>
      </c>
      <c r="I241" s="905"/>
      <c r="J241" s="905"/>
      <c r="K241" s="905">
        <f t="shared" ref="K241:K259" si="86">SUM(E241:J241)</f>
        <v>1048305.7139743592</v>
      </c>
      <c r="L241" s="905">
        <f t="shared" si="84"/>
        <v>262076.4284935898</v>
      </c>
      <c r="M241" s="906">
        <f t="shared" si="85"/>
        <v>1310382.1424679491</v>
      </c>
      <c r="N241" s="905"/>
      <c r="O241" s="271">
        <f>'DGSP_chitiet (truKH)'!K241</f>
        <v>1048305.7139743592</v>
      </c>
      <c r="P241" s="271">
        <f>'DGSP_chitiet (truKH)'!L241</f>
        <v>262076.4284935898</v>
      </c>
      <c r="Q241" s="306">
        <f>'DGSP_chitiet (truKH)'!M241</f>
        <v>1310382.1424679491</v>
      </c>
      <c r="R241" s="271">
        <f>'DGSP_chitiet (truKH)'!N241</f>
        <v>0</v>
      </c>
      <c r="S241" s="905">
        <f>NhanCong!R$70</f>
        <v>21018.461538461539</v>
      </c>
    </row>
    <row r="242" spans="1:19">
      <c r="A242" s="1012"/>
      <c r="B242" s="1011"/>
      <c r="C242" s="1013"/>
      <c r="D242" s="274">
        <v>3</v>
      </c>
      <c r="E242" s="271">
        <f>NhanCong!Q$72</f>
        <v>1149334.4720000001</v>
      </c>
      <c r="F242" s="271">
        <f>NhanCong!Q$73</f>
        <v>243340.30769230769</v>
      </c>
      <c r="G242" s="905">
        <f>Dcu!O$105*0.4</f>
        <v>3608.935897435897</v>
      </c>
      <c r="H242" s="905">
        <f>VLieu!M$68</f>
        <v>145663.5</v>
      </c>
      <c r="I242" s="905"/>
      <c r="J242" s="905"/>
      <c r="K242" s="905">
        <f t="shared" si="86"/>
        <v>1541947.2155897438</v>
      </c>
      <c r="L242" s="905">
        <f t="shared" si="84"/>
        <v>385486.80389743595</v>
      </c>
      <c r="M242" s="906">
        <f t="shared" si="85"/>
        <v>1927434.0194871798</v>
      </c>
      <c r="N242" s="905"/>
      <c r="O242" s="271">
        <f>'DGSP_chitiet (truKH)'!K242</f>
        <v>1541947.2155897438</v>
      </c>
      <c r="P242" s="271">
        <f>'DGSP_chitiet (truKH)'!L242</f>
        <v>385486.80389743595</v>
      </c>
      <c r="Q242" s="306">
        <f>'DGSP_chitiet (truKH)'!M242</f>
        <v>1927434.0194871798</v>
      </c>
      <c r="R242" s="271">
        <f>'DGSP_chitiet (truKH)'!N242</f>
        <v>0</v>
      </c>
      <c r="S242" s="905">
        <f>NhanCong!R$72</f>
        <v>32539.692307692305</v>
      </c>
    </row>
    <row r="243" spans="1:19">
      <c r="A243" s="1012"/>
      <c r="B243" s="1011"/>
      <c r="C243" s="1013"/>
      <c r="D243" s="274">
        <v>4</v>
      </c>
      <c r="E243" s="271">
        <f>NhanCong!Q$74</f>
        <v>1797553.6150000002</v>
      </c>
      <c r="F243" s="271">
        <f>NhanCong!Q$75</f>
        <v>380583.07692307694</v>
      </c>
      <c r="G243" s="905">
        <f>Dcu!O$106*0.4</f>
        <v>4511.1698717948711</v>
      </c>
      <c r="H243" s="905">
        <f>VLieu!M$68</f>
        <v>145663.5</v>
      </c>
      <c r="I243" s="905"/>
      <c r="J243" s="905"/>
      <c r="K243" s="905">
        <f t="shared" si="86"/>
        <v>2328311.3617948722</v>
      </c>
      <c r="L243" s="905">
        <f t="shared" si="84"/>
        <v>582077.84044871805</v>
      </c>
      <c r="M243" s="906">
        <f t="shared" si="85"/>
        <v>2910389.2022435903</v>
      </c>
      <c r="N243" s="905"/>
      <c r="O243" s="271">
        <f>'DGSP_chitiet (truKH)'!K243</f>
        <v>2328311.3617948722</v>
      </c>
      <c r="P243" s="271">
        <f>'DGSP_chitiet (truKH)'!L243</f>
        <v>582077.84044871805</v>
      </c>
      <c r="Q243" s="306">
        <f>'DGSP_chitiet (truKH)'!M243</f>
        <v>2910389.2022435903</v>
      </c>
      <c r="R243" s="271">
        <f>'DGSP_chitiet (truKH)'!N243</f>
        <v>0</v>
      </c>
      <c r="S243" s="905">
        <f>NhanCong!R$74</f>
        <v>50891.923076923078</v>
      </c>
    </row>
    <row r="244" spans="1:19">
      <c r="A244" s="1012"/>
      <c r="B244" s="1011"/>
      <c r="C244" s="1013"/>
      <c r="D244" s="274">
        <v>5</v>
      </c>
      <c r="E244" s="271">
        <f>NhanCong!Q$76</f>
        <v>2426869.2305000005</v>
      </c>
      <c r="F244" s="271">
        <f>NhanCong!Q$77</f>
        <v>513823.5384615385</v>
      </c>
      <c r="G244" s="905">
        <f>Dcu!O$107*0.4</f>
        <v>5629.94</v>
      </c>
      <c r="H244" s="905">
        <f>VLieu!M$68</f>
        <v>145663.5</v>
      </c>
      <c r="I244" s="905"/>
      <c r="J244" s="905"/>
      <c r="K244" s="905">
        <f t="shared" si="86"/>
        <v>3091986.208961539</v>
      </c>
      <c r="L244" s="905">
        <f t="shared" si="84"/>
        <v>772996.55224038474</v>
      </c>
      <c r="M244" s="906">
        <f t="shared" si="85"/>
        <v>3864982.7612019237</v>
      </c>
      <c r="N244" s="905"/>
      <c r="O244" s="271">
        <f>'DGSP_chitiet (truKH)'!K244</f>
        <v>3091986.208961539</v>
      </c>
      <c r="P244" s="271">
        <f>'DGSP_chitiet (truKH)'!L244</f>
        <v>772996.55224038474</v>
      </c>
      <c r="Q244" s="306">
        <f>'DGSP_chitiet (truKH)'!M244</f>
        <v>3864982.7612019237</v>
      </c>
      <c r="R244" s="271">
        <f>'DGSP_chitiet (truKH)'!N244</f>
        <v>0</v>
      </c>
      <c r="S244" s="905">
        <f>NhanCong!R$76</f>
        <v>68708.961538461546</v>
      </c>
    </row>
    <row r="245" spans="1:19">
      <c r="A245" s="1012" t="s">
        <v>270</v>
      </c>
      <c r="B245" s="1011" t="str">
        <f>NhanCong!B$78</f>
        <v>Đo đạc ranh giới thửa đất và các đối tượng địa lý có liên quan</v>
      </c>
      <c r="C245" s="1013" t="s">
        <v>317</v>
      </c>
      <c r="D245" s="274" t="s">
        <v>18</v>
      </c>
      <c r="E245" s="271">
        <f>NhanCong!Q$78</f>
        <v>1061175.2937500002</v>
      </c>
      <c r="F245" s="271">
        <f>NhanCong!Q$79</f>
        <v>35948.000000000007</v>
      </c>
      <c r="G245" s="905">
        <f>Dcu!O$103</f>
        <v>6315.6378205128194</v>
      </c>
      <c r="H245" s="905">
        <f>VLieu!M$69</f>
        <v>145663.5</v>
      </c>
      <c r="I245" s="905">
        <f>TBi!N$68</f>
        <v>23555.920000000002</v>
      </c>
      <c r="J245" s="905"/>
      <c r="K245" s="905">
        <f t="shared" si="86"/>
        <v>1272658.3515705129</v>
      </c>
      <c r="L245" s="905">
        <f t="shared" si="84"/>
        <v>318164.58789262822</v>
      </c>
      <c r="M245" s="906">
        <f t="shared" si="85"/>
        <v>1590822.9394631411</v>
      </c>
      <c r="N245" s="905"/>
      <c r="O245" s="271">
        <f>'DGSP_chitiet (truKH)'!K245</f>
        <v>1249102.4315705129</v>
      </c>
      <c r="P245" s="271">
        <f>'DGSP_chitiet (truKH)'!L245</f>
        <v>312275.60789262824</v>
      </c>
      <c r="Q245" s="306">
        <f>'DGSP_chitiet (truKH)'!M245</f>
        <v>1561378.0394631412</v>
      </c>
      <c r="R245" s="271">
        <f>'DGSP_chitiet (truKH)'!N245</f>
        <v>0</v>
      </c>
      <c r="S245" s="905">
        <f>NhanCong!R$78</f>
        <v>30043.75</v>
      </c>
    </row>
    <row r="246" spans="1:19">
      <c r="A246" s="1012"/>
      <c r="B246" s="1011"/>
      <c r="C246" s="1013"/>
      <c r="D246" s="274" t="s">
        <v>20</v>
      </c>
      <c r="E246" s="271">
        <f>NhanCong!Q$80</f>
        <v>1272551.1012500003</v>
      </c>
      <c r="F246" s="271">
        <f>NhanCong!Q$81</f>
        <v>43152.153846153851</v>
      </c>
      <c r="G246" s="905">
        <f>Dcu!O$104</f>
        <v>7668.9887820512804</v>
      </c>
      <c r="H246" s="905">
        <f>VLieu!M$69</f>
        <v>145663.5</v>
      </c>
      <c r="I246" s="905">
        <f>TBi!O$68</f>
        <v>27767.160000000003</v>
      </c>
      <c r="J246" s="905"/>
      <c r="K246" s="905">
        <f t="shared" si="86"/>
        <v>1496802.9038782052</v>
      </c>
      <c r="L246" s="905">
        <f t="shared" si="84"/>
        <v>374200.72596955131</v>
      </c>
      <c r="M246" s="906">
        <f t="shared" si="85"/>
        <v>1871003.6298477566</v>
      </c>
      <c r="N246" s="905"/>
      <c r="O246" s="271">
        <f>'DGSP_chitiet (truKH)'!K246</f>
        <v>1469035.7438782053</v>
      </c>
      <c r="P246" s="271">
        <f>'DGSP_chitiet (truKH)'!L246</f>
        <v>367258.93596955133</v>
      </c>
      <c r="Q246" s="306">
        <f>'DGSP_chitiet (truKH)'!M246</f>
        <v>1836294.6798477566</v>
      </c>
      <c r="R246" s="271">
        <f>'DGSP_chitiet (truKH)'!N246</f>
        <v>0</v>
      </c>
      <c r="S246" s="905">
        <f>NhanCong!R$80</f>
        <v>36028.173076923078</v>
      </c>
    </row>
    <row r="247" spans="1:19">
      <c r="A247" s="1012"/>
      <c r="B247" s="1011"/>
      <c r="C247" s="1013"/>
      <c r="D247" s="274" t="s">
        <v>35</v>
      </c>
      <c r="E247" s="271">
        <f>NhanCong!Q$82</f>
        <v>1527748.7225000006</v>
      </c>
      <c r="F247" s="271">
        <f>NhanCong!Q$83</f>
        <v>51811.692307692312</v>
      </c>
      <c r="G247" s="905">
        <f>Dcu!O$105</f>
        <v>9022.3397435897423</v>
      </c>
      <c r="H247" s="905">
        <f>VLieu!M$69</f>
        <v>145663.5</v>
      </c>
      <c r="I247" s="905">
        <f>TBi!P$68</f>
        <v>32811.64</v>
      </c>
      <c r="J247" s="905"/>
      <c r="K247" s="905">
        <f t="shared" si="86"/>
        <v>1767057.8945512825</v>
      </c>
      <c r="L247" s="905">
        <f t="shared" si="84"/>
        <v>441764.47363782063</v>
      </c>
      <c r="M247" s="906">
        <f t="shared" si="85"/>
        <v>2208822.368189103</v>
      </c>
      <c r="N247" s="905"/>
      <c r="O247" s="271">
        <f>'DGSP_chitiet (truKH)'!K247</f>
        <v>1734246.2545512826</v>
      </c>
      <c r="P247" s="271">
        <f>'DGSP_chitiet (truKH)'!L247</f>
        <v>433561.56363782065</v>
      </c>
      <c r="Q247" s="306">
        <f>'DGSP_chitiet (truKH)'!M247</f>
        <v>2167807.8181891032</v>
      </c>
      <c r="R247" s="271">
        <f>'DGSP_chitiet (truKH)'!N247</f>
        <v>0</v>
      </c>
      <c r="S247" s="905">
        <f>NhanCong!R$82</f>
        <v>43253.269230769227</v>
      </c>
    </row>
    <row r="248" spans="1:19">
      <c r="A248" s="1012"/>
      <c r="B248" s="1011"/>
      <c r="C248" s="1013"/>
      <c r="D248" s="274" t="s">
        <v>33</v>
      </c>
      <c r="E248" s="271">
        <f>NhanCong!Q$84</f>
        <v>1955655.8450000007</v>
      </c>
      <c r="F248" s="271">
        <f>NhanCong!Q$85</f>
        <v>82884.153846153858</v>
      </c>
      <c r="G248" s="905">
        <f>Dcu!O$106</f>
        <v>11277.924679487178</v>
      </c>
      <c r="H248" s="905">
        <f>VLieu!M$69</f>
        <v>145663.5</v>
      </c>
      <c r="I248" s="905">
        <f>TBi!Q$68</f>
        <v>41008.92</v>
      </c>
      <c r="J248" s="905"/>
      <c r="K248" s="905">
        <f t="shared" si="86"/>
        <v>2236490.3435256416</v>
      </c>
      <c r="L248" s="905">
        <f t="shared" si="84"/>
        <v>559122.5858814104</v>
      </c>
      <c r="M248" s="906">
        <f t="shared" si="85"/>
        <v>2795612.9294070518</v>
      </c>
      <c r="N248" s="905"/>
      <c r="O248" s="271">
        <f>'DGSP_chitiet (truKH)'!K248</f>
        <v>2195481.4235256417</v>
      </c>
      <c r="P248" s="271">
        <f>'DGSP_chitiet (truKH)'!L248</f>
        <v>548870.35588141042</v>
      </c>
      <c r="Q248" s="306">
        <f>'DGSP_chitiet (truKH)'!M248</f>
        <v>2744351.7794070523</v>
      </c>
      <c r="R248" s="271">
        <f>'DGSP_chitiet (truKH)'!N248</f>
        <v>0</v>
      </c>
      <c r="S248" s="905">
        <f>NhanCong!R$84</f>
        <v>55368.076923076922</v>
      </c>
    </row>
    <row r="249" spans="1:19">
      <c r="A249" s="1012"/>
      <c r="B249" s="1011"/>
      <c r="C249" s="1013"/>
      <c r="D249" s="274" t="s">
        <v>13</v>
      </c>
      <c r="E249" s="271">
        <f>NhanCong!Q$86</f>
        <v>2347474.4150000005</v>
      </c>
      <c r="F249" s="271">
        <f>NhanCong!Q$87</f>
        <v>99402.769230769234</v>
      </c>
      <c r="G249" s="905">
        <f>Dcu!O$107</f>
        <v>14074.849999999999</v>
      </c>
      <c r="H249" s="905">
        <f>VLieu!M$69</f>
        <v>145663.5</v>
      </c>
      <c r="I249" s="905">
        <f>TBi!R$68</f>
        <v>51278.039999999994</v>
      </c>
      <c r="J249" s="905"/>
      <c r="K249" s="905">
        <f t="shared" si="86"/>
        <v>2657893.5742307696</v>
      </c>
      <c r="L249" s="905">
        <f t="shared" si="84"/>
        <v>664473.39355769241</v>
      </c>
      <c r="M249" s="906">
        <f t="shared" si="85"/>
        <v>3322366.9677884621</v>
      </c>
      <c r="N249" s="905"/>
      <c r="O249" s="271">
        <f>'DGSP_chitiet (truKH)'!K249</f>
        <v>2606615.5342307696</v>
      </c>
      <c r="P249" s="271">
        <f>'DGSP_chitiet (truKH)'!L249</f>
        <v>651653.8835576924</v>
      </c>
      <c r="Q249" s="306">
        <f>'DGSP_chitiet (truKH)'!M249</f>
        <v>3258269.4177884618</v>
      </c>
      <c r="R249" s="271">
        <f>'DGSP_chitiet (truKH)'!N249</f>
        <v>0</v>
      </c>
      <c r="S249" s="905">
        <f>NhanCong!R$86</f>
        <v>66461.153846153844</v>
      </c>
    </row>
    <row r="250" spans="1:19">
      <c r="A250" s="1012" t="s">
        <v>363</v>
      </c>
      <c r="B250" s="1011" t="str">
        <f>NhanCong!B$88</f>
        <v>Đối soát, kiểm tra</v>
      </c>
      <c r="C250" s="1013" t="s">
        <v>317</v>
      </c>
      <c r="D250" s="274" t="s">
        <v>18</v>
      </c>
      <c r="E250" s="271">
        <f>NhanCong!Q$88</f>
        <v>98470.193250000026</v>
      </c>
      <c r="F250" s="271">
        <f>NhanCong!Q$89</f>
        <v>16736.923076923078</v>
      </c>
      <c r="G250" s="905">
        <f>Dcu!O$103*0.4</f>
        <v>2526.2551282051281</v>
      </c>
      <c r="H250" s="905">
        <f>VLieu!M$70</f>
        <v>75745.02</v>
      </c>
      <c r="I250" s="905"/>
      <c r="J250" s="905"/>
      <c r="K250" s="905">
        <f t="shared" si="86"/>
        <v>193478.39145512824</v>
      </c>
      <c r="L250" s="905">
        <f t="shared" si="84"/>
        <v>48369.597863782059</v>
      </c>
      <c r="M250" s="906">
        <f t="shared" si="85"/>
        <v>241847.98931891029</v>
      </c>
      <c r="N250" s="905"/>
      <c r="O250" s="271">
        <f>'DGSP_chitiet (truKH)'!K250</f>
        <v>193478.39145512824</v>
      </c>
      <c r="P250" s="271">
        <f>'DGSP_chitiet (truKH)'!L250</f>
        <v>48369.597863782059</v>
      </c>
      <c r="Q250" s="306">
        <f>'DGSP_chitiet (truKH)'!M250</f>
        <v>241847.98931891029</v>
      </c>
      <c r="R250" s="271">
        <f>'DGSP_chitiet (truKH)'!N250</f>
        <v>0</v>
      </c>
      <c r="S250" s="905">
        <f>NhanCong!R$88</f>
        <v>2787.8653846153848</v>
      </c>
    </row>
    <row r="251" spans="1:19">
      <c r="A251" s="1012"/>
      <c r="B251" s="1011"/>
      <c r="C251" s="1013"/>
      <c r="D251" s="274" t="s">
        <v>20</v>
      </c>
      <c r="E251" s="271">
        <f>NhanCong!Q$90</f>
        <v>118404.82225000001</v>
      </c>
      <c r="F251" s="271">
        <f>NhanCong!Q$91</f>
        <v>20011.538461538461</v>
      </c>
      <c r="G251" s="905">
        <f>Dcu!O$104*0.4</f>
        <v>3067.5955128205123</v>
      </c>
      <c r="H251" s="905">
        <f>VLieu!M$70</f>
        <v>75745.02</v>
      </c>
      <c r="I251" s="905"/>
      <c r="J251" s="905"/>
      <c r="K251" s="905">
        <f t="shared" si="86"/>
        <v>217228.97622435901</v>
      </c>
      <c r="L251" s="905">
        <f t="shared" si="84"/>
        <v>54307.244056089752</v>
      </c>
      <c r="M251" s="906">
        <f t="shared" si="85"/>
        <v>271536.22028044879</v>
      </c>
      <c r="N251" s="905"/>
      <c r="O251" s="271">
        <f>'DGSP_chitiet (truKH)'!K251</f>
        <v>217228.97622435901</v>
      </c>
      <c r="P251" s="271">
        <f>'DGSP_chitiet (truKH)'!L251</f>
        <v>54307.244056089752</v>
      </c>
      <c r="Q251" s="306">
        <f>'DGSP_chitiet (truKH)'!M251</f>
        <v>271536.22028044879</v>
      </c>
      <c r="R251" s="271">
        <f>'DGSP_chitiet (truKH)'!N251</f>
        <v>0</v>
      </c>
      <c r="S251" s="905">
        <f>NhanCong!R$90</f>
        <v>3352.25</v>
      </c>
    </row>
    <row r="252" spans="1:19">
      <c r="A252" s="1012"/>
      <c r="B252" s="1011"/>
      <c r="C252" s="1013"/>
      <c r="D252" s="274" t="s">
        <v>35</v>
      </c>
      <c r="E252" s="271">
        <f>NhanCong!Q$92</f>
        <v>141948.30650000004</v>
      </c>
      <c r="F252" s="271">
        <f>NhanCong!Q$93</f>
        <v>24013.846153846156</v>
      </c>
      <c r="G252" s="905">
        <f>Dcu!O$105*0.4</f>
        <v>3608.935897435897</v>
      </c>
      <c r="H252" s="905">
        <f>VLieu!M$70</f>
        <v>75745.02</v>
      </c>
      <c r="I252" s="905"/>
      <c r="J252" s="905"/>
      <c r="K252" s="905">
        <f t="shared" si="86"/>
        <v>245316.10855128209</v>
      </c>
      <c r="L252" s="905">
        <f t="shared" si="84"/>
        <v>61329.027137820522</v>
      </c>
      <c r="M252" s="906">
        <f t="shared" si="85"/>
        <v>306645.13568910258</v>
      </c>
      <c r="N252" s="905"/>
      <c r="O252" s="271">
        <f>'DGSP_chitiet (truKH)'!K252</f>
        <v>245316.10855128209</v>
      </c>
      <c r="P252" s="271">
        <f>'DGSP_chitiet (truKH)'!L252</f>
        <v>61329.027137820522</v>
      </c>
      <c r="Q252" s="306">
        <f>'DGSP_chitiet (truKH)'!M252</f>
        <v>306645.13568910258</v>
      </c>
      <c r="R252" s="271">
        <f>'DGSP_chitiet (truKH)'!N252</f>
        <v>0</v>
      </c>
      <c r="S252" s="905">
        <f>NhanCong!R$92</f>
        <v>4018.8076923076924</v>
      </c>
    </row>
    <row r="253" spans="1:19">
      <c r="A253" s="1012"/>
      <c r="B253" s="1011"/>
      <c r="C253" s="1013"/>
      <c r="D253" s="274" t="s">
        <v>33</v>
      </c>
      <c r="E253" s="271">
        <f>NhanCong!Q$94</f>
        <v>214297.26175000003</v>
      </c>
      <c r="F253" s="271">
        <f>NhanCong!Q$95</f>
        <v>58943.076923076922</v>
      </c>
      <c r="G253" s="905">
        <f>Dcu!O$106*0.4</f>
        <v>4511.1698717948711</v>
      </c>
      <c r="H253" s="905">
        <f>VLieu!M$70</f>
        <v>75745.02</v>
      </c>
      <c r="I253" s="905"/>
      <c r="J253" s="905"/>
      <c r="K253" s="905">
        <f t="shared" si="86"/>
        <v>353496.52854487184</v>
      </c>
      <c r="L253" s="905">
        <f t="shared" si="84"/>
        <v>88374.132136217959</v>
      </c>
      <c r="M253" s="906">
        <f t="shared" si="85"/>
        <v>441870.66068108979</v>
      </c>
      <c r="N253" s="905"/>
      <c r="O253" s="271">
        <f>'DGSP_chitiet (truKH)'!K253</f>
        <v>353496.52854487184</v>
      </c>
      <c r="P253" s="271">
        <f>'DGSP_chitiet (truKH)'!L253</f>
        <v>88374.132136217959</v>
      </c>
      <c r="Q253" s="306">
        <f>'DGSP_chitiet (truKH)'!M253</f>
        <v>441870.66068108979</v>
      </c>
      <c r="R253" s="271">
        <f>'DGSP_chitiet (truKH)'!N253</f>
        <v>0</v>
      </c>
      <c r="S253" s="905">
        <f>NhanCong!R$94</f>
        <v>6067.1346153846152</v>
      </c>
    </row>
    <row r="254" spans="1:19">
      <c r="A254" s="1012"/>
      <c r="B254" s="1011"/>
      <c r="C254" s="1013"/>
      <c r="D254" s="274" t="s">
        <v>13</v>
      </c>
      <c r="E254" s="271">
        <f>NhanCong!Q$96</f>
        <v>257087.97400000005</v>
      </c>
      <c r="F254" s="271">
        <f>NhanCong!Q$97</f>
        <v>70731.692307692312</v>
      </c>
      <c r="G254" s="905">
        <f>Dcu!O$107*0.4</f>
        <v>5629.94</v>
      </c>
      <c r="H254" s="905">
        <f>VLieu!M$70</f>
        <v>75745.02</v>
      </c>
      <c r="I254" s="905"/>
      <c r="J254" s="905"/>
      <c r="K254" s="905">
        <f t="shared" si="86"/>
        <v>409194.62630769238</v>
      </c>
      <c r="L254" s="905">
        <f t="shared" si="84"/>
        <v>102298.65657692309</v>
      </c>
      <c r="M254" s="906">
        <f t="shared" si="85"/>
        <v>511493.28288461547</v>
      </c>
      <c r="N254" s="905"/>
      <c r="O254" s="271">
        <f>'DGSP_chitiet (truKH)'!K254</f>
        <v>409194.62630769238</v>
      </c>
      <c r="P254" s="271">
        <f>'DGSP_chitiet (truKH)'!L254</f>
        <v>102298.65657692309</v>
      </c>
      <c r="Q254" s="306">
        <f>'DGSP_chitiet (truKH)'!M254</f>
        <v>511493.28288461547</v>
      </c>
      <c r="R254" s="271">
        <f>'DGSP_chitiet (truKH)'!N254</f>
        <v>0</v>
      </c>
      <c r="S254" s="905">
        <f>NhanCong!R$96</f>
        <v>7278.6153846153848</v>
      </c>
    </row>
    <row r="255" spans="1:19" ht="12.75" customHeight="1">
      <c r="A255" s="1012" t="s">
        <v>364</v>
      </c>
      <c r="B255" s="1011" t="str">
        <f>NhanCong!B$98</f>
        <v>Giao nhận Phiếu kết quả đo đạc hiện trạng thửa đất</v>
      </c>
      <c r="C255" s="1013" t="s">
        <v>317</v>
      </c>
      <c r="D255" s="274" t="s">
        <v>18</v>
      </c>
      <c r="E255" s="271">
        <f>NhanCong!Q$98</f>
        <v>146244.56275000001</v>
      </c>
      <c r="F255" s="271">
        <f>NhanCong!Q$99</f>
        <v>61926.61538461539</v>
      </c>
      <c r="G255" s="905">
        <f>Dcu!O$103*0.4</f>
        <v>2526.2551282051281</v>
      </c>
      <c r="H255" s="905">
        <f>VLieu!M$71</f>
        <v>75745.02</v>
      </c>
      <c r="I255" s="905"/>
      <c r="J255" s="905"/>
      <c r="K255" s="905">
        <f t="shared" si="86"/>
        <v>286442.45326282055</v>
      </c>
      <c r="L255" s="905">
        <f t="shared" si="84"/>
        <v>71610.613315705137</v>
      </c>
      <c r="M255" s="906">
        <f t="shared" si="85"/>
        <v>358053.0665785257</v>
      </c>
      <c r="N255" s="905"/>
      <c r="O255" s="271">
        <f>'DGSP_chitiet (truKH)'!K255</f>
        <v>286442.45326282055</v>
      </c>
      <c r="P255" s="271">
        <f>'DGSP_chitiet (truKH)'!L255</f>
        <v>71610.613315705137</v>
      </c>
      <c r="Q255" s="306">
        <f>'DGSP_chitiet (truKH)'!M255</f>
        <v>358053.0665785257</v>
      </c>
      <c r="R255" s="271">
        <f>'DGSP_chitiet (truKH)'!N255</f>
        <v>0</v>
      </c>
      <c r="S255" s="905">
        <f>NhanCong!R$98</f>
        <v>4140.4423076923076</v>
      </c>
    </row>
    <row r="256" spans="1:19">
      <c r="A256" s="1012"/>
      <c r="B256" s="1011"/>
      <c r="C256" s="1013"/>
      <c r="D256" s="274" t="s">
        <v>20</v>
      </c>
      <c r="E256" s="271">
        <f>NhanCong!Q$100</f>
        <v>172537.65100000001</v>
      </c>
      <c r="F256" s="271">
        <f>NhanCong!Q$101</f>
        <v>73060.307692307688</v>
      </c>
      <c r="G256" s="905">
        <f>Dcu!O$104*0.4</f>
        <v>3067.5955128205123</v>
      </c>
      <c r="H256" s="905">
        <f>VLieu!M$71</f>
        <v>75745.02</v>
      </c>
      <c r="I256" s="905"/>
      <c r="J256" s="905"/>
      <c r="K256" s="905">
        <f t="shared" si="86"/>
        <v>324410.57420512824</v>
      </c>
      <c r="L256" s="905">
        <f t="shared" si="84"/>
        <v>81102.643551282061</v>
      </c>
      <c r="M256" s="906">
        <f t="shared" si="85"/>
        <v>405513.2177564103</v>
      </c>
      <c r="N256" s="905"/>
      <c r="O256" s="271">
        <f>'DGSP_chitiet (truKH)'!K256</f>
        <v>324410.57420512824</v>
      </c>
      <c r="P256" s="271">
        <f>'DGSP_chitiet (truKH)'!L256</f>
        <v>81102.643551282061</v>
      </c>
      <c r="Q256" s="306">
        <f>'DGSP_chitiet (truKH)'!M256</f>
        <v>405513.2177564103</v>
      </c>
      <c r="R256" s="271">
        <f>'DGSP_chitiet (truKH)'!N256</f>
        <v>0</v>
      </c>
      <c r="S256" s="905">
        <f>NhanCong!R$100</f>
        <v>4884.8461538461534</v>
      </c>
    </row>
    <row r="257" spans="1:19">
      <c r="A257" s="1012"/>
      <c r="B257" s="1011"/>
      <c r="C257" s="1013"/>
      <c r="D257" s="274" t="s">
        <v>35</v>
      </c>
      <c r="E257" s="271">
        <f>NhanCong!Q$102</f>
        <v>206907.701</v>
      </c>
      <c r="F257" s="271">
        <f>NhanCong!Q$103</f>
        <v>87614.153846153844</v>
      </c>
      <c r="G257" s="905">
        <f>Dcu!O$105*0.4</f>
        <v>3608.935897435897</v>
      </c>
      <c r="H257" s="905">
        <f>VLieu!M$71</f>
        <v>75745.02</v>
      </c>
      <c r="I257" s="905"/>
      <c r="J257" s="905"/>
      <c r="K257" s="905">
        <f t="shared" si="86"/>
        <v>373875.81074358977</v>
      </c>
      <c r="L257" s="905">
        <f t="shared" si="84"/>
        <v>93468.952685897442</v>
      </c>
      <c r="M257" s="906">
        <f t="shared" si="85"/>
        <v>467344.76342948724</v>
      </c>
      <c r="N257" s="905"/>
      <c r="O257" s="271">
        <f>'DGSP_chitiet (truKH)'!K257</f>
        <v>373875.81074358977</v>
      </c>
      <c r="P257" s="271">
        <f>'DGSP_chitiet (truKH)'!L257</f>
        <v>93468.952685897442</v>
      </c>
      <c r="Q257" s="306">
        <f>'DGSP_chitiet (truKH)'!M257</f>
        <v>467344.76342948724</v>
      </c>
      <c r="R257" s="271">
        <f>'DGSP_chitiet (truKH)'!N257</f>
        <v>0</v>
      </c>
      <c r="S257" s="905">
        <f>NhanCong!R$102</f>
        <v>5857.9230769230762</v>
      </c>
    </row>
    <row r="258" spans="1:19">
      <c r="A258" s="1012"/>
      <c r="B258" s="1011"/>
      <c r="C258" s="1013"/>
      <c r="D258" s="274" t="s">
        <v>33</v>
      </c>
      <c r="E258" s="271">
        <f>NhanCong!Q$104</f>
        <v>312423.75450000004</v>
      </c>
      <c r="F258" s="271">
        <f>NhanCong!Q$105</f>
        <v>132294.46153846153</v>
      </c>
      <c r="G258" s="905">
        <f>Dcu!O$106*0.4</f>
        <v>4511.1698717948711</v>
      </c>
      <c r="H258" s="905">
        <f>VLieu!M$71</f>
        <v>75745.02</v>
      </c>
      <c r="I258" s="905"/>
      <c r="J258" s="905"/>
      <c r="K258" s="905">
        <f t="shared" si="86"/>
        <v>524974.40591025644</v>
      </c>
      <c r="L258" s="905">
        <f t="shared" si="84"/>
        <v>131243.60147756411</v>
      </c>
      <c r="M258" s="906">
        <f t="shared" si="85"/>
        <v>656218.00738782051</v>
      </c>
      <c r="N258" s="905"/>
      <c r="O258" s="271">
        <f>'DGSP_chitiet (truKH)'!K258</f>
        <v>524974.40591025644</v>
      </c>
      <c r="P258" s="271">
        <f>'DGSP_chitiet (truKH)'!L258</f>
        <v>131243.60147756411</v>
      </c>
      <c r="Q258" s="306">
        <f>'DGSP_chitiet (truKH)'!M258</f>
        <v>656218.00738782051</v>
      </c>
      <c r="R258" s="271">
        <f>'DGSP_chitiet (truKH)'!N258</f>
        <v>0</v>
      </c>
      <c r="S258" s="905">
        <f>NhanCong!R$104</f>
        <v>8845.2692307692305</v>
      </c>
    </row>
    <row r="259" spans="1:19">
      <c r="A259" s="1012"/>
      <c r="B259" s="1011"/>
      <c r="C259" s="1013"/>
      <c r="D259" s="274" t="s">
        <v>13</v>
      </c>
      <c r="E259" s="271">
        <f>NhanCong!Q$106</f>
        <v>374977.24550000002</v>
      </c>
      <c r="F259" s="271">
        <f>NhanCong!Q$107</f>
        <v>158782.46153846156</v>
      </c>
      <c r="G259" s="905">
        <f>Dcu!O$107*0.4</f>
        <v>5629.94</v>
      </c>
      <c r="H259" s="905">
        <f>VLieu!M$71</f>
        <v>75745.02</v>
      </c>
      <c r="I259" s="905"/>
      <c r="J259" s="905"/>
      <c r="K259" s="905">
        <f t="shared" si="86"/>
        <v>615134.66703846154</v>
      </c>
      <c r="L259" s="905">
        <f t="shared" si="84"/>
        <v>153783.66675961539</v>
      </c>
      <c r="M259" s="906">
        <f t="shared" si="85"/>
        <v>768918.33379807696</v>
      </c>
      <c r="N259" s="905"/>
      <c r="O259" s="271">
        <f>'DGSP_chitiet (truKH)'!K259</f>
        <v>615134.66703846154</v>
      </c>
      <c r="P259" s="271">
        <f>'DGSP_chitiet (truKH)'!L259</f>
        <v>153783.66675961539</v>
      </c>
      <c r="Q259" s="306">
        <f>'DGSP_chitiet (truKH)'!M259</f>
        <v>768918.33379807696</v>
      </c>
      <c r="R259" s="271">
        <f>'DGSP_chitiet (truKH)'!N259</f>
        <v>0</v>
      </c>
      <c r="S259" s="905">
        <f>NhanCong!R$106</f>
        <v>10616.26923076923</v>
      </c>
    </row>
    <row r="260" spans="1:19">
      <c r="A260" s="1012"/>
      <c r="B260" s="1011"/>
      <c r="C260" s="1013"/>
      <c r="D260" s="274"/>
      <c r="E260" s="271"/>
      <c r="F260" s="271"/>
      <c r="G260" s="905"/>
      <c r="H260" s="905"/>
      <c r="I260" s="905"/>
      <c r="J260" s="905"/>
      <c r="K260" s="905"/>
      <c r="L260" s="905"/>
      <c r="M260" s="906"/>
      <c r="N260" s="905"/>
      <c r="O260" s="271">
        <f>'DGSP_chitiet (truKH)'!K260</f>
        <v>0</v>
      </c>
      <c r="P260" s="271">
        <f>'DGSP_chitiet (truKH)'!L260</f>
        <v>0</v>
      </c>
      <c r="Q260" s="306">
        <f>'DGSP_chitiet (truKH)'!M260</f>
        <v>0</v>
      </c>
      <c r="R260" s="271">
        <f>'DGSP_chitiet (truKH)'!N260</f>
        <v>0</v>
      </c>
      <c r="S260" s="905"/>
    </row>
    <row r="261" spans="1:19" ht="13.5" customHeight="1">
      <c r="A261" s="242">
        <v>2</v>
      </c>
      <c r="B261" s="276" t="s">
        <v>58</v>
      </c>
      <c r="C261" s="274" t="s">
        <v>43</v>
      </c>
      <c r="D261" s="274"/>
      <c r="E261" s="271">
        <f>NhanCong!Q$108</f>
        <v>0</v>
      </c>
      <c r="F261" s="271"/>
      <c r="G261" s="905"/>
      <c r="H261" s="905"/>
      <c r="I261" s="905"/>
      <c r="J261" s="905"/>
      <c r="K261" s="905">
        <f>E261+F261+G261+I261+J261</f>
        <v>0</v>
      </c>
      <c r="L261" s="905"/>
      <c r="M261" s="906"/>
      <c r="N261" s="905"/>
      <c r="O261" s="271">
        <f>'DGSP_chitiet (truKH)'!K261</f>
        <v>0</v>
      </c>
      <c r="P261" s="271">
        <f>'DGSP_chitiet (truKH)'!L261</f>
        <v>0</v>
      </c>
      <c r="Q261" s="306">
        <f>'DGSP_chitiet (truKH)'!M261</f>
        <v>0</v>
      </c>
      <c r="R261" s="271">
        <f>'DGSP_chitiet (truKH)'!N261</f>
        <v>0</v>
      </c>
      <c r="S261" s="905"/>
    </row>
    <row r="262" spans="1:19">
      <c r="A262" s="1012" t="s">
        <v>268</v>
      </c>
      <c r="B262" s="1011" t="str">
        <f>NhanCong!B$109</f>
        <v>Biên tập bản đồ địa chính</v>
      </c>
      <c r="C262" s="1013" t="s">
        <v>317</v>
      </c>
      <c r="D262" s="274" t="s">
        <v>18</v>
      </c>
      <c r="E262" s="271">
        <f>NhanCong!Q$109</f>
        <v>218868.47840000002</v>
      </c>
      <c r="F262" s="271"/>
      <c r="G262" s="905">
        <f>Dcu!O$123</f>
        <v>1142.8892247521367</v>
      </c>
      <c r="H262" s="905">
        <f>VLieu!M$90</f>
        <v>57087.8</v>
      </c>
      <c r="I262" s="905">
        <f>TBi!N$101</f>
        <v>18169.093057142858</v>
      </c>
      <c r="J262" s="905">
        <f>TBi!N$107</f>
        <v>7817.7119999999995</v>
      </c>
      <c r="K262" s="905">
        <f>SUM(E262:J262)</f>
        <v>303085.97268189501</v>
      </c>
      <c r="L262" s="905">
        <f>K262*0.15</f>
        <v>45462.895902284254</v>
      </c>
      <c r="M262" s="906">
        <f>K262+L262</f>
        <v>348548.86858417926</v>
      </c>
      <c r="N262" s="905"/>
      <c r="O262" s="271">
        <f>'DGSP_chitiet (truKH)'!K262</f>
        <v>284916.87962475215</v>
      </c>
      <c r="P262" s="271">
        <f>'DGSP_chitiet (truKH)'!L262</f>
        <v>42737.53194371282</v>
      </c>
      <c r="Q262" s="306">
        <f>'DGSP_chitiet (truKH)'!M262</f>
        <v>327654.41156846494</v>
      </c>
      <c r="R262" s="271">
        <f>'DGSP_chitiet (truKH)'!N262</f>
        <v>0</v>
      </c>
      <c r="S262" s="905">
        <f>NhanCong!R$109</f>
        <v>6196.5538461538463</v>
      </c>
    </row>
    <row r="263" spans="1:19">
      <c r="A263" s="1012"/>
      <c r="B263" s="1011"/>
      <c r="C263" s="1013"/>
      <c r="D263" s="274" t="s">
        <v>20</v>
      </c>
      <c r="E263" s="271">
        <f>NhanCong!Q$110</f>
        <v>273585.59800000006</v>
      </c>
      <c r="F263" s="271"/>
      <c r="G263" s="905">
        <f>Dcu!O$124</f>
        <v>1428.611530940171</v>
      </c>
      <c r="H263" s="905">
        <f>VLieu!M$90</f>
        <v>57087.8</v>
      </c>
      <c r="I263" s="905">
        <f>TBi!O$101</f>
        <v>21673.290514285716</v>
      </c>
      <c r="J263" s="905">
        <f>TBi!O$107</f>
        <v>9375.9120000000003</v>
      </c>
      <c r="K263" s="905">
        <f>SUM(E263:J263)</f>
        <v>363151.21204522596</v>
      </c>
      <c r="L263" s="905">
        <f>K263*0.15</f>
        <v>54472.68180678389</v>
      </c>
      <c r="M263" s="906">
        <f>K263+L263</f>
        <v>417623.89385200985</v>
      </c>
      <c r="N263" s="905"/>
      <c r="O263" s="271">
        <f>'DGSP_chitiet (truKH)'!K263</f>
        <v>341477.92153094022</v>
      </c>
      <c r="P263" s="271">
        <f>'DGSP_chitiet (truKH)'!L263</f>
        <v>51221.688229641033</v>
      </c>
      <c r="Q263" s="306">
        <f>'DGSP_chitiet (truKH)'!M263</f>
        <v>392699.60976058128</v>
      </c>
      <c r="R263" s="271">
        <f>'DGSP_chitiet (truKH)'!N263</f>
        <v>0</v>
      </c>
      <c r="S263" s="905">
        <f>NhanCong!R$110</f>
        <v>7745.6923076923067</v>
      </c>
    </row>
    <row r="264" spans="1:19">
      <c r="A264" s="1012"/>
      <c r="B264" s="1011"/>
      <c r="C264" s="1013"/>
      <c r="D264" s="274" t="s">
        <v>35</v>
      </c>
      <c r="E264" s="271">
        <f>NhanCong!Q$111</f>
        <v>342050.73760000005</v>
      </c>
      <c r="F264" s="271"/>
      <c r="G264" s="905">
        <f>Dcu!O$125</f>
        <v>1785.7644136752135</v>
      </c>
      <c r="H264" s="905">
        <f>VLieu!M$90</f>
        <v>57087.8</v>
      </c>
      <c r="I264" s="905">
        <f>TBi!P$101</f>
        <v>28336.181657142854</v>
      </c>
      <c r="J264" s="905">
        <f>TBi!P$107</f>
        <v>12298.2048</v>
      </c>
      <c r="K264" s="905">
        <f>SUM(E264:J264)</f>
        <v>441558.68847081816</v>
      </c>
      <c r="L264" s="905">
        <f>K264*0.15</f>
        <v>66233.803270622724</v>
      </c>
      <c r="M264" s="906">
        <f>K264+L264</f>
        <v>507792.4917414409</v>
      </c>
      <c r="N264" s="905"/>
      <c r="O264" s="271">
        <f>'DGSP_chitiet (truKH)'!K264</f>
        <v>413222.50681367528</v>
      </c>
      <c r="P264" s="271">
        <f>'DGSP_chitiet (truKH)'!L264</f>
        <v>61983.376022051292</v>
      </c>
      <c r="Q264" s="306">
        <f>'DGSP_chitiet (truKH)'!M264</f>
        <v>475205.8828357266</v>
      </c>
      <c r="R264" s="271">
        <f>'DGSP_chitiet (truKH)'!N264</f>
        <v>0</v>
      </c>
      <c r="S264" s="905">
        <f>NhanCong!R$111</f>
        <v>9684.0615384615376</v>
      </c>
    </row>
    <row r="265" spans="1:19">
      <c r="A265" s="1012"/>
      <c r="B265" s="1011"/>
      <c r="C265" s="1013"/>
      <c r="D265" s="274" t="s">
        <v>33</v>
      </c>
      <c r="E265" s="271">
        <f>NhanCong!Q$112</f>
        <v>427563.42200000008</v>
      </c>
      <c r="F265" s="271"/>
      <c r="G265" s="905">
        <f>Dcu!O$126</f>
        <v>2232.2055170940171</v>
      </c>
      <c r="H265" s="905">
        <f>VLieu!M$90</f>
        <v>57087.8</v>
      </c>
      <c r="I265" s="905">
        <f>TBi!Q$101</f>
        <v>35416.094400000002</v>
      </c>
      <c r="J265" s="905">
        <f>TBi!Q$107</f>
        <v>15397.6872</v>
      </c>
      <c r="K265" s="905">
        <f>SUM(E265:J265)</f>
        <v>537697.20911709405</v>
      </c>
      <c r="L265" s="905">
        <f>K265*0.15</f>
        <v>80654.581367564111</v>
      </c>
      <c r="M265" s="906">
        <f>K265+L265</f>
        <v>618351.79048465821</v>
      </c>
      <c r="N265" s="905"/>
      <c r="O265" s="271">
        <f>'DGSP_chitiet (truKH)'!K265</f>
        <v>502281.11471709405</v>
      </c>
      <c r="P265" s="271">
        <f>'DGSP_chitiet (truKH)'!L265</f>
        <v>75342.167207564111</v>
      </c>
      <c r="Q265" s="306">
        <f>'DGSP_chitiet (truKH)'!M265</f>
        <v>577623.28192465822</v>
      </c>
      <c r="R265" s="271">
        <f>'DGSP_chitiet (truKH)'!N265</f>
        <v>0</v>
      </c>
      <c r="S265" s="905">
        <f>NhanCong!R$112</f>
        <v>12105.076923076922</v>
      </c>
    </row>
    <row r="266" spans="1:19">
      <c r="A266" s="1012"/>
      <c r="B266" s="1011"/>
      <c r="C266" s="1013"/>
      <c r="D266" s="274" t="s">
        <v>13</v>
      </c>
      <c r="E266" s="271">
        <f>NhanCong!Q$113</f>
        <v>534523.01760000014</v>
      </c>
      <c r="F266" s="271"/>
      <c r="G266" s="905">
        <f>Dcu!O$127</f>
        <v>2785.7924853333334</v>
      </c>
      <c r="H266" s="905">
        <f>VLieu!M$90</f>
        <v>57087.8</v>
      </c>
      <c r="I266" s="905">
        <f>TBi!R$101</f>
        <v>44252.788314285717</v>
      </c>
      <c r="J266" s="905">
        <f>TBi!R$107</f>
        <v>19240.653600000001</v>
      </c>
      <c r="K266" s="905">
        <f>SUM(E266:J266)</f>
        <v>657890.05199961911</v>
      </c>
      <c r="L266" s="905">
        <f>K266*0.15</f>
        <v>98683.507799942861</v>
      </c>
      <c r="M266" s="906">
        <f>K266+L266</f>
        <v>756573.55979956198</v>
      </c>
      <c r="N266" s="905"/>
      <c r="O266" s="271">
        <f>'DGSP_chitiet (truKH)'!K266</f>
        <v>613637.26368533343</v>
      </c>
      <c r="P266" s="271">
        <f>'DGSP_chitiet (truKH)'!L266</f>
        <v>92045.589552800011</v>
      </c>
      <c r="Q266" s="306">
        <f>'DGSP_chitiet (truKH)'!M266</f>
        <v>705682.85323813348</v>
      </c>
      <c r="R266" s="271">
        <f>'DGSP_chitiet (truKH)'!N266</f>
        <v>0</v>
      </c>
      <c r="S266" s="905">
        <f>NhanCong!R$113</f>
        <v>15133.292307692307</v>
      </c>
    </row>
    <row r="267" spans="1:19" ht="26">
      <c r="A267" s="969">
        <v>2.2000000000000002</v>
      </c>
      <c r="B267" s="970" t="str">
        <f>NhanCong!B$114</f>
        <v>Lập Phiếu xác nhận kết quả đo đạc hiện trạng thửa đất</v>
      </c>
      <c r="C267" s="274" t="s">
        <v>317</v>
      </c>
      <c r="D267" s="274" t="s">
        <v>15</v>
      </c>
      <c r="E267" s="271">
        <f>NhanCong!Q$114</f>
        <v>206220.30000000005</v>
      </c>
      <c r="F267" s="271"/>
      <c r="G267" s="905">
        <f>Dcu!O$138</f>
        <v>1075.2020991452989</v>
      </c>
      <c r="H267" s="905">
        <f>VLieu!M$91</f>
        <v>46708.200000000004</v>
      </c>
      <c r="I267" s="905">
        <f>TBi!N$138</f>
        <v>5562.5571428571429</v>
      </c>
      <c r="J267" s="905">
        <f>TBi!N$141</f>
        <v>7292.3760000000011</v>
      </c>
      <c r="K267" s="905">
        <f t="shared" ref="K267:K272" si="87">SUM(E267:J267)</f>
        <v>266858.63524200249</v>
      </c>
      <c r="L267" s="905">
        <f t="shared" ref="L267:L272" si="88">K267*0.15</f>
        <v>40028.795286300374</v>
      </c>
      <c r="M267" s="906">
        <f t="shared" ref="M267:M272" si="89">K267+L267</f>
        <v>306887.43052830285</v>
      </c>
      <c r="N267" s="905"/>
      <c r="O267" s="271">
        <f>'DGSP_chitiet (truKH)'!K267</f>
        <v>261296.07809914535</v>
      </c>
      <c r="P267" s="271">
        <f>'DGSP_chitiet (truKH)'!L267</f>
        <v>39194.4117148718</v>
      </c>
      <c r="Q267" s="306">
        <f>'DGSP_chitiet (truKH)'!M267</f>
        <v>300490.48981401714</v>
      </c>
      <c r="R267" s="271">
        <f>'DGSP_chitiet (truKH)'!N267</f>
        <v>0</v>
      </c>
      <c r="S267" s="905">
        <f>NhanCong!R$114</f>
        <v>5838.461538461539</v>
      </c>
    </row>
    <row r="268" spans="1:19" ht="26">
      <c r="A268" s="969" t="s">
        <v>246</v>
      </c>
      <c r="B268" s="970" t="str">
        <f>NhanCong!B$115</f>
        <v>Công khai bản đồ địa chính, Hoàn thiện bản đồ địa chính</v>
      </c>
      <c r="C268" s="274" t="s">
        <v>317</v>
      </c>
      <c r="D268" s="274" t="s">
        <v>15</v>
      </c>
      <c r="E268" s="271">
        <f>NhanCong!Q$115</f>
        <v>192472.28000000003</v>
      </c>
      <c r="F268" s="271"/>
      <c r="G268" s="905">
        <f>Dcu!O$130</f>
        <v>1017.8857157948717</v>
      </c>
      <c r="H268" s="905">
        <f>VLieu!M$94</f>
        <v>20759.2</v>
      </c>
      <c r="I268" s="905">
        <f>TBi!N$164</f>
        <v>5191.7200000000012</v>
      </c>
      <c r="J268" s="905">
        <f>TBi!N$167</f>
        <v>6806.2175999999999</v>
      </c>
      <c r="K268" s="905">
        <f t="shared" si="87"/>
        <v>226247.30331579491</v>
      </c>
      <c r="L268" s="905">
        <f t="shared" si="88"/>
        <v>33937.095497369235</v>
      </c>
      <c r="M268" s="906">
        <f t="shared" si="89"/>
        <v>260184.39881316415</v>
      </c>
      <c r="N268" s="905"/>
      <c r="O268" s="271">
        <f>'DGSP_chitiet (truKH)'!K268</f>
        <v>221055.58331579491</v>
      </c>
      <c r="P268" s="271">
        <f>'DGSP_chitiet (truKH)'!L268</f>
        <v>33158.337497369233</v>
      </c>
      <c r="Q268" s="306">
        <f>'DGSP_chitiet (truKH)'!M268</f>
        <v>254213.92081316415</v>
      </c>
      <c r="R268" s="271">
        <f>'DGSP_chitiet (truKH)'!N268</f>
        <v>0</v>
      </c>
      <c r="S268" s="905">
        <f>NhanCong!R$115</f>
        <v>5449.2307692307686</v>
      </c>
    </row>
    <row r="269" spans="1:19">
      <c r="A269" s="969">
        <v>2.4</v>
      </c>
      <c r="B269" s="970" t="str">
        <f>NhanCong!B$116</f>
        <v>Lập sổ mục kê đất đai phạm vi khu đo</v>
      </c>
      <c r="C269" s="274" t="s">
        <v>317</v>
      </c>
      <c r="D269" s="274" t="s">
        <v>15</v>
      </c>
      <c r="E269" s="271">
        <f>NhanCong!Q$116</f>
        <v>22684.233000000004</v>
      </c>
      <c r="F269" s="271"/>
      <c r="G269" s="905">
        <f>Dcu!O$140</f>
        <v>535.72932410256408</v>
      </c>
      <c r="H269" s="905">
        <f>VLieu!M$94</f>
        <v>20759.2</v>
      </c>
      <c r="I269" s="905"/>
      <c r="J269" s="905"/>
      <c r="K269" s="905">
        <f t="shared" si="87"/>
        <v>43979.162324102566</v>
      </c>
      <c r="L269" s="905">
        <f t="shared" si="88"/>
        <v>6596.8743486153844</v>
      </c>
      <c r="M269" s="906">
        <f t="shared" si="89"/>
        <v>50576.03667271795</v>
      </c>
      <c r="N269" s="905"/>
      <c r="O269" s="271">
        <f>'DGSP_chitiet (truKH)'!K269</f>
        <v>43979.162324102566</v>
      </c>
      <c r="P269" s="271">
        <f>'DGSP_chitiet (truKH)'!L269</f>
        <v>6596.8743486153844</v>
      </c>
      <c r="Q269" s="306">
        <f>'DGSP_chitiet (truKH)'!M269</f>
        <v>50576.03667271795</v>
      </c>
      <c r="R269" s="271">
        <f>'DGSP_chitiet (truKH)'!N269</f>
        <v>0</v>
      </c>
      <c r="S269" s="905">
        <f>NhanCong!R$116</f>
        <v>642.23076923076917</v>
      </c>
    </row>
    <row r="270" spans="1:19" ht="39">
      <c r="A270" s="969">
        <v>2.5</v>
      </c>
      <c r="B270" s="970" t="str">
        <f>NhanCong!B$117</f>
        <v>In sản phẩm đo đạc lập bản đồ địa chính gồm sản phẩm chính và sản phẩm trung gian</v>
      </c>
      <c r="C270" s="274" t="s">
        <v>317</v>
      </c>
      <c r="D270" s="274" t="s">
        <v>15</v>
      </c>
      <c r="E270" s="271">
        <f>NhanCong!Q$117</f>
        <v>9348.6536000000015</v>
      </c>
      <c r="F270" s="271"/>
      <c r="G270" s="905">
        <f>Dcu!O$152</f>
        <v>555.88608205128207</v>
      </c>
      <c r="H270" s="905">
        <f>VLieu!M$102</f>
        <v>2647.2</v>
      </c>
      <c r="I270" s="905">
        <f>TBi!N$192</f>
        <v>345.3719142857143</v>
      </c>
      <c r="J270" s="905">
        <f>TBi!N$196</f>
        <v>364.17360000000002</v>
      </c>
      <c r="K270" s="905">
        <f t="shared" si="87"/>
        <v>13261.285196336998</v>
      </c>
      <c r="L270" s="905">
        <f t="shared" si="88"/>
        <v>1989.1927794505496</v>
      </c>
      <c r="M270" s="906">
        <f t="shared" si="89"/>
        <v>15250.477975787548</v>
      </c>
      <c r="N270" s="905"/>
      <c r="O270" s="271">
        <f>'DGSP_chitiet (truKH)'!K270</f>
        <v>12915.913282051284</v>
      </c>
      <c r="P270" s="271">
        <f>'DGSP_chitiet (truKH)'!L270</f>
        <v>1937.3869923076925</v>
      </c>
      <c r="Q270" s="306">
        <f>'DGSP_chitiet (truKH)'!M270</f>
        <v>14853.300274358977</v>
      </c>
      <c r="R270" s="271">
        <f>'DGSP_chitiet (truKH)'!N270</f>
        <v>0</v>
      </c>
      <c r="S270" s="905">
        <f>NhanCong!R$117</f>
        <v>264.67692307692306</v>
      </c>
    </row>
    <row r="271" spans="1:19">
      <c r="A271" s="243">
        <v>2.6</v>
      </c>
      <c r="B271" s="970" t="str">
        <f>NhanCong!B$118</f>
        <v>Trình ký xác nhận hồ sơ</v>
      </c>
      <c r="C271" s="274" t="s">
        <v>317</v>
      </c>
      <c r="D271" s="274" t="s">
        <v>15</v>
      </c>
      <c r="E271" s="271">
        <f>NhanCong!Q$118</f>
        <v>10998.416000000003</v>
      </c>
      <c r="F271" s="271"/>
      <c r="G271" s="905">
        <f>Dcu!O$140</f>
        <v>535.72932410256408</v>
      </c>
      <c r="H271" s="905">
        <f>VLieu!M$94</f>
        <v>20759.2</v>
      </c>
      <c r="I271" s="905"/>
      <c r="J271" s="905"/>
      <c r="K271" s="905">
        <f t="shared" si="87"/>
        <v>32293.345324102567</v>
      </c>
      <c r="L271" s="905">
        <f t="shared" si="88"/>
        <v>4844.0017986153853</v>
      </c>
      <c r="M271" s="906">
        <f t="shared" si="89"/>
        <v>37137.347122717954</v>
      </c>
      <c r="N271" s="905"/>
      <c r="O271" s="271">
        <f>'DGSP_chitiet (truKH)'!K271</f>
        <v>32293.345324102567</v>
      </c>
      <c r="P271" s="271">
        <f>'DGSP_chitiet (truKH)'!L271</f>
        <v>4844.0017986153853</v>
      </c>
      <c r="Q271" s="306">
        <f>'DGSP_chitiet (truKH)'!M271</f>
        <v>37137.347122717954</v>
      </c>
      <c r="R271" s="271">
        <f>'DGSP_chitiet (truKH)'!N271</f>
        <v>0</v>
      </c>
      <c r="S271" s="905">
        <f>NhanCong!R$118</f>
        <v>311.38461538461542</v>
      </c>
    </row>
    <row r="272" spans="1:19" ht="26">
      <c r="A272" s="243">
        <v>2.7</v>
      </c>
      <c r="B272" s="970" t="str">
        <f>NhanCong!B$119</f>
        <v>Giao nộp sản phẩm đo đạc lập bản đồ địa chính</v>
      </c>
      <c r="C272" s="274" t="s">
        <v>317</v>
      </c>
      <c r="D272" s="274" t="s">
        <v>15</v>
      </c>
      <c r="E272" s="271">
        <f>NhanCong!Q$119</f>
        <v>23371.634000000005</v>
      </c>
      <c r="F272" s="271"/>
      <c r="G272" s="905">
        <f>Dcu!O$154</f>
        <v>27.794304102564105</v>
      </c>
      <c r="H272" s="905">
        <f>VLieu!M$94</f>
        <v>20759.2</v>
      </c>
      <c r="I272" s="905"/>
      <c r="J272" s="905"/>
      <c r="K272" s="905">
        <f t="shared" si="87"/>
        <v>44158.628304102574</v>
      </c>
      <c r="L272" s="905">
        <f t="shared" si="88"/>
        <v>6623.794245615386</v>
      </c>
      <c r="M272" s="906">
        <f t="shared" si="89"/>
        <v>50782.422549717958</v>
      </c>
      <c r="N272" s="905"/>
      <c r="O272" s="271">
        <f>'DGSP_chitiet (truKH)'!K272</f>
        <v>44158.628304102574</v>
      </c>
      <c r="P272" s="271">
        <f>'DGSP_chitiet (truKH)'!L272</f>
        <v>6623.794245615386</v>
      </c>
      <c r="Q272" s="306">
        <f>'DGSP_chitiet (truKH)'!M272</f>
        <v>50782.422549717958</v>
      </c>
      <c r="R272" s="271">
        <f>'DGSP_chitiet (truKH)'!N272</f>
        <v>0</v>
      </c>
      <c r="S272" s="905">
        <f>NhanCong!R$119</f>
        <v>661.69230769230762</v>
      </c>
    </row>
    <row r="273" spans="1:19">
      <c r="A273" s="242" t="s">
        <v>30</v>
      </c>
      <c r="B273" s="276" t="s">
        <v>47</v>
      </c>
      <c r="C273" s="243"/>
      <c r="D273" s="243"/>
      <c r="E273" s="271"/>
      <c r="F273" s="271"/>
      <c r="G273" s="271"/>
      <c r="H273" s="271"/>
      <c r="I273" s="271"/>
      <c r="J273" s="271"/>
      <c r="K273" s="271"/>
      <c r="L273" s="271"/>
      <c r="M273" s="975">
        <v>100</v>
      </c>
      <c r="N273" s="972" t="s">
        <v>21</v>
      </c>
      <c r="O273" s="271">
        <f>'DGSP_chitiet (truKH)'!K273</f>
        <v>0</v>
      </c>
      <c r="P273" s="271">
        <f>'DGSP_chitiet (truKH)'!L273</f>
        <v>0</v>
      </c>
      <c r="Q273" s="306">
        <f>'DGSP_chitiet (truKH)'!M273</f>
        <v>100</v>
      </c>
      <c r="R273" s="271" t="str">
        <f>'DGSP_chitiet (truKH)'!N273</f>
        <v>ha</v>
      </c>
      <c r="S273" s="271"/>
    </row>
    <row r="274" spans="1:19" s="232" customFormat="1" ht="13.5" customHeight="1">
      <c r="A274" s="1005"/>
      <c r="B274" s="1014" t="s">
        <v>190</v>
      </c>
      <c r="C274" s="1005" t="s">
        <v>21</v>
      </c>
      <c r="D274" s="242">
        <v>1</v>
      </c>
      <c r="E274" s="271">
        <f t="shared" ref="E274:J274" si="90">SUM(E$308,E309,E314,E319,E324,E329)</f>
        <v>1030883.9832500002</v>
      </c>
      <c r="F274" s="271">
        <f t="shared" si="90"/>
        <v>109754.1923076923</v>
      </c>
      <c r="G274" s="271">
        <f t="shared" si="90"/>
        <v>8279.0125747863221</v>
      </c>
      <c r="H274" s="271">
        <f t="shared" si="90"/>
        <v>17580.565000000002</v>
      </c>
      <c r="I274" s="271">
        <f t="shared" si="90"/>
        <v>9325.1257142857139</v>
      </c>
      <c r="J274" s="271">
        <f t="shared" si="90"/>
        <v>22.037399999999998</v>
      </c>
      <c r="K274" s="271">
        <f t="shared" ref="K274:K283" si="91">SUM(E274:J274)</f>
        <v>1175844.9162467646</v>
      </c>
      <c r="L274" s="271">
        <f>K274*0.25</f>
        <v>293961.22906169115</v>
      </c>
      <c r="M274" s="272">
        <f t="shared" ref="M274:M283" si="92">K274+L274</f>
        <v>1469806.1453084557</v>
      </c>
      <c r="N274" s="271">
        <f>M274+M279</f>
        <v>1911484.3722653082</v>
      </c>
      <c r="O274" s="271">
        <f>'DGSP_chitiet (truKH)'!K274</f>
        <v>1166519.7905324788</v>
      </c>
      <c r="P274" s="271">
        <f>'DGSP_chitiet (truKH)'!L274</f>
        <v>291629.94763311971</v>
      </c>
      <c r="Q274" s="306">
        <f>'DGSP_chitiet (truKH)'!M274</f>
        <v>1458149.7381655986</v>
      </c>
      <c r="R274" s="271">
        <f>'DGSP_chitiet (truKH)'!N274</f>
        <v>1883639.0499317367</v>
      </c>
      <c r="S274" s="271">
        <f>SUM(S$308,S309,S314,S319,S324,S329)</f>
        <v>29109.596153846152</v>
      </c>
    </row>
    <row r="275" spans="1:19" s="232" customFormat="1" ht="15" customHeight="1">
      <c r="A275" s="1005"/>
      <c r="B275" s="1014"/>
      <c r="C275" s="1005"/>
      <c r="D275" s="242">
        <v>2</v>
      </c>
      <c r="E275" s="271">
        <f t="shared" ref="E275:J278" si="93">SUM(E$308,E310,E315,E320,E325,E330)</f>
        <v>1208018.6284375002</v>
      </c>
      <c r="F275" s="271">
        <f t="shared" si="93"/>
        <v>129656.57692307692</v>
      </c>
      <c r="G275" s="271">
        <f t="shared" si="93"/>
        <v>9711.073488247861</v>
      </c>
      <c r="H275" s="271">
        <f t="shared" si="93"/>
        <v>17580.565000000002</v>
      </c>
      <c r="I275" s="271">
        <f t="shared" si="93"/>
        <v>10974.715714285714</v>
      </c>
      <c r="J275" s="271">
        <f>SUM(J$308,J310,J315,J320,J325,J330)</f>
        <v>22.037399999999998</v>
      </c>
      <c r="K275" s="271">
        <f t="shared" si="91"/>
        <v>1375963.5969631106</v>
      </c>
      <c r="L275" s="271">
        <f>K275*0.25</f>
        <v>343990.89924077765</v>
      </c>
      <c r="M275" s="272">
        <f t="shared" si="92"/>
        <v>1719954.4962038882</v>
      </c>
      <c r="N275" s="271">
        <f>M275+M280</f>
        <v>2194040.7357195537</v>
      </c>
      <c r="O275" s="271">
        <f>'DGSP_chitiet (truKH)'!K275</f>
        <v>1364988.881248825</v>
      </c>
      <c r="P275" s="271">
        <f>'DGSP_chitiet (truKH)'!L275</f>
        <v>341247.22031220625</v>
      </c>
      <c r="Q275" s="306">
        <f>'DGSP_chitiet (truKH)'!M275</f>
        <v>1706236.1015610313</v>
      </c>
      <c r="R275" s="271">
        <f>'DGSP_chitiet (truKH)'!N275</f>
        <v>2161754.3139113393</v>
      </c>
      <c r="S275" s="271">
        <f t="shared" ref="S275:S278" si="94">SUM(S$308,S310,S315,S320,S325,S330)</f>
        <v>34124.591346153844</v>
      </c>
    </row>
    <row r="276" spans="1:19" s="232" customFormat="1" ht="15" customHeight="1">
      <c r="A276" s="1005"/>
      <c r="B276" s="1014"/>
      <c r="C276" s="1005"/>
      <c r="D276" s="242">
        <v>3</v>
      </c>
      <c r="E276" s="271">
        <f t="shared" si="93"/>
        <v>1437524.6373125003</v>
      </c>
      <c r="F276" s="271">
        <f t="shared" si="93"/>
        <v>160674.46153846153</v>
      </c>
      <c r="G276" s="271">
        <f t="shared" si="93"/>
        <v>11143.1344017094</v>
      </c>
      <c r="H276" s="271">
        <f t="shared" si="93"/>
        <v>17580.565000000002</v>
      </c>
      <c r="I276" s="271">
        <f t="shared" si="93"/>
        <v>12984.625714285716</v>
      </c>
      <c r="J276" s="271">
        <f t="shared" si="93"/>
        <v>22.037399999999998</v>
      </c>
      <c r="K276" s="271">
        <f t="shared" si="91"/>
        <v>1639929.4613669568</v>
      </c>
      <c r="L276" s="271">
        <f>K276*0.25</f>
        <v>409982.36534173921</v>
      </c>
      <c r="M276" s="272">
        <f t="shared" si="92"/>
        <v>2049911.8267086961</v>
      </c>
      <c r="N276" s="271">
        <f>M276+M281</f>
        <v>2563050.5188885746</v>
      </c>
      <c r="O276" s="271">
        <f>'DGSP_chitiet (truKH)'!K276</f>
        <v>1626944.8356526711</v>
      </c>
      <c r="P276" s="271">
        <f>'DGSP_chitiet (truKH)'!L276</f>
        <v>406736.20891316776</v>
      </c>
      <c r="Q276" s="306">
        <f>'DGSP_chitiet (truKH)'!M276</f>
        <v>2033681.0445658388</v>
      </c>
      <c r="R276" s="271">
        <f>'DGSP_chitiet (truKH)'!N276</f>
        <v>2525396.9861667887</v>
      </c>
      <c r="S276" s="271">
        <f t="shared" si="94"/>
        <v>40622.312499999993</v>
      </c>
    </row>
    <row r="277" spans="1:19" s="232" customFormat="1" ht="15" customHeight="1">
      <c r="A277" s="1005"/>
      <c r="B277" s="1014"/>
      <c r="C277" s="1005"/>
      <c r="D277" s="242">
        <v>4</v>
      </c>
      <c r="E277" s="271">
        <f t="shared" si="93"/>
        <v>1862811.0435000004</v>
      </c>
      <c r="F277" s="271">
        <f t="shared" si="93"/>
        <v>229896.19230769231</v>
      </c>
      <c r="G277" s="271">
        <f t="shared" si="93"/>
        <v>14007.256228632479</v>
      </c>
      <c r="H277" s="271">
        <f t="shared" si="93"/>
        <v>17580.565000000002</v>
      </c>
      <c r="I277" s="271">
        <f t="shared" si="93"/>
        <v>17285.945714285714</v>
      </c>
      <c r="J277" s="271">
        <f t="shared" si="93"/>
        <v>22.037399999999998</v>
      </c>
      <c r="K277" s="271">
        <f t="shared" si="91"/>
        <v>2141603.0401506103</v>
      </c>
      <c r="L277" s="271">
        <f>K277*0.25</f>
        <v>535400.76003765257</v>
      </c>
      <c r="M277" s="272">
        <f t="shared" si="92"/>
        <v>2677003.8001882629</v>
      </c>
      <c r="N277" s="271">
        <f>M277+M282</f>
        <v>3143814.6228049779</v>
      </c>
      <c r="O277" s="271">
        <f>'DGSP_chitiet (truKH)'!K277</f>
        <v>2124317.0944363247</v>
      </c>
      <c r="P277" s="271">
        <f>'DGSP_chitiet (truKH)'!L277</f>
        <v>531079.27360908117</v>
      </c>
      <c r="Q277" s="306">
        <f>'DGSP_chitiet (truKH)'!M277</f>
        <v>2655396.368045406</v>
      </c>
      <c r="R277" s="271">
        <f>'DGSP_chitiet (truKH)'!N277</f>
        <v>3104174.000444978</v>
      </c>
      <c r="S277" s="271">
        <f t="shared" si="94"/>
        <v>52662.923076923071</v>
      </c>
    </row>
    <row r="278" spans="1:19" s="232" customFormat="1" ht="15" customHeight="1">
      <c r="A278" s="1005"/>
      <c r="B278" s="1014"/>
      <c r="C278" s="1005"/>
      <c r="D278" s="242">
        <v>5</v>
      </c>
      <c r="E278" s="271">
        <f t="shared" si="93"/>
        <v>2434771.6380625004</v>
      </c>
      <c r="F278" s="271">
        <f t="shared" si="93"/>
        <v>309578.5</v>
      </c>
      <c r="G278" s="271">
        <f t="shared" si="93"/>
        <v>17826.085331196577</v>
      </c>
      <c r="H278" s="271">
        <f t="shared" si="93"/>
        <v>17580.565000000002</v>
      </c>
      <c r="I278" s="271">
        <f t="shared" si="93"/>
        <v>23462.055714285714</v>
      </c>
      <c r="J278" s="271">
        <f t="shared" si="93"/>
        <v>22.037399999999998</v>
      </c>
      <c r="K278" s="271">
        <f t="shared" si="91"/>
        <v>2803240.8815079825</v>
      </c>
      <c r="L278" s="271">
        <f>K278*0.25</f>
        <v>700810.22037699562</v>
      </c>
      <c r="M278" s="272">
        <f t="shared" si="92"/>
        <v>3504051.1018849779</v>
      </c>
      <c r="N278" s="271">
        <f>M278+M283</f>
        <v>4017760.2901802137</v>
      </c>
      <c r="O278" s="271">
        <f>'DGSP_chitiet (truKH)'!K278</f>
        <v>2779778.8257936966</v>
      </c>
      <c r="P278" s="271">
        <f>'DGSP_chitiet (truKH)'!L278</f>
        <v>694944.70644842414</v>
      </c>
      <c r="Q278" s="306">
        <f>'DGSP_chitiet (truKH)'!M278</f>
        <v>3474723.5322421207</v>
      </c>
      <c r="R278" s="271">
        <f>'DGSP_chitiet (truKH)'!N278</f>
        <v>3966965.0283280709</v>
      </c>
      <c r="S278" s="271">
        <f t="shared" si="94"/>
        <v>68856.139423076922</v>
      </c>
    </row>
    <row r="279" spans="1:19" s="232" customFormat="1" ht="13.5" customHeight="1">
      <c r="A279" s="1005"/>
      <c r="B279" s="1014" t="s">
        <v>192</v>
      </c>
      <c r="C279" s="1005" t="s">
        <v>21</v>
      </c>
      <c r="D279" s="242">
        <v>1</v>
      </c>
      <c r="E279" s="271">
        <f t="shared" ref="E279:J283" si="95">(E335+SUM(E$340:E$345))</f>
        <v>289842.63165000005</v>
      </c>
      <c r="F279" s="271">
        <f t="shared" si="95"/>
        <v>0</v>
      </c>
      <c r="G279" s="271">
        <f t="shared" si="95"/>
        <v>2349.9168335982904</v>
      </c>
      <c r="H279" s="271">
        <f t="shared" si="95"/>
        <v>68605</v>
      </c>
      <c r="I279" s="271">
        <f t="shared" si="95"/>
        <v>14077.317557142856</v>
      </c>
      <c r="J279" s="271">
        <f t="shared" si="95"/>
        <v>9193.1574000000001</v>
      </c>
      <c r="K279" s="271">
        <f t="shared" si="91"/>
        <v>384068.02344074124</v>
      </c>
      <c r="L279" s="271">
        <f>K279*0.15</f>
        <v>57610.203516111185</v>
      </c>
      <c r="M279" s="272">
        <f t="shared" si="92"/>
        <v>441678.22695685242</v>
      </c>
      <c r="N279" s="271"/>
      <c r="O279" s="271">
        <f>'DGSP_chitiet (truKH)'!K279</f>
        <v>369990.70588359836</v>
      </c>
      <c r="P279" s="271">
        <f>'DGSP_chitiet (truKH)'!L279</f>
        <v>55498.605882539756</v>
      </c>
      <c r="Q279" s="306">
        <f>'DGSP_chitiet (truKH)'!M279</f>
        <v>425489.31176613813</v>
      </c>
      <c r="R279" s="271">
        <f>'DGSP_chitiet (truKH)'!N279</f>
        <v>0</v>
      </c>
      <c r="S279" s="271">
        <f>(S335+SUM(S$340:S$345))</f>
        <v>8205.9576923076929</v>
      </c>
    </row>
    <row r="280" spans="1:19" s="232" customFormat="1" ht="15" customHeight="1">
      <c r="A280" s="1005"/>
      <c r="B280" s="1014"/>
      <c r="C280" s="1005"/>
      <c r="D280" s="242">
        <v>2</v>
      </c>
      <c r="E280" s="271">
        <f t="shared" si="95"/>
        <v>314657.80775000004</v>
      </c>
      <c r="F280" s="271">
        <f t="shared" si="95"/>
        <v>0</v>
      </c>
      <c r="G280" s="271">
        <f t="shared" si="95"/>
        <v>2505.780598094017</v>
      </c>
      <c r="H280" s="271">
        <f t="shared" si="95"/>
        <v>68605</v>
      </c>
      <c r="I280" s="271">
        <f t="shared" si="95"/>
        <v>16146.11057857143</v>
      </c>
      <c r="J280" s="271">
        <f t="shared" si="95"/>
        <v>10334.205</v>
      </c>
      <c r="K280" s="271">
        <f t="shared" si="91"/>
        <v>412248.90392666549</v>
      </c>
      <c r="L280" s="271">
        <f>K280*0.15</f>
        <v>61837.33558899982</v>
      </c>
      <c r="M280" s="272">
        <f t="shared" si="92"/>
        <v>474086.23951566534</v>
      </c>
      <c r="N280" s="271"/>
      <c r="O280" s="271">
        <f>'DGSP_chitiet (truKH)'!K280</f>
        <v>396102.79334809404</v>
      </c>
      <c r="P280" s="271">
        <f>'DGSP_chitiet (truKH)'!L280</f>
        <v>59415.419002214105</v>
      </c>
      <c r="Q280" s="306">
        <f>'DGSP_chitiet (truKH)'!M280</f>
        <v>455518.21235030814</v>
      </c>
      <c r="R280" s="271">
        <f>'DGSP_chitiet (truKH)'!N280</f>
        <v>0</v>
      </c>
      <c r="S280" s="271">
        <f>(S336+SUM(S$340:S$345))</f>
        <v>8908.5192307692305</v>
      </c>
    </row>
    <row r="281" spans="1:19" s="232" customFormat="1" ht="15" customHeight="1">
      <c r="A281" s="1005"/>
      <c r="B281" s="1014"/>
      <c r="C281" s="1005"/>
      <c r="D281" s="242">
        <v>3</v>
      </c>
      <c r="E281" s="271">
        <f t="shared" si="95"/>
        <v>344491.01115000003</v>
      </c>
      <c r="F281" s="271">
        <f t="shared" si="95"/>
        <v>0</v>
      </c>
      <c r="G281" s="271">
        <f t="shared" si="95"/>
        <v>2716.6551030000001</v>
      </c>
      <c r="H281" s="271">
        <f t="shared" si="95"/>
        <v>68605</v>
      </c>
      <c r="I281" s="271">
        <f t="shared" si="95"/>
        <v>18628.478764285715</v>
      </c>
      <c r="J281" s="271">
        <f t="shared" si="95"/>
        <v>11766.413400000001</v>
      </c>
      <c r="K281" s="271">
        <f t="shared" si="91"/>
        <v>446207.55841728579</v>
      </c>
      <c r="L281" s="271">
        <f>K281*0.15</f>
        <v>66931.133762592872</v>
      </c>
      <c r="M281" s="272">
        <f t="shared" si="92"/>
        <v>513138.69217987865</v>
      </c>
      <c r="N281" s="271"/>
      <c r="O281" s="271">
        <f>'DGSP_chitiet (truKH)'!K281</f>
        <v>427579.07965300005</v>
      </c>
      <c r="P281" s="271">
        <f>'DGSP_chitiet (truKH)'!L281</f>
        <v>64136.861947950005</v>
      </c>
      <c r="Q281" s="306">
        <f>'DGSP_chitiet (truKH)'!M281</f>
        <v>491715.94160095009</v>
      </c>
      <c r="R281" s="271">
        <f>'DGSP_chitiet (truKH)'!N281</f>
        <v>0</v>
      </c>
      <c r="S281" s="271">
        <f>(S337+SUM(S$340:S$345))</f>
        <v>9753.1500000000015</v>
      </c>
    </row>
    <row r="282" spans="1:19" s="232" customFormat="1" ht="15" customHeight="1">
      <c r="A282" s="1005"/>
      <c r="B282" s="1014"/>
      <c r="C282" s="1005"/>
      <c r="D282" s="242">
        <v>4</v>
      </c>
      <c r="E282" s="271">
        <f t="shared" si="95"/>
        <v>308952.37945000001</v>
      </c>
      <c r="F282" s="271">
        <f t="shared" si="95"/>
        <v>0</v>
      </c>
      <c r="G282" s="271">
        <f t="shared" si="95"/>
        <v>2478.2752278888888</v>
      </c>
      <c r="H282" s="271">
        <f t="shared" si="95"/>
        <v>68605</v>
      </c>
      <c r="I282" s="271">
        <f t="shared" si="95"/>
        <v>15681.034971428571</v>
      </c>
      <c r="J282" s="271">
        <f t="shared" si="95"/>
        <v>10205.764800000001</v>
      </c>
      <c r="K282" s="271">
        <f t="shared" si="91"/>
        <v>405922.45444931748</v>
      </c>
      <c r="L282" s="271">
        <f>K282*0.15</f>
        <v>60888.368167397617</v>
      </c>
      <c r="M282" s="272">
        <f t="shared" si="92"/>
        <v>466810.8226167151</v>
      </c>
      <c r="N282" s="271"/>
      <c r="O282" s="271">
        <f>'DGSP_chitiet (truKH)'!K282</f>
        <v>390241.41947788891</v>
      </c>
      <c r="P282" s="271">
        <f>'DGSP_chitiet (truKH)'!L282</f>
        <v>58536.212921683335</v>
      </c>
      <c r="Q282" s="306">
        <f>'DGSP_chitiet (truKH)'!M282</f>
        <v>448777.63239957223</v>
      </c>
      <c r="R282" s="271">
        <f>'DGSP_chitiet (truKH)'!N282</f>
        <v>0</v>
      </c>
      <c r="S282" s="271">
        <f>(S338+SUM(S$340:S$345))</f>
        <v>8746.9884615384617</v>
      </c>
    </row>
    <row r="283" spans="1:19" s="232" customFormat="1" ht="15" customHeight="1">
      <c r="A283" s="1005"/>
      <c r="B283" s="1014"/>
      <c r="C283" s="1005"/>
      <c r="D283" s="242">
        <v>5</v>
      </c>
      <c r="E283" s="271">
        <f t="shared" si="95"/>
        <v>344834.71165000007</v>
      </c>
      <c r="F283" s="271">
        <f t="shared" si="95"/>
        <v>0</v>
      </c>
      <c r="G283" s="271">
        <f t="shared" si="95"/>
        <v>2716.6551030000001</v>
      </c>
      <c r="H283" s="271">
        <f t="shared" si="95"/>
        <v>68605</v>
      </c>
      <c r="I283" s="271">
        <f t="shared" si="95"/>
        <v>18667.558442857146</v>
      </c>
      <c r="J283" s="271">
        <f t="shared" si="95"/>
        <v>11879.716799999998</v>
      </c>
      <c r="K283" s="271">
        <f t="shared" si="91"/>
        <v>446703.64199585718</v>
      </c>
      <c r="L283" s="271">
        <f>K283*0.15</f>
        <v>67005.546299378577</v>
      </c>
      <c r="M283" s="272">
        <f t="shared" si="92"/>
        <v>513709.18829523574</v>
      </c>
      <c r="N283" s="271"/>
      <c r="O283" s="271">
        <f>'DGSP_chitiet (truKH)'!K283</f>
        <v>428036.08355300006</v>
      </c>
      <c r="P283" s="271">
        <f>'DGSP_chitiet (truKH)'!L283</f>
        <v>64205.412532950009</v>
      </c>
      <c r="Q283" s="306">
        <f>'DGSP_chitiet (truKH)'!M283</f>
        <v>492241.49608595006</v>
      </c>
      <c r="R283" s="271">
        <f>'DGSP_chitiet (truKH)'!N283</f>
        <v>0</v>
      </c>
      <c r="S283" s="271">
        <f>(S339+SUM(S$340:S$345))</f>
        <v>9762.880769230771</v>
      </c>
    </row>
    <row r="284" spans="1:19">
      <c r="A284" s="242"/>
      <c r="B284" s="965" t="s">
        <v>322</v>
      </c>
      <c r="C284" s="243"/>
      <c r="D284" s="243"/>
      <c r="E284" s="271"/>
      <c r="F284" s="271"/>
      <c r="G284" s="271"/>
      <c r="H284" s="271"/>
      <c r="I284" s="271"/>
      <c r="J284" s="271"/>
      <c r="K284" s="271"/>
      <c r="L284" s="271"/>
      <c r="M284" s="272"/>
      <c r="N284" s="271"/>
      <c r="O284" s="271">
        <f>'DGSP_chitiet (truKH)'!K284</f>
        <v>0</v>
      </c>
      <c r="P284" s="271">
        <f>'DGSP_chitiet (truKH)'!L284</f>
        <v>0</v>
      </c>
      <c r="Q284" s="306">
        <f>'DGSP_chitiet (truKH)'!M284</f>
        <v>0</v>
      </c>
      <c r="R284" s="271">
        <f>'DGSP_chitiet (truKH)'!N284</f>
        <v>0</v>
      </c>
      <c r="S284" s="271"/>
    </row>
    <row r="285" spans="1:19">
      <c r="A285" s="242" t="s">
        <v>323</v>
      </c>
      <c r="B285" s="965" t="s">
        <v>324</v>
      </c>
      <c r="C285" s="243"/>
      <c r="D285" s="243"/>
      <c r="E285" s="271"/>
      <c r="F285" s="271"/>
      <c r="G285" s="271"/>
      <c r="H285" s="271"/>
      <c r="I285" s="271"/>
      <c r="J285" s="271"/>
      <c r="K285" s="271"/>
      <c r="L285" s="271"/>
      <c r="M285" s="272"/>
      <c r="N285" s="271"/>
      <c r="O285" s="271">
        <f>'DGSP_chitiet (truKH)'!K285</f>
        <v>0</v>
      </c>
      <c r="P285" s="271">
        <f>'DGSP_chitiet (truKH)'!L285</f>
        <v>0</v>
      </c>
      <c r="Q285" s="306">
        <f>'DGSP_chitiet (truKH)'!M285</f>
        <v>0</v>
      </c>
      <c r="R285" s="271">
        <f>'DGSP_chitiet (truKH)'!N285</f>
        <v>0</v>
      </c>
      <c r="S285" s="271"/>
    </row>
    <row r="286" spans="1:19" s="232" customFormat="1" ht="13.5" customHeight="1">
      <c r="A286" s="1005"/>
      <c r="B286" s="1014" t="s">
        <v>190</v>
      </c>
      <c r="C286" s="1005" t="s">
        <v>21</v>
      </c>
      <c r="D286" s="242">
        <v>1</v>
      </c>
      <c r="E286" s="271">
        <f t="shared" ref="E286:F295" si="96">E274*0.1</f>
        <v>103088.39832500002</v>
      </c>
      <c r="F286" s="271">
        <f t="shared" si="96"/>
        <v>10975.41923076923</v>
      </c>
      <c r="G286" s="976">
        <f>G319*0.1/$M$273</f>
        <v>2.7931078792735038</v>
      </c>
      <c r="H286" s="271">
        <f t="shared" ref="H286:I290" si="97">H274*0.1</f>
        <v>1758.0565000000004</v>
      </c>
      <c r="I286" s="271">
        <f t="shared" si="97"/>
        <v>932.51257142857139</v>
      </c>
      <c r="J286" s="271">
        <f>J319*0.1/$M$273</f>
        <v>0</v>
      </c>
      <c r="K286" s="271">
        <f t="shared" ref="K286:K295" si="98">SUM(E286:J286)</f>
        <v>116757.17973507709</v>
      </c>
      <c r="L286" s="271">
        <f>K286*0.25</f>
        <v>29189.294933769273</v>
      </c>
      <c r="M286" s="272">
        <f t="shared" ref="M286:M295" si="99">K286+L286</f>
        <v>145946.47466884638</v>
      </c>
      <c r="N286" s="271">
        <f>M286+M291</f>
        <v>179302.8804821111</v>
      </c>
      <c r="O286" s="271">
        <f>'DGSP_chitiet (truKH)'!K286</f>
        <v>115824.66716364853</v>
      </c>
      <c r="P286" s="271">
        <f>'DGSP_chitiet (truKH)'!L286</f>
        <v>28956.166790912132</v>
      </c>
      <c r="Q286" s="306">
        <f>'DGSP_chitiet (truKH)'!M286</f>
        <v>144780.83395456066</v>
      </c>
      <c r="R286" s="271">
        <f>'DGSP_chitiet (truKH)'!N286</f>
        <v>178137.23976782538</v>
      </c>
      <c r="S286" s="271">
        <f t="shared" ref="S286:S295" si="100">S274*0.1</f>
        <v>2910.9596153846155</v>
      </c>
    </row>
    <row r="287" spans="1:19" s="232" customFormat="1" ht="15" customHeight="1">
      <c r="A287" s="1005"/>
      <c r="B287" s="1014"/>
      <c r="C287" s="1005"/>
      <c r="D287" s="242">
        <v>2</v>
      </c>
      <c r="E287" s="271">
        <f t="shared" si="96"/>
        <v>120801.86284375003</v>
      </c>
      <c r="F287" s="271">
        <f t="shared" si="96"/>
        <v>12965.657692307694</v>
      </c>
      <c r="G287" s="976">
        <f>G320*0.1/$M$273</f>
        <v>3.391630996260683</v>
      </c>
      <c r="H287" s="271">
        <f t="shared" si="97"/>
        <v>1758.0565000000004</v>
      </c>
      <c r="I287" s="271">
        <f t="shared" si="97"/>
        <v>1097.4715714285715</v>
      </c>
      <c r="J287" s="271">
        <f>J320*0.1/$M$273</f>
        <v>0</v>
      </c>
      <c r="K287" s="271">
        <f t="shared" si="98"/>
        <v>136626.44023848255</v>
      </c>
      <c r="L287" s="271">
        <f>K287*0.25</f>
        <v>34156.610059620638</v>
      </c>
      <c r="M287" s="272">
        <f t="shared" si="99"/>
        <v>170783.05029810319</v>
      </c>
      <c r="N287" s="271">
        <f>M287+M292</f>
        <v>206993.38060619708</v>
      </c>
      <c r="O287" s="271">
        <f>'DGSP_chitiet (truKH)'!K287</f>
        <v>135528.96866705397</v>
      </c>
      <c r="P287" s="271">
        <f>'DGSP_chitiet (truKH)'!L287</f>
        <v>33882.242166763492</v>
      </c>
      <c r="Q287" s="306">
        <f>'DGSP_chitiet (truKH)'!M287</f>
        <v>169411.21083381746</v>
      </c>
      <c r="R287" s="271">
        <f>'DGSP_chitiet (truKH)'!N287</f>
        <v>205621.54114191135</v>
      </c>
      <c r="S287" s="271">
        <f t="shared" si="100"/>
        <v>3412.4591346153848</v>
      </c>
    </row>
    <row r="288" spans="1:19" s="232" customFormat="1" ht="15" customHeight="1">
      <c r="A288" s="1005"/>
      <c r="B288" s="1014"/>
      <c r="C288" s="1005"/>
      <c r="D288" s="242">
        <v>3</v>
      </c>
      <c r="E288" s="271">
        <f t="shared" si="96"/>
        <v>143752.46373125003</v>
      </c>
      <c r="F288" s="271">
        <f t="shared" si="96"/>
        <v>16067.446153846155</v>
      </c>
      <c r="G288" s="976">
        <f>G321*0.1/$M$273</f>
        <v>3.9901541132478626</v>
      </c>
      <c r="H288" s="271">
        <f t="shared" si="97"/>
        <v>1758.0565000000004</v>
      </c>
      <c r="I288" s="271">
        <f t="shared" si="97"/>
        <v>1298.4625714285717</v>
      </c>
      <c r="J288" s="271">
        <f>J321*0.1/$M$273</f>
        <v>0</v>
      </c>
      <c r="K288" s="271">
        <f t="shared" si="98"/>
        <v>162880.419110638</v>
      </c>
      <c r="L288" s="271">
        <f>K288*0.25</f>
        <v>40720.104777659501</v>
      </c>
      <c r="M288" s="272">
        <f t="shared" si="99"/>
        <v>203600.5238882975</v>
      </c>
      <c r="N288" s="271">
        <f>M288+M293</f>
        <v>243241.91509307202</v>
      </c>
      <c r="O288" s="271">
        <f>'DGSP_chitiet (truKH)'!K288</f>
        <v>161581.95653920944</v>
      </c>
      <c r="P288" s="271">
        <f>'DGSP_chitiet (truKH)'!L288</f>
        <v>40395.489134802359</v>
      </c>
      <c r="Q288" s="306">
        <f>'DGSP_chitiet (truKH)'!M288</f>
        <v>201977.4456740118</v>
      </c>
      <c r="R288" s="271">
        <f>'DGSP_chitiet (truKH)'!N288</f>
        <v>241618.83687878633</v>
      </c>
      <c r="S288" s="271">
        <f t="shared" si="100"/>
        <v>4062.2312499999994</v>
      </c>
    </row>
    <row r="289" spans="1:19" s="232" customFormat="1" ht="15" customHeight="1">
      <c r="A289" s="1005"/>
      <c r="B289" s="1014"/>
      <c r="C289" s="1005"/>
      <c r="D289" s="242">
        <v>4</v>
      </c>
      <c r="E289" s="271">
        <f t="shared" si="96"/>
        <v>186281.10435000004</v>
      </c>
      <c r="F289" s="271">
        <f t="shared" si="96"/>
        <v>22989.619230769233</v>
      </c>
      <c r="G289" s="976">
        <f>G322*0.1/$M$273</f>
        <v>5.1872003472222215</v>
      </c>
      <c r="H289" s="271">
        <f t="shared" si="97"/>
        <v>1758.0565000000004</v>
      </c>
      <c r="I289" s="271">
        <f t="shared" si="97"/>
        <v>1728.5945714285715</v>
      </c>
      <c r="J289" s="271">
        <f>J322*0.1/$M$273</f>
        <v>0</v>
      </c>
      <c r="K289" s="271">
        <f t="shared" si="98"/>
        <v>212762.56185254507</v>
      </c>
      <c r="L289" s="271">
        <f>K289*0.25</f>
        <v>53190.640463136267</v>
      </c>
      <c r="M289" s="272">
        <f t="shared" si="99"/>
        <v>265953.20231568132</v>
      </c>
      <c r="N289" s="271">
        <f>M289+M294</f>
        <v>301507.3767380995</v>
      </c>
      <c r="O289" s="271">
        <f>'DGSP_chitiet (truKH)'!K289</f>
        <v>211033.96728111649</v>
      </c>
      <c r="P289" s="271">
        <f>'DGSP_chitiet (truKH)'!L289</f>
        <v>52758.491820279123</v>
      </c>
      <c r="Q289" s="306">
        <f>'DGSP_chitiet (truKH)'!M289</f>
        <v>263792.45910139562</v>
      </c>
      <c r="R289" s="271">
        <f>'DGSP_chitiet (truKH)'!N289</f>
        <v>299346.6335238138</v>
      </c>
      <c r="S289" s="271">
        <f t="shared" si="100"/>
        <v>5266.2923076923071</v>
      </c>
    </row>
    <row r="290" spans="1:19" s="232" customFormat="1" ht="15" customHeight="1">
      <c r="A290" s="1005"/>
      <c r="B290" s="1014"/>
      <c r="C290" s="1005"/>
      <c r="D290" s="242">
        <v>5</v>
      </c>
      <c r="E290" s="271">
        <f t="shared" si="96"/>
        <v>243477.16380625006</v>
      </c>
      <c r="F290" s="271">
        <f t="shared" si="96"/>
        <v>30957.850000000002</v>
      </c>
      <c r="G290" s="976">
        <f>G323*0.1/$M$273</f>
        <v>6.783261992521366</v>
      </c>
      <c r="H290" s="271">
        <f t="shared" si="97"/>
        <v>1758.0565000000004</v>
      </c>
      <c r="I290" s="271">
        <f t="shared" si="97"/>
        <v>2346.2055714285716</v>
      </c>
      <c r="J290" s="271">
        <f>J323*0.1/$M$273</f>
        <v>0</v>
      </c>
      <c r="K290" s="271">
        <f t="shared" si="98"/>
        <v>278546.05913967115</v>
      </c>
      <c r="L290" s="271">
        <f>K290*0.25</f>
        <v>69636.514784917788</v>
      </c>
      <c r="M290" s="272">
        <f t="shared" si="99"/>
        <v>348182.57392458897</v>
      </c>
      <c r="N290" s="271">
        <f>M290+M295</f>
        <v>387863.49068686354</v>
      </c>
      <c r="O290" s="271">
        <f>'DGSP_chitiet (truKH)'!K290</f>
        <v>276199.85356824257</v>
      </c>
      <c r="P290" s="271">
        <f>'DGSP_chitiet (truKH)'!L290</f>
        <v>69049.963392060643</v>
      </c>
      <c r="Q290" s="306">
        <f>'DGSP_chitiet (truKH)'!M290</f>
        <v>345249.81696030323</v>
      </c>
      <c r="R290" s="271">
        <f>'DGSP_chitiet (truKH)'!N290</f>
        <v>384930.7337225778</v>
      </c>
      <c r="S290" s="271">
        <f t="shared" si="100"/>
        <v>6885.6139423076929</v>
      </c>
    </row>
    <row r="291" spans="1:19" s="232" customFormat="1" ht="13.5" customHeight="1">
      <c r="A291" s="1005"/>
      <c r="B291" s="1014" t="s">
        <v>192</v>
      </c>
      <c r="C291" s="1005" t="s">
        <v>21</v>
      </c>
      <c r="D291" s="242">
        <v>1</v>
      </c>
      <c r="E291" s="271">
        <f t="shared" si="96"/>
        <v>28984.263165000008</v>
      </c>
      <c r="F291" s="271">
        <f t="shared" si="96"/>
        <v>0</v>
      </c>
      <c r="G291" s="976">
        <f t="shared" ref="G291:H295" si="101">G335*0.1/$M$273</f>
        <v>0.55010740410256398</v>
      </c>
      <c r="H291" s="976">
        <f t="shared" si="101"/>
        <v>20.757000000000001</v>
      </c>
      <c r="I291" s="271"/>
      <c r="J291" s="271"/>
      <c r="K291" s="271">
        <f t="shared" si="98"/>
        <v>29005.570272404111</v>
      </c>
      <c r="L291" s="271">
        <f>K291*0.15</f>
        <v>4350.8355408606167</v>
      </c>
      <c r="M291" s="272">
        <f t="shared" si="99"/>
        <v>33356.405813264726</v>
      </c>
      <c r="N291" s="271"/>
      <c r="O291" s="271">
        <f>'DGSP_chitiet (truKH)'!K291</f>
        <v>29005.570272404111</v>
      </c>
      <c r="P291" s="271">
        <f>'DGSP_chitiet (truKH)'!L291</f>
        <v>4350.8355408606167</v>
      </c>
      <c r="Q291" s="306">
        <f>'DGSP_chitiet (truKH)'!M291</f>
        <v>33356.405813264726</v>
      </c>
      <c r="R291" s="271">
        <f>'DGSP_chitiet (truKH)'!N291</f>
        <v>0</v>
      </c>
      <c r="S291" s="271">
        <f t="shared" si="100"/>
        <v>820.59576923076929</v>
      </c>
    </row>
    <row r="292" spans="1:19" s="232" customFormat="1" ht="15" customHeight="1">
      <c r="A292" s="1005"/>
      <c r="B292" s="1014"/>
      <c r="C292" s="1005"/>
      <c r="D292" s="242">
        <v>2</v>
      </c>
      <c r="E292" s="271">
        <f t="shared" si="96"/>
        <v>31465.780775000007</v>
      </c>
      <c r="F292" s="271">
        <f t="shared" si="96"/>
        <v>0</v>
      </c>
      <c r="G292" s="976">
        <f t="shared" si="101"/>
        <v>0.70597116859829057</v>
      </c>
      <c r="H292" s="976">
        <f t="shared" si="101"/>
        <v>20.757000000000001</v>
      </c>
      <c r="I292" s="271"/>
      <c r="J292" s="271"/>
      <c r="K292" s="271">
        <f t="shared" si="98"/>
        <v>31487.243746168606</v>
      </c>
      <c r="L292" s="271">
        <f>K292*0.15</f>
        <v>4723.0865619252909</v>
      </c>
      <c r="M292" s="272">
        <f t="shared" si="99"/>
        <v>36210.330308093893</v>
      </c>
      <c r="N292" s="271"/>
      <c r="O292" s="271">
        <f>'DGSP_chitiet (truKH)'!K292</f>
        <v>31487.243746168606</v>
      </c>
      <c r="P292" s="271">
        <f>'DGSP_chitiet (truKH)'!L292</f>
        <v>4723.0865619252909</v>
      </c>
      <c r="Q292" s="306">
        <f>'DGSP_chitiet (truKH)'!M292</f>
        <v>36210.330308093893</v>
      </c>
      <c r="R292" s="271">
        <f>'DGSP_chitiet (truKH)'!N292</f>
        <v>0</v>
      </c>
      <c r="S292" s="271">
        <f t="shared" si="100"/>
        <v>890.85192307692307</v>
      </c>
    </row>
    <row r="293" spans="1:19" s="232" customFormat="1" ht="15" customHeight="1">
      <c r="A293" s="1005"/>
      <c r="B293" s="1014"/>
      <c r="C293" s="1005"/>
      <c r="D293" s="242">
        <v>3</v>
      </c>
      <c r="E293" s="271">
        <f t="shared" si="96"/>
        <v>34449.101115000005</v>
      </c>
      <c r="F293" s="271">
        <f t="shared" si="96"/>
        <v>0</v>
      </c>
      <c r="G293" s="976">
        <f t="shared" si="101"/>
        <v>0.9168456735042736</v>
      </c>
      <c r="H293" s="976">
        <f t="shared" si="101"/>
        <v>20.757000000000001</v>
      </c>
      <c r="I293" s="271"/>
      <c r="J293" s="271"/>
      <c r="K293" s="271">
        <f t="shared" si="98"/>
        <v>34470.774960673509</v>
      </c>
      <c r="L293" s="271">
        <f>K293*0.15</f>
        <v>5170.6162441010265</v>
      </c>
      <c r="M293" s="272">
        <f t="shared" si="99"/>
        <v>39641.391204774533</v>
      </c>
      <c r="N293" s="271"/>
      <c r="O293" s="271">
        <f>'DGSP_chitiet (truKH)'!K293</f>
        <v>34470.774960673509</v>
      </c>
      <c r="P293" s="271">
        <f>'DGSP_chitiet (truKH)'!L293</f>
        <v>5170.6162441010265</v>
      </c>
      <c r="Q293" s="306">
        <f>'DGSP_chitiet (truKH)'!M293</f>
        <v>39641.391204774533</v>
      </c>
      <c r="R293" s="271">
        <f>'DGSP_chitiet (truKH)'!N293</f>
        <v>0</v>
      </c>
      <c r="S293" s="271">
        <f t="shared" si="100"/>
        <v>975.31500000000017</v>
      </c>
    </row>
    <row r="294" spans="1:19" s="232" customFormat="1" ht="15" customHeight="1">
      <c r="A294" s="1005"/>
      <c r="B294" s="1014"/>
      <c r="C294" s="1005"/>
      <c r="D294" s="242">
        <v>4</v>
      </c>
      <c r="E294" s="271">
        <f t="shared" si="96"/>
        <v>30895.237945000001</v>
      </c>
      <c r="F294" s="271">
        <f t="shared" si="96"/>
        <v>0</v>
      </c>
      <c r="G294" s="976">
        <f t="shared" si="101"/>
        <v>0.67846579839316234</v>
      </c>
      <c r="H294" s="976">
        <f t="shared" si="101"/>
        <v>20.757000000000001</v>
      </c>
      <c r="I294" s="271"/>
      <c r="J294" s="271"/>
      <c r="K294" s="271">
        <f t="shared" si="98"/>
        <v>30916.673410798394</v>
      </c>
      <c r="L294" s="271">
        <f>K294*0.15</f>
        <v>4637.5010116197591</v>
      </c>
      <c r="M294" s="272">
        <f t="shared" si="99"/>
        <v>35554.174422418153</v>
      </c>
      <c r="N294" s="271"/>
      <c r="O294" s="271">
        <f>'DGSP_chitiet (truKH)'!K294</f>
        <v>30916.673410798394</v>
      </c>
      <c r="P294" s="271">
        <f>'DGSP_chitiet (truKH)'!L294</f>
        <v>4637.5010116197591</v>
      </c>
      <c r="Q294" s="306">
        <f>'DGSP_chitiet (truKH)'!M294</f>
        <v>35554.174422418153</v>
      </c>
      <c r="R294" s="271">
        <f>'DGSP_chitiet (truKH)'!N294</f>
        <v>0</v>
      </c>
      <c r="S294" s="271">
        <f t="shared" si="100"/>
        <v>874.69884615384626</v>
      </c>
    </row>
    <row r="295" spans="1:19" s="232" customFormat="1" ht="15" customHeight="1">
      <c r="A295" s="1005"/>
      <c r="B295" s="1014"/>
      <c r="C295" s="1005"/>
      <c r="D295" s="242">
        <v>5</v>
      </c>
      <c r="E295" s="271">
        <f t="shared" si="96"/>
        <v>34483.47116500001</v>
      </c>
      <c r="F295" s="271">
        <f t="shared" si="96"/>
        <v>0</v>
      </c>
      <c r="G295" s="976">
        <f t="shared" si="101"/>
        <v>0.9168456735042736</v>
      </c>
      <c r="H295" s="976">
        <f t="shared" si="101"/>
        <v>20.757000000000001</v>
      </c>
      <c r="I295" s="271"/>
      <c r="J295" s="271"/>
      <c r="K295" s="271">
        <f t="shared" si="98"/>
        <v>34505.145010673514</v>
      </c>
      <c r="L295" s="271">
        <f>K295*0.15</f>
        <v>5175.7717516010271</v>
      </c>
      <c r="M295" s="272">
        <f t="shared" si="99"/>
        <v>39680.916762274544</v>
      </c>
      <c r="N295" s="271"/>
      <c r="O295" s="271">
        <f>'DGSP_chitiet (truKH)'!K295</f>
        <v>34505.145010673514</v>
      </c>
      <c r="P295" s="271">
        <f>'DGSP_chitiet (truKH)'!L295</f>
        <v>5175.7717516010271</v>
      </c>
      <c r="Q295" s="306">
        <f>'DGSP_chitiet (truKH)'!M295</f>
        <v>39680.916762274544</v>
      </c>
      <c r="R295" s="271">
        <f>'DGSP_chitiet (truKH)'!N295</f>
        <v>0</v>
      </c>
      <c r="S295" s="271">
        <f t="shared" si="100"/>
        <v>976.28807692307714</v>
      </c>
    </row>
    <row r="296" spans="1:19">
      <c r="A296" s="242" t="s">
        <v>494</v>
      </c>
      <c r="B296" s="965" t="s">
        <v>326</v>
      </c>
      <c r="C296" s="243"/>
      <c r="D296" s="243"/>
      <c r="E296" s="271"/>
      <c r="F296" s="271"/>
      <c r="G296" s="271"/>
      <c r="H296" s="271"/>
      <c r="I296" s="271"/>
      <c r="J296" s="271"/>
      <c r="K296" s="271"/>
      <c r="L296" s="271"/>
      <c r="M296" s="272"/>
      <c r="N296" s="271"/>
      <c r="O296" s="271">
        <f>'DGSP_chitiet (truKH)'!K296</f>
        <v>0</v>
      </c>
      <c r="P296" s="271">
        <f>'DGSP_chitiet (truKH)'!L296</f>
        <v>0</v>
      </c>
      <c r="Q296" s="306">
        <f>'DGSP_chitiet (truKH)'!M296</f>
        <v>0</v>
      </c>
      <c r="R296" s="271">
        <f>'DGSP_chitiet (truKH)'!N296</f>
        <v>0</v>
      </c>
      <c r="S296" s="271"/>
    </row>
    <row r="297" spans="1:19" s="232" customFormat="1" ht="13.5" customHeight="1">
      <c r="A297" s="1005"/>
      <c r="B297" s="1014" t="s">
        <v>190</v>
      </c>
      <c r="C297" s="1005" t="s">
        <v>21</v>
      </c>
      <c r="D297" s="242">
        <v>1</v>
      </c>
      <c r="E297" s="271">
        <f t="shared" ref="E297:F301" si="102">E274*1.15</f>
        <v>1185516.5807375</v>
      </c>
      <c r="F297" s="271">
        <f t="shared" si="102"/>
        <v>126217.32115384613</v>
      </c>
      <c r="G297" s="271">
        <f t="shared" ref="G297:J306" si="103">G274</f>
        <v>8279.0125747863221</v>
      </c>
      <c r="H297" s="271">
        <f t="shared" si="103"/>
        <v>17580.565000000002</v>
      </c>
      <c r="I297" s="271">
        <f t="shared" si="103"/>
        <v>9325.1257142857139</v>
      </c>
      <c r="J297" s="271">
        <f t="shared" si="103"/>
        <v>22.037399999999998</v>
      </c>
      <c r="K297" s="271">
        <f t="shared" ref="K297:K306" si="104">SUM(E297:J297)</f>
        <v>1346940.6425804181</v>
      </c>
      <c r="L297" s="271">
        <f>K297*0.25</f>
        <v>336735.16064510454</v>
      </c>
      <c r="M297" s="272">
        <f t="shared" ref="M297:M306" si="105">K297+L297</f>
        <v>1683675.8032255226</v>
      </c>
      <c r="N297" s="271">
        <f>M297+M302</f>
        <v>2158685.932822125</v>
      </c>
      <c r="O297" s="271">
        <f>'DGSP_chitiet (truKH)'!K297</f>
        <v>1337615.5168661324</v>
      </c>
      <c r="P297" s="271">
        <f>'DGSP_chitiet (truKH)'!L297</f>
        <v>334403.8792165331</v>
      </c>
      <c r="Q297" s="306">
        <f>'DGSP_chitiet (truKH)'!M297</f>
        <v>1672019.3960826655</v>
      </c>
      <c r="R297" s="271">
        <f>'DGSP_chitiet (truKH)'!N297</f>
        <v>2130840.6104885535</v>
      </c>
      <c r="S297" s="271">
        <f>S274*1.15</f>
        <v>33476.035576923074</v>
      </c>
    </row>
    <row r="298" spans="1:19" s="232" customFormat="1" ht="15" customHeight="1">
      <c r="A298" s="1005"/>
      <c r="B298" s="1014"/>
      <c r="C298" s="1005"/>
      <c r="D298" s="242">
        <v>2</v>
      </c>
      <c r="E298" s="271">
        <f t="shared" si="102"/>
        <v>1389221.422703125</v>
      </c>
      <c r="F298" s="271">
        <f t="shared" si="102"/>
        <v>149105.06346153846</v>
      </c>
      <c r="G298" s="271">
        <f t="shared" si="103"/>
        <v>9711.073488247861</v>
      </c>
      <c r="H298" s="271">
        <f t="shared" si="103"/>
        <v>17580.565000000002</v>
      </c>
      <c r="I298" s="271">
        <f t="shared" si="103"/>
        <v>10974.715714285714</v>
      </c>
      <c r="J298" s="271">
        <f t="shared" si="103"/>
        <v>22.037399999999998</v>
      </c>
      <c r="K298" s="271">
        <f t="shared" si="104"/>
        <v>1576614.8777671969</v>
      </c>
      <c r="L298" s="271">
        <f>K298*0.25</f>
        <v>394153.71944179921</v>
      </c>
      <c r="M298" s="272">
        <f t="shared" si="105"/>
        <v>1970768.5972089961</v>
      </c>
      <c r="N298" s="271">
        <f>M298+M303</f>
        <v>2481040.4846159113</v>
      </c>
      <c r="O298" s="271">
        <f>'DGSP_chitiet (truKH)'!K298</f>
        <v>1565640.1620529112</v>
      </c>
      <c r="P298" s="271">
        <f>'DGSP_chitiet (truKH)'!L298</f>
        <v>391410.04051322781</v>
      </c>
      <c r="Q298" s="306">
        <f>'DGSP_chitiet (truKH)'!M298</f>
        <v>1957050.2025661389</v>
      </c>
      <c r="R298" s="271">
        <f>'DGSP_chitiet (truKH)'!N298</f>
        <v>2448754.0628076969</v>
      </c>
      <c r="S298" s="271">
        <f>S275*1.15</f>
        <v>39243.280048076915</v>
      </c>
    </row>
    <row r="299" spans="1:19" s="232" customFormat="1" ht="15" customHeight="1">
      <c r="A299" s="1005"/>
      <c r="B299" s="1014"/>
      <c r="C299" s="1005"/>
      <c r="D299" s="242">
        <v>3</v>
      </c>
      <c r="E299" s="271">
        <f t="shared" si="102"/>
        <v>1653153.3329093752</v>
      </c>
      <c r="F299" s="271">
        <f t="shared" si="102"/>
        <v>184775.63076923075</v>
      </c>
      <c r="G299" s="271">
        <f t="shared" si="103"/>
        <v>11143.1344017094</v>
      </c>
      <c r="H299" s="271">
        <f t="shared" si="103"/>
        <v>17580.565000000002</v>
      </c>
      <c r="I299" s="271">
        <f t="shared" si="103"/>
        <v>12984.625714285716</v>
      </c>
      <c r="J299" s="271">
        <f t="shared" si="103"/>
        <v>22.037399999999998</v>
      </c>
      <c r="K299" s="271">
        <f t="shared" si="104"/>
        <v>1879659.3261946009</v>
      </c>
      <c r="L299" s="271">
        <f>K299*0.25</f>
        <v>469914.83154865023</v>
      </c>
      <c r="M299" s="272">
        <f t="shared" si="105"/>
        <v>2349574.157743251</v>
      </c>
      <c r="N299" s="271">
        <f>M299+M304</f>
        <v>2902329.3162053796</v>
      </c>
      <c r="O299" s="271">
        <f>'DGSP_chitiet (truKH)'!K299</f>
        <v>1866674.7004803151</v>
      </c>
      <c r="P299" s="271">
        <f>'DGSP_chitiet (truKH)'!L299</f>
        <v>466668.67512007878</v>
      </c>
      <c r="Q299" s="306">
        <f>'DGSP_chitiet (truKH)'!M299</f>
        <v>2333343.3756003939</v>
      </c>
      <c r="R299" s="271">
        <f>'DGSP_chitiet (truKH)'!N299</f>
        <v>2864675.7834835937</v>
      </c>
      <c r="S299" s="271">
        <f>S276*1.15</f>
        <v>46715.659374999988</v>
      </c>
    </row>
    <row r="300" spans="1:19" s="232" customFormat="1" ht="15" customHeight="1">
      <c r="A300" s="1005"/>
      <c r="B300" s="1014"/>
      <c r="C300" s="1005"/>
      <c r="D300" s="242">
        <v>4</v>
      </c>
      <c r="E300" s="271">
        <f t="shared" si="102"/>
        <v>2142232.7000250001</v>
      </c>
      <c r="F300" s="271">
        <f t="shared" si="102"/>
        <v>264380.62115384615</v>
      </c>
      <c r="G300" s="271">
        <f t="shared" si="103"/>
        <v>14007.256228632479</v>
      </c>
      <c r="H300" s="271">
        <f t="shared" si="103"/>
        <v>17580.565000000002</v>
      </c>
      <c r="I300" s="271">
        <f t="shared" si="103"/>
        <v>17285.945714285714</v>
      </c>
      <c r="J300" s="271">
        <f t="shared" si="103"/>
        <v>22.037399999999998</v>
      </c>
      <c r="K300" s="271">
        <f t="shared" si="104"/>
        <v>2455509.1255217637</v>
      </c>
      <c r="L300" s="271">
        <f>K300*0.25</f>
        <v>613877.28138044092</v>
      </c>
      <c r="M300" s="272">
        <f t="shared" si="105"/>
        <v>3069386.4069022047</v>
      </c>
      <c r="N300" s="271">
        <f>M300+M305</f>
        <v>3571726.7531556697</v>
      </c>
      <c r="O300" s="271">
        <f>'DGSP_chitiet (truKH)'!K300</f>
        <v>2438223.1798074781</v>
      </c>
      <c r="P300" s="271">
        <f>'DGSP_chitiet (truKH)'!L300</f>
        <v>609555.79495186952</v>
      </c>
      <c r="Q300" s="306">
        <f>'DGSP_chitiet (truKH)'!M300</f>
        <v>3047778.9747593477</v>
      </c>
      <c r="R300" s="271">
        <f>'DGSP_chitiet (truKH)'!N300</f>
        <v>3532086.1307956697</v>
      </c>
      <c r="S300" s="271">
        <f>S277*1.15</f>
        <v>60562.361538461526</v>
      </c>
    </row>
    <row r="301" spans="1:19" s="232" customFormat="1" ht="15" customHeight="1">
      <c r="A301" s="1005"/>
      <c r="B301" s="1014"/>
      <c r="C301" s="1005"/>
      <c r="D301" s="242">
        <v>5</v>
      </c>
      <c r="E301" s="271">
        <f t="shared" si="102"/>
        <v>2799987.3837718754</v>
      </c>
      <c r="F301" s="271">
        <f t="shared" si="102"/>
        <v>356015.27499999997</v>
      </c>
      <c r="G301" s="271">
        <f t="shared" si="103"/>
        <v>17826.085331196577</v>
      </c>
      <c r="H301" s="271">
        <f t="shared" si="103"/>
        <v>17580.565000000002</v>
      </c>
      <c r="I301" s="271">
        <f t="shared" si="103"/>
        <v>23462.055714285714</v>
      </c>
      <c r="J301" s="271">
        <f t="shared" si="103"/>
        <v>22.037399999999998</v>
      </c>
      <c r="K301" s="271">
        <f t="shared" si="104"/>
        <v>3214893.4022173574</v>
      </c>
      <c r="L301" s="271">
        <f>K301*0.25</f>
        <v>803723.35055433935</v>
      </c>
      <c r="M301" s="272">
        <f t="shared" si="105"/>
        <v>4018616.752771697</v>
      </c>
      <c r="N301" s="271">
        <f>M301+M306</f>
        <v>4571981.9329066826</v>
      </c>
      <c r="O301" s="271">
        <f>'DGSP_chitiet (truKH)'!K301</f>
        <v>3191431.3465030715</v>
      </c>
      <c r="P301" s="271">
        <f>'DGSP_chitiet (truKH)'!L301</f>
        <v>797857.83662576787</v>
      </c>
      <c r="Q301" s="306">
        <f>'DGSP_chitiet (truKH)'!M301</f>
        <v>3989289.1831288394</v>
      </c>
      <c r="R301" s="271">
        <f>'DGSP_chitiet (truKH)'!N301</f>
        <v>4521186.6710545393</v>
      </c>
      <c r="S301" s="271">
        <f>S278*1.15</f>
        <v>79184.56033653846</v>
      </c>
    </row>
    <row r="302" spans="1:19" s="232" customFormat="1" ht="13.5" customHeight="1">
      <c r="A302" s="1005"/>
      <c r="B302" s="1014" t="s">
        <v>192</v>
      </c>
      <c r="C302" s="1005" t="s">
        <v>21</v>
      </c>
      <c r="D302" s="242">
        <v>1</v>
      </c>
      <c r="E302" s="271">
        <f t="shared" ref="E302:F306" si="106">E279*1.1</f>
        <v>318826.89481500007</v>
      </c>
      <c r="F302" s="271">
        <f t="shared" si="106"/>
        <v>0</v>
      </c>
      <c r="G302" s="271">
        <f t="shared" si="103"/>
        <v>2349.9168335982904</v>
      </c>
      <c r="H302" s="271">
        <f t="shared" si="103"/>
        <v>68605</v>
      </c>
      <c r="I302" s="271">
        <f t="shared" si="103"/>
        <v>14077.317557142856</v>
      </c>
      <c r="J302" s="271">
        <f t="shared" si="103"/>
        <v>9193.1574000000001</v>
      </c>
      <c r="K302" s="271">
        <f t="shared" si="104"/>
        <v>413052.28660574125</v>
      </c>
      <c r="L302" s="271">
        <f>K302*0.15</f>
        <v>61957.842990861187</v>
      </c>
      <c r="M302" s="272">
        <f t="shared" si="105"/>
        <v>475010.1295966024</v>
      </c>
      <c r="N302" s="271"/>
      <c r="O302" s="271">
        <f>'DGSP_chitiet (truKH)'!K302</f>
        <v>398974.96904859837</v>
      </c>
      <c r="P302" s="271">
        <f>'DGSP_chitiet (truKH)'!L302</f>
        <v>59846.24535728975</v>
      </c>
      <c r="Q302" s="306">
        <f>'DGSP_chitiet (truKH)'!M302</f>
        <v>458821.21440588811</v>
      </c>
      <c r="R302" s="271">
        <f>'DGSP_chitiet (truKH)'!N302</f>
        <v>0</v>
      </c>
      <c r="S302" s="271">
        <f>S279*1.1</f>
        <v>9026.5534615384622</v>
      </c>
    </row>
    <row r="303" spans="1:19" s="232" customFormat="1" ht="15" customHeight="1">
      <c r="A303" s="1005"/>
      <c r="B303" s="1014"/>
      <c r="C303" s="1005"/>
      <c r="D303" s="242">
        <v>2</v>
      </c>
      <c r="E303" s="271">
        <f t="shared" si="106"/>
        <v>346123.58852500009</v>
      </c>
      <c r="F303" s="271">
        <f t="shared" si="106"/>
        <v>0</v>
      </c>
      <c r="G303" s="271">
        <f t="shared" si="103"/>
        <v>2505.780598094017</v>
      </c>
      <c r="H303" s="271">
        <f t="shared" si="103"/>
        <v>68605</v>
      </c>
      <c r="I303" s="271">
        <f t="shared" si="103"/>
        <v>16146.11057857143</v>
      </c>
      <c r="J303" s="271">
        <f t="shared" si="103"/>
        <v>10334.205</v>
      </c>
      <c r="K303" s="271">
        <f t="shared" si="104"/>
        <v>443714.68470166554</v>
      </c>
      <c r="L303" s="271">
        <f>K303*0.15</f>
        <v>66557.202705249831</v>
      </c>
      <c r="M303" s="272">
        <f t="shared" si="105"/>
        <v>510271.88740691537</v>
      </c>
      <c r="N303" s="271"/>
      <c r="O303" s="271">
        <f>'DGSP_chitiet (truKH)'!K303</f>
        <v>427568.57412309409</v>
      </c>
      <c r="P303" s="271">
        <f>'DGSP_chitiet (truKH)'!L303</f>
        <v>64135.286118464108</v>
      </c>
      <c r="Q303" s="306">
        <f>'DGSP_chitiet (truKH)'!M303</f>
        <v>491703.86024155817</v>
      </c>
      <c r="R303" s="271">
        <f>'DGSP_chitiet (truKH)'!N303</f>
        <v>0</v>
      </c>
      <c r="S303" s="271">
        <f>S280*1.1</f>
        <v>9799.3711538461539</v>
      </c>
    </row>
    <row r="304" spans="1:19" s="232" customFormat="1" ht="15" customHeight="1">
      <c r="A304" s="1005"/>
      <c r="B304" s="1014"/>
      <c r="C304" s="1005"/>
      <c r="D304" s="242">
        <v>3</v>
      </c>
      <c r="E304" s="271">
        <f t="shared" si="106"/>
        <v>378940.11226500006</v>
      </c>
      <c r="F304" s="271">
        <f t="shared" si="106"/>
        <v>0</v>
      </c>
      <c r="G304" s="271">
        <f t="shared" si="103"/>
        <v>2716.6551030000001</v>
      </c>
      <c r="H304" s="271">
        <f t="shared" si="103"/>
        <v>68605</v>
      </c>
      <c r="I304" s="271">
        <f t="shared" si="103"/>
        <v>18628.478764285715</v>
      </c>
      <c r="J304" s="271">
        <f t="shared" si="103"/>
        <v>11766.413400000001</v>
      </c>
      <c r="K304" s="271">
        <f t="shared" si="104"/>
        <v>480656.65953228582</v>
      </c>
      <c r="L304" s="271">
        <f>K304*0.15</f>
        <v>72098.49892984287</v>
      </c>
      <c r="M304" s="272">
        <f t="shared" si="105"/>
        <v>552755.15846212872</v>
      </c>
      <c r="N304" s="271"/>
      <c r="O304" s="271">
        <f>'DGSP_chitiet (truKH)'!K304</f>
        <v>462028.18076800008</v>
      </c>
      <c r="P304" s="271">
        <f>'DGSP_chitiet (truKH)'!L304</f>
        <v>69304.227115200003</v>
      </c>
      <c r="Q304" s="306">
        <f>'DGSP_chitiet (truKH)'!M304</f>
        <v>531332.4078832001</v>
      </c>
      <c r="R304" s="271">
        <f>'DGSP_chitiet (truKH)'!N304</f>
        <v>0</v>
      </c>
      <c r="S304" s="271">
        <f>S281*1.1</f>
        <v>10728.465000000002</v>
      </c>
    </row>
    <row r="305" spans="1:19" s="232" customFormat="1" ht="15" customHeight="1">
      <c r="A305" s="1005"/>
      <c r="B305" s="1014"/>
      <c r="C305" s="1005"/>
      <c r="D305" s="242">
        <v>4</v>
      </c>
      <c r="E305" s="271">
        <f t="shared" si="106"/>
        <v>339847.61739500001</v>
      </c>
      <c r="F305" s="271">
        <f t="shared" si="106"/>
        <v>0</v>
      </c>
      <c r="G305" s="271">
        <f t="shared" si="103"/>
        <v>2478.2752278888888</v>
      </c>
      <c r="H305" s="271">
        <f t="shared" si="103"/>
        <v>68605</v>
      </c>
      <c r="I305" s="271">
        <f t="shared" si="103"/>
        <v>15681.034971428571</v>
      </c>
      <c r="J305" s="271">
        <f t="shared" si="103"/>
        <v>10205.764800000001</v>
      </c>
      <c r="K305" s="271">
        <f t="shared" si="104"/>
        <v>436817.69239431748</v>
      </c>
      <c r="L305" s="271">
        <f>K305*0.15</f>
        <v>65522.65385914762</v>
      </c>
      <c r="M305" s="272">
        <f t="shared" si="105"/>
        <v>502340.3462534651</v>
      </c>
      <c r="N305" s="271"/>
      <c r="O305" s="271">
        <f>'DGSP_chitiet (truKH)'!K305</f>
        <v>421136.65742288891</v>
      </c>
      <c r="P305" s="271">
        <f>'DGSP_chitiet (truKH)'!L305</f>
        <v>63170.49861343333</v>
      </c>
      <c r="Q305" s="306">
        <f>'DGSP_chitiet (truKH)'!M305</f>
        <v>484307.15603632224</v>
      </c>
      <c r="R305" s="271">
        <f>'DGSP_chitiet (truKH)'!N305</f>
        <v>0</v>
      </c>
      <c r="S305" s="271">
        <f>S282*1.1</f>
        <v>9621.6873076923093</v>
      </c>
    </row>
    <row r="306" spans="1:19" s="232" customFormat="1" ht="15" customHeight="1">
      <c r="A306" s="1005"/>
      <c r="B306" s="1014"/>
      <c r="C306" s="1005"/>
      <c r="D306" s="242">
        <v>5</v>
      </c>
      <c r="E306" s="271">
        <f t="shared" si="106"/>
        <v>379318.18281500012</v>
      </c>
      <c r="F306" s="271">
        <f t="shared" si="106"/>
        <v>0</v>
      </c>
      <c r="G306" s="271">
        <f t="shared" si="103"/>
        <v>2716.6551030000001</v>
      </c>
      <c r="H306" s="271">
        <f t="shared" si="103"/>
        <v>68605</v>
      </c>
      <c r="I306" s="271">
        <f t="shared" si="103"/>
        <v>18667.558442857146</v>
      </c>
      <c r="J306" s="271">
        <f t="shared" si="103"/>
        <v>11879.716799999998</v>
      </c>
      <c r="K306" s="271">
        <f t="shared" si="104"/>
        <v>481187.11316085729</v>
      </c>
      <c r="L306" s="271">
        <f>K306*0.15</f>
        <v>72178.066974128596</v>
      </c>
      <c r="M306" s="272">
        <f t="shared" si="105"/>
        <v>553365.18013498583</v>
      </c>
      <c r="N306" s="271"/>
      <c r="O306" s="271">
        <f>'DGSP_chitiet (truKH)'!K306</f>
        <v>462519.55471800012</v>
      </c>
      <c r="P306" s="271">
        <f>'DGSP_chitiet (truKH)'!L306</f>
        <v>69377.933207700014</v>
      </c>
      <c r="Q306" s="306">
        <f>'DGSP_chitiet (truKH)'!M306</f>
        <v>531897.48792570014</v>
      </c>
      <c r="R306" s="271">
        <f>'DGSP_chitiet (truKH)'!N306</f>
        <v>0</v>
      </c>
      <c r="S306" s="271">
        <f>S283*1.1</f>
        <v>10739.168846153849</v>
      </c>
    </row>
    <row r="307" spans="1:19">
      <c r="A307" s="242">
        <v>1</v>
      </c>
      <c r="B307" s="276" t="s">
        <v>57</v>
      </c>
      <c r="C307" s="243"/>
      <c r="D307" s="243"/>
      <c r="E307" s="271"/>
      <c r="F307" s="271"/>
      <c r="G307" s="271"/>
      <c r="H307" s="271"/>
      <c r="I307" s="271"/>
      <c r="J307" s="271"/>
      <c r="K307" s="271"/>
      <c r="L307" s="271"/>
      <c r="M307" s="272">
        <v>100</v>
      </c>
      <c r="N307" s="974" t="s">
        <v>21</v>
      </c>
      <c r="O307" s="271">
        <f>'DGSP_chitiet (truKH)'!K307</f>
        <v>0</v>
      </c>
      <c r="P307" s="271">
        <f>'DGSP_chitiet (truKH)'!L307</f>
        <v>0</v>
      </c>
      <c r="Q307" s="306">
        <f>'DGSP_chitiet (truKH)'!M307</f>
        <v>100</v>
      </c>
      <c r="R307" s="271" t="str">
        <f>'DGSP_chitiet (truKH)'!N307</f>
        <v>ha</v>
      </c>
      <c r="S307" s="271"/>
    </row>
    <row r="308" spans="1:19">
      <c r="A308" s="969" t="s">
        <v>359</v>
      </c>
      <c r="B308" s="970" t="str">
        <f>NhanCong!B$61</f>
        <v>Công tác chuẩn bị</v>
      </c>
      <c r="C308" s="274" t="s">
        <v>317</v>
      </c>
      <c r="D308" s="274" t="s">
        <v>622</v>
      </c>
      <c r="E308" s="271">
        <f>NhanCong!U$61</f>
        <v>80036.550000000017</v>
      </c>
      <c r="F308" s="271">
        <f>NhanCong!U$62</f>
        <v>5002.8846153846152</v>
      </c>
      <c r="G308" s="905">
        <f>Dcu!P$102*0.4</f>
        <v>1596.0616452991451</v>
      </c>
      <c r="H308" s="905">
        <f>VLieu!N$66</f>
        <v>2610.9749999999999</v>
      </c>
      <c r="I308" s="905"/>
      <c r="J308" s="905"/>
      <c r="K308" s="905">
        <f>SUM(E308:J308)</f>
        <v>89246.471260683771</v>
      </c>
      <c r="L308" s="905">
        <f>K308*0.25</f>
        <v>22311.617815170943</v>
      </c>
      <c r="M308" s="906">
        <f>K308+L308</f>
        <v>111558.08907585472</v>
      </c>
      <c r="N308" s="905"/>
      <c r="O308" s="271">
        <f>'DGSP_chitiet (truKH)'!K308</f>
        <v>89246.471260683771</v>
      </c>
      <c r="P308" s="271">
        <f>'DGSP_chitiet (truKH)'!L308</f>
        <v>22311.617815170943</v>
      </c>
      <c r="Q308" s="306">
        <f>'DGSP_chitiet (truKH)'!M308</f>
        <v>111558.08907585472</v>
      </c>
      <c r="R308" s="271">
        <f>'DGSP_chitiet (truKH)'!N308</f>
        <v>0</v>
      </c>
      <c r="S308" s="905">
        <f>NhanCong!V$61</f>
        <v>2189.4230769230767</v>
      </c>
    </row>
    <row r="309" spans="1:19">
      <c r="A309" s="1012" t="s">
        <v>269</v>
      </c>
      <c r="B309" s="1011" t="str">
        <f>NhanCong!B$63</f>
        <v>Lập lưới khống chế đo vẽ</v>
      </c>
      <c r="C309" s="1013" t="s">
        <v>317</v>
      </c>
      <c r="D309" s="274">
        <v>1</v>
      </c>
      <c r="E309" s="271">
        <f>NhanCong!U$63</f>
        <v>80125.179062500029</v>
      </c>
      <c r="F309" s="271"/>
      <c r="G309" s="905">
        <f>Dcu!P$82</f>
        <v>538.11359508547014</v>
      </c>
      <c r="H309" s="905">
        <f>VLieu!N$67</f>
        <v>1740.65</v>
      </c>
      <c r="I309" s="905">
        <f>TBi!N$45</f>
        <v>1302.3757142857144</v>
      </c>
      <c r="J309" s="905">
        <f>TBi!N$49</f>
        <v>22.037399999999998</v>
      </c>
      <c r="K309" s="905">
        <f t="shared" ref="K309:K313" si="107">SUM(E309:J309)</f>
        <v>83728.355771871211</v>
      </c>
      <c r="L309" s="905">
        <f t="shared" ref="L309:L333" si="108">K309*0.25</f>
        <v>20932.088942967803</v>
      </c>
      <c r="M309" s="906">
        <f t="shared" ref="M309:M333" si="109">K309+L309</f>
        <v>104660.44471483902</v>
      </c>
      <c r="N309" s="905"/>
      <c r="O309" s="271">
        <f>'DGSP_chitiet (truKH)'!K309</f>
        <v>82425.98005758549</v>
      </c>
      <c r="P309" s="271">
        <f>'DGSP_chitiet (truKH)'!L309</f>
        <v>20606.495014396372</v>
      </c>
      <c r="Q309" s="306">
        <f>'DGSP_chitiet (truKH)'!M309</f>
        <v>103032.47507198187</v>
      </c>
      <c r="R309" s="271">
        <f>'DGSP_chitiet (truKH)'!N309</f>
        <v>0</v>
      </c>
      <c r="S309" s="905">
        <f>NhanCong!V$63</f>
        <v>2268.4855769230767</v>
      </c>
    </row>
    <row r="310" spans="1:19">
      <c r="A310" s="1012"/>
      <c r="B310" s="1011"/>
      <c r="C310" s="1013"/>
      <c r="D310" s="274">
        <v>2</v>
      </c>
      <c r="E310" s="271">
        <f>NhanCong!U$64</f>
        <v>96236.140000000043</v>
      </c>
      <c r="F310" s="271"/>
      <c r="G310" s="905">
        <f>Dcu!P$83</f>
        <v>653.42365117521376</v>
      </c>
      <c r="H310" s="905">
        <f>VLieu!N$67</f>
        <v>1740.65</v>
      </c>
      <c r="I310" s="905">
        <f>TBi!O$45</f>
        <v>1521.9457142857145</v>
      </c>
      <c r="J310" s="905">
        <f>TBi!O$49</f>
        <v>22.037399999999998</v>
      </c>
      <c r="K310" s="905">
        <f t="shared" si="107"/>
        <v>100174.19676546096</v>
      </c>
      <c r="L310" s="905">
        <f t="shared" si="108"/>
        <v>25043.54919136524</v>
      </c>
      <c r="M310" s="906">
        <f t="shared" si="109"/>
        <v>125217.7459568262</v>
      </c>
      <c r="N310" s="905"/>
      <c r="O310" s="271">
        <f>'DGSP_chitiet (truKH)'!K310</f>
        <v>98652.251051175248</v>
      </c>
      <c r="P310" s="271">
        <f>'DGSP_chitiet (truKH)'!L310</f>
        <v>24663.062762793812</v>
      </c>
      <c r="Q310" s="306">
        <f>'DGSP_chitiet (truKH)'!M310</f>
        <v>123315.31381396906</v>
      </c>
      <c r="R310" s="271">
        <f>'DGSP_chitiet (truKH)'!N310</f>
        <v>0</v>
      </c>
      <c r="S310" s="905">
        <f>NhanCong!V$64</f>
        <v>2724.6153846153848</v>
      </c>
    </row>
    <row r="311" spans="1:19">
      <c r="A311" s="1012"/>
      <c r="B311" s="1011"/>
      <c r="C311" s="1013"/>
      <c r="D311" s="274">
        <v>3</v>
      </c>
      <c r="E311" s="271">
        <f>NhanCong!U$65</f>
        <v>115569.29312500004</v>
      </c>
      <c r="F311" s="271"/>
      <c r="G311" s="905">
        <f>Dcu!P$84</f>
        <v>768.73370726495739</v>
      </c>
      <c r="H311" s="905">
        <f>VLieu!N$67</f>
        <v>1740.65</v>
      </c>
      <c r="I311" s="905">
        <f>TBi!P$45</f>
        <v>1809.0757142857142</v>
      </c>
      <c r="J311" s="905">
        <f>TBi!P$49</f>
        <v>22.037399999999998</v>
      </c>
      <c r="K311" s="905">
        <f t="shared" si="107"/>
        <v>119909.78994655071</v>
      </c>
      <c r="L311" s="905">
        <f t="shared" si="108"/>
        <v>29977.447486637677</v>
      </c>
      <c r="M311" s="906">
        <f t="shared" si="109"/>
        <v>149887.23743318839</v>
      </c>
      <c r="N311" s="905"/>
      <c r="O311" s="271">
        <f>'DGSP_chitiet (truKH)'!K311</f>
        <v>118100.71423226499</v>
      </c>
      <c r="P311" s="271">
        <f>'DGSP_chitiet (truKH)'!L311</f>
        <v>29525.178558066247</v>
      </c>
      <c r="Q311" s="306">
        <f>'DGSP_chitiet (truKH)'!M311</f>
        <v>147625.89279033124</v>
      </c>
      <c r="R311" s="271">
        <f>'DGSP_chitiet (truKH)'!N311</f>
        <v>0</v>
      </c>
      <c r="S311" s="905">
        <f>NhanCong!V$65</f>
        <v>3271.9711538461538</v>
      </c>
    </row>
    <row r="312" spans="1:19">
      <c r="A312" s="1012"/>
      <c r="B312" s="1011"/>
      <c r="C312" s="1013"/>
      <c r="D312" s="274">
        <v>4</v>
      </c>
      <c r="E312" s="271">
        <f>NhanCong!U$66</f>
        <v>138554.26406250003</v>
      </c>
      <c r="F312" s="271"/>
      <c r="G312" s="905">
        <f>Dcu!P$85</f>
        <v>999.35381944444464</v>
      </c>
      <c r="H312" s="905">
        <f>VLieu!N$67</f>
        <v>1740.65</v>
      </c>
      <c r="I312" s="905">
        <f>TBi!Q$45</f>
        <v>2760.545714285714</v>
      </c>
      <c r="J312" s="905">
        <f>TBi!Q$49</f>
        <v>22.037399999999998</v>
      </c>
      <c r="K312" s="905">
        <f t="shared" si="107"/>
        <v>144076.85099623021</v>
      </c>
      <c r="L312" s="905">
        <f t="shared" si="108"/>
        <v>36019.212749057551</v>
      </c>
      <c r="M312" s="906">
        <f t="shared" si="109"/>
        <v>180096.06374528777</v>
      </c>
      <c r="N312" s="905"/>
      <c r="O312" s="271">
        <f>'DGSP_chitiet (truKH)'!K312</f>
        <v>141316.30528194449</v>
      </c>
      <c r="P312" s="271">
        <f>'DGSP_chitiet (truKH)'!L312</f>
        <v>35329.076320486121</v>
      </c>
      <c r="Q312" s="306">
        <f>'DGSP_chitiet (truKH)'!M312</f>
        <v>176645.3816024306</v>
      </c>
      <c r="R312" s="271">
        <f>'DGSP_chitiet (truKH)'!N312</f>
        <v>0</v>
      </c>
      <c r="S312" s="905">
        <f>NhanCong!V$66</f>
        <v>3922.7163461538462</v>
      </c>
    </row>
    <row r="313" spans="1:19">
      <c r="A313" s="1012"/>
      <c r="B313" s="1011"/>
      <c r="C313" s="1013"/>
      <c r="D313" s="274">
        <v>5</v>
      </c>
      <c r="E313" s="271">
        <f>NhanCong!U$67</f>
        <v>166479.92968750003</v>
      </c>
      <c r="F313" s="271"/>
      <c r="G313" s="905">
        <f>Dcu!P$86</f>
        <v>1306.8473023504275</v>
      </c>
      <c r="H313" s="905">
        <f>VLieu!N$67</f>
        <v>1740.65</v>
      </c>
      <c r="I313" s="905">
        <f>TBi!R$45</f>
        <v>4410.1357142857141</v>
      </c>
      <c r="J313" s="905">
        <f>TBi!R$49</f>
        <v>22.037399999999998</v>
      </c>
      <c r="K313" s="905">
        <f t="shared" si="107"/>
        <v>173959.60010413616</v>
      </c>
      <c r="L313" s="905">
        <f t="shared" si="108"/>
        <v>43489.90002603404</v>
      </c>
      <c r="M313" s="906">
        <f t="shared" si="109"/>
        <v>217449.5001301702</v>
      </c>
      <c r="N313" s="905"/>
      <c r="O313" s="271">
        <f>'DGSP_chitiet (truKH)'!K313</f>
        <v>169549.46438985044</v>
      </c>
      <c r="P313" s="271">
        <f>'DGSP_chitiet (truKH)'!L313</f>
        <v>42387.366097462611</v>
      </c>
      <c r="Q313" s="306">
        <f>'DGSP_chitiet (truKH)'!M313</f>
        <v>211936.83048731304</v>
      </c>
      <c r="R313" s="271">
        <f>'DGSP_chitiet (truKH)'!N313</f>
        <v>0</v>
      </c>
      <c r="S313" s="905">
        <f>NhanCong!V$67</f>
        <v>4713.3413461538466</v>
      </c>
    </row>
    <row r="314" spans="1:19">
      <c r="A314" s="1012" t="s">
        <v>36</v>
      </c>
      <c r="B314" s="1011" t="str">
        <f>NhanCong!B$68</f>
        <v>Xác định ranh giới thửa đất trên thực địa</v>
      </c>
      <c r="C314" s="1013" t="s">
        <v>317</v>
      </c>
      <c r="D314" s="274">
        <v>1</v>
      </c>
      <c r="E314" s="271">
        <f>NhanCong!U$68</f>
        <v>257775.37500000003</v>
      </c>
      <c r="F314" s="271">
        <f>NhanCong!U$69</f>
        <v>54576.923076923078</v>
      </c>
      <c r="G314" s="905">
        <f>Dcu!P$103*0.4</f>
        <v>1117.2431517094014</v>
      </c>
      <c r="H314" s="905">
        <f>VLieu!N$68</f>
        <v>4351.625</v>
      </c>
      <c r="I314" s="905"/>
      <c r="J314" s="905"/>
      <c r="K314" s="905">
        <f>SUM(E314:J314)</f>
        <v>317821.1662286325</v>
      </c>
      <c r="L314" s="905">
        <f t="shared" si="108"/>
        <v>79455.291557158125</v>
      </c>
      <c r="M314" s="906">
        <f t="shared" si="109"/>
        <v>397276.45778579061</v>
      </c>
      <c r="N314" s="905"/>
      <c r="O314" s="271">
        <f>'DGSP_chitiet (truKH)'!K314</f>
        <v>317821.1662286325</v>
      </c>
      <c r="P314" s="271">
        <f>'DGSP_chitiet (truKH)'!L314</f>
        <v>79455.291557158125</v>
      </c>
      <c r="Q314" s="306">
        <f>'DGSP_chitiet (truKH)'!M314</f>
        <v>397276.45778579061</v>
      </c>
      <c r="R314" s="271">
        <f>'DGSP_chitiet (truKH)'!N314</f>
        <v>0</v>
      </c>
      <c r="S314" s="905">
        <f>NhanCong!V$68</f>
        <v>7298.0769230769238</v>
      </c>
    </row>
    <row r="315" spans="1:19">
      <c r="A315" s="1012"/>
      <c r="B315" s="1011"/>
      <c r="C315" s="1013"/>
      <c r="D315" s="274">
        <v>2</v>
      </c>
      <c r="E315" s="271">
        <f>NhanCong!U$70</f>
        <v>309330.45</v>
      </c>
      <c r="F315" s="271">
        <f>NhanCong!U$71</f>
        <v>65492.307692307702</v>
      </c>
      <c r="G315" s="905">
        <f>Dcu!P$104*0.4</f>
        <v>1356.6523985042732</v>
      </c>
      <c r="H315" s="905">
        <f>VLieu!N$68</f>
        <v>4351.625</v>
      </c>
      <c r="I315" s="905"/>
      <c r="J315" s="905"/>
      <c r="K315" s="905">
        <f t="shared" ref="K315:K333" si="110">SUM(E315:J315)</f>
        <v>380531.03509081196</v>
      </c>
      <c r="L315" s="905">
        <f t="shared" si="108"/>
        <v>95132.75877270299</v>
      </c>
      <c r="M315" s="906">
        <f t="shared" si="109"/>
        <v>475663.79386351496</v>
      </c>
      <c r="N315" s="905"/>
      <c r="O315" s="271">
        <f>'DGSP_chitiet (truKH)'!K315</f>
        <v>380531.03509081196</v>
      </c>
      <c r="P315" s="271">
        <f>'DGSP_chitiet (truKH)'!L315</f>
        <v>95132.75877270299</v>
      </c>
      <c r="Q315" s="306">
        <f>'DGSP_chitiet (truKH)'!M315</f>
        <v>475663.79386351496</v>
      </c>
      <c r="R315" s="271">
        <f>'DGSP_chitiet (truKH)'!N315</f>
        <v>0</v>
      </c>
      <c r="S315" s="905">
        <f>NhanCong!V$70</f>
        <v>8757.6923076923067</v>
      </c>
    </row>
    <row r="316" spans="1:19">
      <c r="A316" s="1012"/>
      <c r="B316" s="1011"/>
      <c r="C316" s="1013"/>
      <c r="D316" s="274">
        <v>3</v>
      </c>
      <c r="E316" s="271">
        <f>NhanCong!U$72</f>
        <v>371196.5400000001</v>
      </c>
      <c r="F316" s="271">
        <f>NhanCong!U$73</f>
        <v>78590.769230769234</v>
      </c>
      <c r="G316" s="905">
        <f>Dcu!P$105*0.4</f>
        <v>1596.0616452991451</v>
      </c>
      <c r="H316" s="905">
        <f>VLieu!N$68</f>
        <v>4351.625</v>
      </c>
      <c r="I316" s="905"/>
      <c r="J316" s="905"/>
      <c r="K316" s="905">
        <f t="shared" si="110"/>
        <v>455734.99587606848</v>
      </c>
      <c r="L316" s="905">
        <f t="shared" si="108"/>
        <v>113933.74896901712</v>
      </c>
      <c r="M316" s="906">
        <f t="shared" si="109"/>
        <v>569668.74484508554</v>
      </c>
      <c r="N316" s="905"/>
      <c r="O316" s="271">
        <f>'DGSP_chitiet (truKH)'!K316</f>
        <v>455734.99587606848</v>
      </c>
      <c r="P316" s="271">
        <f>'DGSP_chitiet (truKH)'!L316</f>
        <v>113933.74896901712</v>
      </c>
      <c r="Q316" s="306">
        <f>'DGSP_chitiet (truKH)'!M316</f>
        <v>569668.74484508554</v>
      </c>
      <c r="R316" s="271">
        <f>'DGSP_chitiet (truKH)'!N316</f>
        <v>0</v>
      </c>
      <c r="S316" s="905">
        <f>NhanCong!V$72</f>
        <v>10509.23076923077</v>
      </c>
    </row>
    <row r="317" spans="1:19">
      <c r="A317" s="1012"/>
      <c r="B317" s="1011"/>
      <c r="C317" s="1013"/>
      <c r="D317" s="274">
        <v>4</v>
      </c>
      <c r="E317" s="271">
        <f>NhanCong!U$74</f>
        <v>501115.32900000009</v>
      </c>
      <c r="F317" s="271">
        <f>NhanCong!U$75</f>
        <v>106097.53846153848</v>
      </c>
      <c r="G317" s="905">
        <f>Dcu!P$106*0.4</f>
        <v>2074.8801388888887</v>
      </c>
      <c r="H317" s="905">
        <f>VLieu!N$68</f>
        <v>4351.625</v>
      </c>
      <c r="I317" s="905"/>
      <c r="J317" s="905"/>
      <c r="K317" s="905">
        <f t="shared" si="110"/>
        <v>613639.37260042736</v>
      </c>
      <c r="L317" s="905">
        <f t="shared" si="108"/>
        <v>153409.84315010684</v>
      </c>
      <c r="M317" s="906">
        <f t="shared" si="109"/>
        <v>767049.2157505342</v>
      </c>
      <c r="N317" s="905"/>
      <c r="O317" s="271">
        <f>'DGSP_chitiet (truKH)'!K317</f>
        <v>613639.37260042736</v>
      </c>
      <c r="P317" s="271">
        <f>'DGSP_chitiet (truKH)'!L317</f>
        <v>153409.84315010684</v>
      </c>
      <c r="Q317" s="306">
        <f>'DGSP_chitiet (truKH)'!M317</f>
        <v>767049.2157505342</v>
      </c>
      <c r="R317" s="271">
        <f>'DGSP_chitiet (truKH)'!N317</f>
        <v>0</v>
      </c>
      <c r="S317" s="905">
        <f>NhanCong!V$74</f>
        <v>14187.461538461537</v>
      </c>
    </row>
    <row r="318" spans="1:19">
      <c r="A318" s="1012"/>
      <c r="B318" s="1011"/>
      <c r="C318" s="1013"/>
      <c r="D318" s="274">
        <v>5</v>
      </c>
      <c r="E318" s="271">
        <f>NhanCong!U$76</f>
        <v>676488.5091250001</v>
      </c>
      <c r="F318" s="271">
        <f>NhanCong!U$77</f>
        <v>143228.03846153847</v>
      </c>
      <c r="G318" s="905">
        <f>Dcu!P$107*0.4</f>
        <v>2713.3047970085463</v>
      </c>
      <c r="H318" s="905">
        <f>VLieu!N$68</f>
        <v>4351.625</v>
      </c>
      <c r="I318" s="905"/>
      <c r="J318" s="905"/>
      <c r="K318" s="905">
        <f t="shared" si="110"/>
        <v>826781.47738354711</v>
      </c>
      <c r="L318" s="905">
        <f t="shared" si="108"/>
        <v>206695.36934588678</v>
      </c>
      <c r="M318" s="906">
        <f t="shared" si="109"/>
        <v>1033476.8467294339</v>
      </c>
      <c r="N318" s="905"/>
      <c r="O318" s="271">
        <f>'DGSP_chitiet (truKH)'!K318</f>
        <v>826781.47738354711</v>
      </c>
      <c r="P318" s="271">
        <f>'DGSP_chitiet (truKH)'!L318</f>
        <v>206695.36934588678</v>
      </c>
      <c r="Q318" s="306">
        <f>'DGSP_chitiet (truKH)'!M318</f>
        <v>1033476.8467294339</v>
      </c>
      <c r="R318" s="271">
        <f>'DGSP_chitiet (truKH)'!N318</f>
        <v>0</v>
      </c>
      <c r="S318" s="905">
        <f>NhanCong!V$76</f>
        <v>19152.586538461539</v>
      </c>
    </row>
    <row r="319" spans="1:19">
      <c r="A319" s="1012" t="s">
        <v>270</v>
      </c>
      <c r="B319" s="1011" t="str">
        <f>NhanCong!B$78</f>
        <v>Đo đạc ranh giới thửa đất và các đối tượng địa lý có liên quan</v>
      </c>
      <c r="C319" s="1013" t="s">
        <v>317</v>
      </c>
      <c r="D319" s="274" t="s">
        <v>18</v>
      </c>
      <c r="E319" s="271">
        <f>NhanCong!U$78</f>
        <v>510180.42968750006</v>
      </c>
      <c r="F319" s="271">
        <f>NhanCong!U$79</f>
        <v>17282.692307692309</v>
      </c>
      <c r="G319" s="905">
        <f>Dcu!P$103</f>
        <v>2793.1078792735034</v>
      </c>
      <c r="H319" s="905">
        <f>VLieu!N$69</f>
        <v>4351.625</v>
      </c>
      <c r="I319" s="905">
        <f>TBi!N$71</f>
        <v>8022.75</v>
      </c>
      <c r="J319" s="905"/>
      <c r="K319" s="905">
        <f t="shared" si="110"/>
        <v>542630.60487446585</v>
      </c>
      <c r="L319" s="905">
        <f t="shared" si="108"/>
        <v>135657.65121861646</v>
      </c>
      <c r="M319" s="906">
        <f t="shared" si="109"/>
        <v>678288.25609308225</v>
      </c>
      <c r="N319" s="905"/>
      <c r="O319" s="271">
        <f>'DGSP_chitiet (truKH)'!K319</f>
        <v>534607.85487446585</v>
      </c>
      <c r="P319" s="271">
        <f>'DGSP_chitiet (truKH)'!L319</f>
        <v>133651.96371861646</v>
      </c>
      <c r="Q319" s="306">
        <f>'DGSP_chitiet (truKH)'!M319</f>
        <v>668259.81859308225</v>
      </c>
      <c r="R319" s="271">
        <f>'DGSP_chitiet (truKH)'!N319</f>
        <v>0</v>
      </c>
      <c r="S319" s="905">
        <f>NhanCong!V$78</f>
        <v>14444.110576923074</v>
      </c>
    </row>
    <row r="320" spans="1:19">
      <c r="A320" s="1012"/>
      <c r="B320" s="1011"/>
      <c r="C320" s="1013"/>
      <c r="D320" s="274" t="s">
        <v>20</v>
      </c>
      <c r="E320" s="271">
        <f>NhanCong!U$80</f>
        <v>601261.06218750018</v>
      </c>
      <c r="F320" s="271">
        <f>NhanCong!U$81</f>
        <v>20375.384615384613</v>
      </c>
      <c r="G320" s="905">
        <f>Dcu!P$104</f>
        <v>3391.6309962606829</v>
      </c>
      <c r="H320" s="905">
        <f>VLieu!N$69</f>
        <v>4351.625</v>
      </c>
      <c r="I320" s="905">
        <f>TBi!O$71</f>
        <v>9452.77</v>
      </c>
      <c r="J320" s="905"/>
      <c r="K320" s="905">
        <f t="shared" si="110"/>
        <v>638832.4727991455</v>
      </c>
      <c r="L320" s="905">
        <f t="shared" si="108"/>
        <v>159708.11819978638</v>
      </c>
      <c r="M320" s="906">
        <f t="shared" si="109"/>
        <v>798540.5909989319</v>
      </c>
      <c r="N320" s="905"/>
      <c r="O320" s="271">
        <f>'DGSP_chitiet (truKH)'!K320</f>
        <v>629379.70279914548</v>
      </c>
      <c r="P320" s="271">
        <f>'DGSP_chitiet (truKH)'!L320</f>
        <v>157344.92569978637</v>
      </c>
      <c r="Q320" s="306">
        <f>'DGSP_chitiet (truKH)'!M320</f>
        <v>786724.62849893188</v>
      </c>
      <c r="R320" s="271">
        <f>'DGSP_chitiet (truKH)'!N320</f>
        <v>0</v>
      </c>
      <c r="S320" s="905">
        <f>NhanCong!V$80</f>
        <v>17022.764423076922</v>
      </c>
    </row>
    <row r="321" spans="1:19">
      <c r="A321" s="1012"/>
      <c r="B321" s="1011"/>
      <c r="C321" s="1013"/>
      <c r="D321" s="274" t="s">
        <v>35</v>
      </c>
      <c r="E321" s="271">
        <f>NhanCong!U$82</f>
        <v>710600.78375000018</v>
      </c>
      <c r="F321" s="271">
        <f>NhanCong!U$83</f>
        <v>24068.423076923078</v>
      </c>
      <c r="G321" s="905">
        <f>Dcu!P$105</f>
        <v>3990.1541132478624</v>
      </c>
      <c r="H321" s="905">
        <f>VLieu!N$69</f>
        <v>4351.625</v>
      </c>
      <c r="I321" s="905">
        <f>TBi!P$71</f>
        <v>11175.550000000001</v>
      </c>
      <c r="J321" s="905"/>
      <c r="K321" s="905">
        <f t="shared" si="110"/>
        <v>754186.53594017122</v>
      </c>
      <c r="L321" s="905">
        <f t="shared" si="108"/>
        <v>188546.6339850428</v>
      </c>
      <c r="M321" s="906">
        <f t="shared" si="109"/>
        <v>942733.16992521402</v>
      </c>
      <c r="N321" s="905"/>
      <c r="O321" s="271">
        <f>'DGSP_chitiet (truKH)'!K321</f>
        <v>743010.98594017117</v>
      </c>
      <c r="P321" s="271">
        <f>'DGSP_chitiet (truKH)'!L321</f>
        <v>185752.74648504279</v>
      </c>
      <c r="Q321" s="306">
        <f>'DGSP_chitiet (truKH)'!M321</f>
        <v>928763.73242521402</v>
      </c>
      <c r="R321" s="271">
        <f>'DGSP_chitiet (truKH)'!N321</f>
        <v>0</v>
      </c>
      <c r="S321" s="905">
        <f>NhanCong!V$82</f>
        <v>20118.365384615379</v>
      </c>
    </row>
    <row r="322" spans="1:19">
      <c r="A322" s="1012"/>
      <c r="B322" s="1011"/>
      <c r="C322" s="1013"/>
      <c r="D322" s="274" t="s">
        <v>33</v>
      </c>
      <c r="E322" s="271">
        <f>NhanCong!U$84</f>
        <v>923695.09375000012</v>
      </c>
      <c r="F322" s="271">
        <f>NhanCong!U$85</f>
        <v>39113.461538461539</v>
      </c>
      <c r="G322" s="905">
        <f>Dcu!P$106</f>
        <v>5187.2003472222214</v>
      </c>
      <c r="H322" s="905">
        <f>VLieu!N$69</f>
        <v>4351.625</v>
      </c>
      <c r="I322" s="905">
        <f>TBi!Q$71</f>
        <v>14525.400000000001</v>
      </c>
      <c r="J322" s="905"/>
      <c r="K322" s="905">
        <f t="shared" si="110"/>
        <v>986872.78063568391</v>
      </c>
      <c r="L322" s="905">
        <f t="shared" si="108"/>
        <v>246718.19515892098</v>
      </c>
      <c r="M322" s="906">
        <f t="shared" si="109"/>
        <v>1233590.975794605</v>
      </c>
      <c r="N322" s="905"/>
      <c r="O322" s="271">
        <f>'DGSP_chitiet (truKH)'!K322</f>
        <v>972347.38063568389</v>
      </c>
      <c r="P322" s="271">
        <f>'DGSP_chitiet (truKH)'!L322</f>
        <v>243086.84515892097</v>
      </c>
      <c r="Q322" s="306">
        <f>'DGSP_chitiet (truKH)'!M322</f>
        <v>1215434.225794605</v>
      </c>
      <c r="R322" s="271">
        <f>'DGSP_chitiet (truKH)'!N322</f>
        <v>0</v>
      </c>
      <c r="S322" s="905">
        <f>NhanCong!V$84</f>
        <v>26151.442307692305</v>
      </c>
    </row>
    <row r="323" spans="1:19">
      <c r="A323" s="1012"/>
      <c r="B323" s="1011"/>
      <c r="C323" s="1013"/>
      <c r="D323" s="274" t="s">
        <v>13</v>
      </c>
      <c r="E323" s="271">
        <f>NhanCong!U$86</f>
        <v>1200803.6218750002</v>
      </c>
      <c r="F323" s="271">
        <f>NhanCong!U$87</f>
        <v>50847.5</v>
      </c>
      <c r="G323" s="905">
        <f>Dcu!P$107</f>
        <v>6783.2619925213658</v>
      </c>
      <c r="H323" s="905">
        <f>VLieu!N$69</f>
        <v>4351.625</v>
      </c>
      <c r="I323" s="905">
        <f>TBi!R$71</f>
        <v>19051.920000000002</v>
      </c>
      <c r="J323" s="905"/>
      <c r="K323" s="905">
        <f t="shared" si="110"/>
        <v>1281837.9288675215</v>
      </c>
      <c r="L323" s="905">
        <f t="shared" si="108"/>
        <v>320459.48221688037</v>
      </c>
      <c r="M323" s="906">
        <f t="shared" si="109"/>
        <v>1602297.4110844019</v>
      </c>
      <c r="N323" s="905"/>
      <c r="O323" s="271">
        <f>'DGSP_chitiet (truKH)'!K323</f>
        <v>1262786.0088675215</v>
      </c>
      <c r="P323" s="271">
        <f>'DGSP_chitiet (truKH)'!L323</f>
        <v>315696.50221688038</v>
      </c>
      <c r="Q323" s="306">
        <f>'DGSP_chitiet (truKH)'!M323</f>
        <v>1578482.511084402</v>
      </c>
      <c r="R323" s="271">
        <f>'DGSP_chitiet (truKH)'!N323</f>
        <v>0</v>
      </c>
      <c r="S323" s="905">
        <f>NhanCong!V$86</f>
        <v>33996.875</v>
      </c>
    </row>
    <row r="324" spans="1:19">
      <c r="A324" s="1012" t="s">
        <v>363</v>
      </c>
      <c r="B324" s="1011" t="str">
        <f>NhanCong!B$88</f>
        <v>Đối soát, kiểm tra</v>
      </c>
      <c r="C324" s="1013" t="s">
        <v>317</v>
      </c>
      <c r="D324" s="274" t="s">
        <v>18</v>
      </c>
      <c r="E324" s="271">
        <f>NhanCong!U$88</f>
        <v>41802.573312500004</v>
      </c>
      <c r="F324" s="271">
        <f>NhanCong!U$89</f>
        <v>7076.8076923076924</v>
      </c>
      <c r="G324" s="905">
        <f>Dcu!P$103*0.4</f>
        <v>1117.2431517094014</v>
      </c>
      <c r="H324" s="905">
        <f>VLieu!N$70</f>
        <v>2262.8450000000003</v>
      </c>
      <c r="I324" s="905"/>
      <c r="J324" s="905"/>
      <c r="K324" s="905">
        <f t="shared" si="110"/>
        <v>52259.469156517102</v>
      </c>
      <c r="L324" s="905">
        <f t="shared" si="108"/>
        <v>13064.867289129275</v>
      </c>
      <c r="M324" s="906">
        <f t="shared" si="109"/>
        <v>65324.336445646375</v>
      </c>
      <c r="N324" s="905"/>
      <c r="O324" s="271">
        <f>'DGSP_chitiet (truKH)'!K324</f>
        <v>52259.469156517102</v>
      </c>
      <c r="P324" s="271">
        <f>'DGSP_chitiet (truKH)'!L324</f>
        <v>13064.867289129275</v>
      </c>
      <c r="Q324" s="306">
        <f>'DGSP_chitiet (truKH)'!M324</f>
        <v>65324.336445646375</v>
      </c>
      <c r="R324" s="271">
        <f>'DGSP_chitiet (truKH)'!N324</f>
        <v>0</v>
      </c>
      <c r="S324" s="905">
        <f>NhanCong!V$88</f>
        <v>1183.5048076923076</v>
      </c>
    </row>
    <row r="325" spans="1:19">
      <c r="A325" s="1012"/>
      <c r="B325" s="1011"/>
      <c r="C325" s="1013"/>
      <c r="D325" s="274" t="s">
        <v>20</v>
      </c>
      <c r="E325" s="271">
        <f>NhanCong!U$90</f>
        <v>49278.05918750001</v>
      </c>
      <c r="F325" s="271">
        <f>NhanCong!U$91</f>
        <v>8350.2692307692305</v>
      </c>
      <c r="G325" s="905">
        <f>Dcu!P$104*0.4</f>
        <v>1356.6523985042732</v>
      </c>
      <c r="H325" s="905">
        <f>VLieu!N$70</f>
        <v>2262.8450000000003</v>
      </c>
      <c r="I325" s="905"/>
      <c r="J325" s="905"/>
      <c r="K325" s="905">
        <f t="shared" si="110"/>
        <v>61247.825816773518</v>
      </c>
      <c r="L325" s="905">
        <f t="shared" si="108"/>
        <v>15311.95645419338</v>
      </c>
      <c r="M325" s="906">
        <f t="shared" si="109"/>
        <v>76559.782270966898</v>
      </c>
      <c r="N325" s="905"/>
      <c r="O325" s="271">
        <f>'DGSP_chitiet (truKH)'!K325</f>
        <v>61247.825816773518</v>
      </c>
      <c r="P325" s="271">
        <f>'DGSP_chitiet (truKH)'!L325</f>
        <v>15311.95645419338</v>
      </c>
      <c r="Q325" s="306">
        <f>'DGSP_chitiet (truKH)'!M325</f>
        <v>76559.782270966898</v>
      </c>
      <c r="R325" s="271">
        <f>'DGSP_chitiet (truKH)'!N325</f>
        <v>0</v>
      </c>
      <c r="S325" s="905">
        <f>NhanCong!V$90</f>
        <v>1395.1490384615383</v>
      </c>
    </row>
    <row r="326" spans="1:19">
      <c r="A326" s="1012"/>
      <c r="B326" s="1011"/>
      <c r="C326" s="1013"/>
      <c r="D326" s="274" t="s">
        <v>35</v>
      </c>
      <c r="E326" s="271">
        <f>NhanCong!U$92</f>
        <v>58214.272187500021</v>
      </c>
      <c r="F326" s="271">
        <f>NhanCong!U$93</f>
        <v>9860.2307692307695</v>
      </c>
      <c r="G326" s="905">
        <f>Dcu!P$105*0.4</f>
        <v>1596.0616452991451</v>
      </c>
      <c r="H326" s="905">
        <f>VLieu!N$70</f>
        <v>2262.8450000000003</v>
      </c>
      <c r="I326" s="905"/>
      <c r="J326" s="905"/>
      <c r="K326" s="905">
        <f t="shared" si="110"/>
        <v>71933.409602029933</v>
      </c>
      <c r="L326" s="905">
        <f t="shared" si="108"/>
        <v>17983.352400507483</v>
      </c>
      <c r="M326" s="906">
        <f t="shared" si="109"/>
        <v>89916.76200253742</v>
      </c>
      <c r="N326" s="905"/>
      <c r="O326" s="271">
        <f>'DGSP_chitiet (truKH)'!K326</f>
        <v>71933.409602029933</v>
      </c>
      <c r="P326" s="271">
        <f>'DGSP_chitiet (truKH)'!L326</f>
        <v>17983.352400507483</v>
      </c>
      <c r="Q326" s="306">
        <f>'DGSP_chitiet (truKH)'!M326</f>
        <v>89916.76200253742</v>
      </c>
      <c r="R326" s="271">
        <f>'DGSP_chitiet (truKH)'!N326</f>
        <v>0</v>
      </c>
      <c r="S326" s="905">
        <f>NhanCong!V$92</f>
        <v>1648.1490384615388</v>
      </c>
    </row>
    <row r="327" spans="1:19">
      <c r="A327" s="1012"/>
      <c r="B327" s="1011"/>
      <c r="C327" s="1013"/>
      <c r="D327" s="274" t="s">
        <v>33</v>
      </c>
      <c r="E327" s="271">
        <f>NhanCong!U$94</f>
        <v>89233.242312500006</v>
      </c>
      <c r="F327" s="271">
        <f>NhanCong!U$95</f>
        <v>24559.615384615387</v>
      </c>
      <c r="G327" s="905">
        <f>Dcu!P$106*0.4</f>
        <v>2074.8801388888887</v>
      </c>
      <c r="H327" s="905">
        <f>VLieu!N$70</f>
        <v>2262.8450000000003</v>
      </c>
      <c r="I327" s="905"/>
      <c r="J327" s="905"/>
      <c r="K327" s="905">
        <f t="shared" si="110"/>
        <v>118130.58283600428</v>
      </c>
      <c r="L327" s="905">
        <f t="shared" si="108"/>
        <v>29532.64570900107</v>
      </c>
      <c r="M327" s="906">
        <f t="shared" si="109"/>
        <v>147663.22854500535</v>
      </c>
      <c r="N327" s="905"/>
      <c r="O327" s="271">
        <f>'DGSP_chitiet (truKH)'!K327</f>
        <v>118130.58283600428</v>
      </c>
      <c r="P327" s="271">
        <f>'DGSP_chitiet (truKH)'!L327</f>
        <v>29532.64570900107</v>
      </c>
      <c r="Q327" s="306">
        <f>'DGSP_chitiet (truKH)'!M327</f>
        <v>147663.22854500535</v>
      </c>
      <c r="R327" s="271">
        <f>'DGSP_chitiet (truKH)'!N327</f>
        <v>0</v>
      </c>
      <c r="S327" s="905">
        <f>NhanCong!V$94</f>
        <v>2526.3509615384614</v>
      </c>
    </row>
    <row r="328" spans="1:19">
      <c r="A328" s="1012"/>
      <c r="B328" s="1011"/>
      <c r="C328" s="1013"/>
      <c r="D328" s="274" t="s">
        <v>13</v>
      </c>
      <c r="E328" s="271">
        <f>NhanCong!U$96</f>
        <v>142807.55775000004</v>
      </c>
      <c r="F328" s="271">
        <f>NhanCong!U$97</f>
        <v>39295.384615384617</v>
      </c>
      <c r="G328" s="905">
        <f>Dcu!P$107*0.4</f>
        <v>2713.3047970085463</v>
      </c>
      <c r="H328" s="905">
        <f>VLieu!N$70</f>
        <v>2262.8450000000003</v>
      </c>
      <c r="I328" s="905"/>
      <c r="J328" s="905"/>
      <c r="K328" s="905">
        <f t="shared" si="110"/>
        <v>187079.09216239321</v>
      </c>
      <c r="L328" s="905">
        <f t="shared" si="108"/>
        <v>46769.773040598302</v>
      </c>
      <c r="M328" s="906">
        <f t="shared" si="109"/>
        <v>233848.86520299152</v>
      </c>
      <c r="N328" s="905"/>
      <c r="O328" s="271">
        <f>'DGSP_chitiet (truKH)'!K328</f>
        <v>187079.09216239321</v>
      </c>
      <c r="P328" s="271">
        <f>'DGSP_chitiet (truKH)'!L328</f>
        <v>46769.773040598302</v>
      </c>
      <c r="Q328" s="306">
        <f>'DGSP_chitiet (truKH)'!M328</f>
        <v>233848.86520299152</v>
      </c>
      <c r="R328" s="271">
        <f>'DGSP_chitiet (truKH)'!N328</f>
        <v>0</v>
      </c>
      <c r="S328" s="905">
        <f>NhanCong!V$96</f>
        <v>4043.1346153846157</v>
      </c>
    </row>
    <row r="329" spans="1:19" ht="12.75" customHeight="1">
      <c r="A329" s="1012" t="s">
        <v>364</v>
      </c>
      <c r="B329" s="1011" t="str">
        <f>NhanCong!B$98</f>
        <v>Giao nhận Phiếu kết quả đo đạc hiện trạng thửa đất</v>
      </c>
      <c r="C329" s="1013" t="s">
        <v>317</v>
      </c>
      <c r="D329" s="274" t="s">
        <v>18</v>
      </c>
      <c r="E329" s="271">
        <f>NhanCong!U$98</f>
        <v>60963.876187500005</v>
      </c>
      <c r="F329" s="271">
        <f>NhanCong!U$99</f>
        <v>25814.884615384613</v>
      </c>
      <c r="G329" s="905">
        <f>Dcu!P$103*0.4</f>
        <v>1117.2431517094014</v>
      </c>
      <c r="H329" s="905">
        <f>VLieu!N$71</f>
        <v>2262.8450000000003</v>
      </c>
      <c r="I329" s="905"/>
      <c r="J329" s="905"/>
      <c r="K329" s="905">
        <f t="shared" si="110"/>
        <v>90158.848954594025</v>
      </c>
      <c r="L329" s="905">
        <f t="shared" si="108"/>
        <v>22539.712238648506</v>
      </c>
      <c r="M329" s="906">
        <f t="shared" si="109"/>
        <v>112698.56119324252</v>
      </c>
      <c r="N329" s="905"/>
      <c r="O329" s="271">
        <f>'DGSP_chitiet (truKH)'!K329</f>
        <v>90158.848954594025</v>
      </c>
      <c r="P329" s="271">
        <f>'DGSP_chitiet (truKH)'!L329</f>
        <v>22539.712238648506</v>
      </c>
      <c r="Q329" s="306">
        <f>'DGSP_chitiet (truKH)'!M329</f>
        <v>112698.56119324252</v>
      </c>
      <c r="R329" s="271">
        <f>'DGSP_chitiet (truKH)'!N329</f>
        <v>0</v>
      </c>
      <c r="S329" s="905">
        <f>NhanCong!V$98</f>
        <v>1725.9951923076922</v>
      </c>
    </row>
    <row r="330" spans="1:19">
      <c r="A330" s="1012"/>
      <c r="B330" s="1011"/>
      <c r="C330" s="1013"/>
      <c r="D330" s="274" t="s">
        <v>20</v>
      </c>
      <c r="E330" s="271">
        <f>NhanCong!U$100</f>
        <v>71876.367062500023</v>
      </c>
      <c r="F330" s="271">
        <f>NhanCong!U$101</f>
        <v>30435.73076923077</v>
      </c>
      <c r="G330" s="905">
        <f>Dcu!P$104*0.4</f>
        <v>1356.6523985042732</v>
      </c>
      <c r="H330" s="905">
        <f>VLieu!N$71</f>
        <v>2262.8450000000003</v>
      </c>
      <c r="I330" s="905"/>
      <c r="J330" s="905"/>
      <c r="K330" s="905">
        <f t="shared" si="110"/>
        <v>105931.59523023506</v>
      </c>
      <c r="L330" s="905">
        <f t="shared" si="108"/>
        <v>26482.898807558766</v>
      </c>
      <c r="M330" s="906">
        <f t="shared" si="109"/>
        <v>132414.49403779383</v>
      </c>
      <c r="N330" s="905"/>
      <c r="O330" s="271">
        <f>'DGSP_chitiet (truKH)'!K330</f>
        <v>105931.59523023506</v>
      </c>
      <c r="P330" s="271">
        <f>'DGSP_chitiet (truKH)'!L330</f>
        <v>26482.898807558766</v>
      </c>
      <c r="Q330" s="306">
        <f>'DGSP_chitiet (truKH)'!M330</f>
        <v>132414.49403779383</v>
      </c>
      <c r="R330" s="271">
        <f>'DGSP_chitiet (truKH)'!N330</f>
        <v>0</v>
      </c>
      <c r="S330" s="905">
        <f>NhanCong!V$100</f>
        <v>2034.9471153846152</v>
      </c>
    </row>
    <row r="331" spans="1:19">
      <c r="A331" s="1012"/>
      <c r="B331" s="1011"/>
      <c r="C331" s="1013"/>
      <c r="D331" s="274" t="s">
        <v>35</v>
      </c>
      <c r="E331" s="271">
        <f>NhanCong!U$102</f>
        <v>101907.19825000002</v>
      </c>
      <c r="F331" s="271">
        <f>NhanCong!U$103</f>
        <v>43152.153846153851</v>
      </c>
      <c r="G331" s="905">
        <f>Dcu!P$105*0.4</f>
        <v>1596.0616452991451</v>
      </c>
      <c r="H331" s="905">
        <f>VLieu!N$71</f>
        <v>2262.8450000000003</v>
      </c>
      <c r="I331" s="905"/>
      <c r="J331" s="905"/>
      <c r="K331" s="905">
        <f t="shared" si="110"/>
        <v>148918.258741453</v>
      </c>
      <c r="L331" s="905">
        <f t="shared" si="108"/>
        <v>37229.56468536325</v>
      </c>
      <c r="M331" s="906">
        <f t="shared" si="109"/>
        <v>186147.82342681626</v>
      </c>
      <c r="N331" s="905"/>
      <c r="O331" s="271">
        <f>'DGSP_chitiet (truKH)'!K331</f>
        <v>148918.258741453</v>
      </c>
      <c r="P331" s="271">
        <f>'DGSP_chitiet (truKH)'!L331</f>
        <v>37229.56468536325</v>
      </c>
      <c r="Q331" s="306">
        <f>'DGSP_chitiet (truKH)'!M331</f>
        <v>186147.82342681626</v>
      </c>
      <c r="R331" s="271">
        <f>'DGSP_chitiet (truKH)'!N331</f>
        <v>0</v>
      </c>
      <c r="S331" s="905">
        <f>NhanCong!V$102</f>
        <v>2885.1730769230762</v>
      </c>
    </row>
    <row r="332" spans="1:19">
      <c r="A332" s="1012"/>
      <c r="B332" s="1011"/>
      <c r="C332" s="1013"/>
      <c r="D332" s="274" t="s">
        <v>33</v>
      </c>
      <c r="E332" s="271">
        <f>NhanCong!U$104</f>
        <v>130176.56437500003</v>
      </c>
      <c r="F332" s="271">
        <f>NhanCong!U$105</f>
        <v>55122.692307692312</v>
      </c>
      <c r="G332" s="905">
        <f>Dcu!P$106*0.4</f>
        <v>2074.8801388888887</v>
      </c>
      <c r="H332" s="905">
        <f>VLieu!N$71</f>
        <v>2262.8450000000003</v>
      </c>
      <c r="I332" s="905"/>
      <c r="J332" s="905"/>
      <c r="K332" s="905">
        <f t="shared" si="110"/>
        <v>189636.98182158123</v>
      </c>
      <c r="L332" s="905">
        <f t="shared" si="108"/>
        <v>47409.245455395307</v>
      </c>
      <c r="M332" s="906">
        <f t="shared" si="109"/>
        <v>237046.22727697654</v>
      </c>
      <c r="N332" s="905"/>
      <c r="O332" s="271">
        <f>'DGSP_chitiet (truKH)'!K332</f>
        <v>189636.98182158123</v>
      </c>
      <c r="P332" s="271">
        <f>'DGSP_chitiet (truKH)'!L332</f>
        <v>47409.245455395307</v>
      </c>
      <c r="Q332" s="306">
        <f>'DGSP_chitiet (truKH)'!M332</f>
        <v>237046.22727697654</v>
      </c>
      <c r="R332" s="271">
        <f>'DGSP_chitiet (truKH)'!N332</f>
        <v>0</v>
      </c>
      <c r="S332" s="905">
        <f>NhanCong!V$104</f>
        <v>3685.5288461538462</v>
      </c>
    </row>
    <row r="333" spans="1:19">
      <c r="A333" s="1012"/>
      <c r="B333" s="1011"/>
      <c r="C333" s="1013"/>
      <c r="D333" s="274" t="s">
        <v>13</v>
      </c>
      <c r="E333" s="271">
        <f>NhanCong!U$106</f>
        <v>168155.46962500003</v>
      </c>
      <c r="F333" s="271">
        <f>NhanCong!U$107</f>
        <v>71204.692307692312</v>
      </c>
      <c r="G333" s="905">
        <f>Dcu!P$107*0.4</f>
        <v>2713.3047970085463</v>
      </c>
      <c r="H333" s="905">
        <f>VLieu!N$71</f>
        <v>2262.8450000000003</v>
      </c>
      <c r="I333" s="905"/>
      <c r="J333" s="905"/>
      <c r="K333" s="905">
        <f t="shared" si="110"/>
        <v>244336.31172970089</v>
      </c>
      <c r="L333" s="905">
        <f t="shared" si="108"/>
        <v>61084.077932425222</v>
      </c>
      <c r="M333" s="906">
        <f t="shared" si="109"/>
        <v>305420.38966212608</v>
      </c>
      <c r="N333" s="905"/>
      <c r="O333" s="271">
        <f>'DGSP_chitiet (truKH)'!K333</f>
        <v>244336.31172970089</v>
      </c>
      <c r="P333" s="271">
        <f>'DGSP_chitiet (truKH)'!L333</f>
        <v>61084.077932425222</v>
      </c>
      <c r="Q333" s="306">
        <f>'DGSP_chitiet (truKH)'!M333</f>
        <v>305420.38966212608</v>
      </c>
      <c r="R333" s="271">
        <f>'DGSP_chitiet (truKH)'!N333</f>
        <v>0</v>
      </c>
      <c r="S333" s="905">
        <f>NhanCong!V$106</f>
        <v>4760.7788461538466</v>
      </c>
    </row>
    <row r="334" spans="1:19" ht="13.5" customHeight="1">
      <c r="A334" s="242">
        <v>2</v>
      </c>
      <c r="B334" s="276" t="s">
        <v>58</v>
      </c>
      <c r="C334" s="274" t="s">
        <v>43</v>
      </c>
      <c r="D334" s="274"/>
      <c r="E334" s="271">
        <f>NhanCong!U$108</f>
        <v>0</v>
      </c>
      <c r="F334" s="271"/>
      <c r="G334" s="905"/>
      <c r="H334" s="905"/>
      <c r="I334" s="905"/>
      <c r="J334" s="905"/>
      <c r="K334" s="905">
        <f>E334+F334+G334+I334+J334</f>
        <v>0</v>
      </c>
      <c r="L334" s="905"/>
      <c r="M334" s="906"/>
      <c r="N334" s="905"/>
      <c r="O334" s="271">
        <f>'DGSP_chitiet (truKH)'!K334</f>
        <v>0</v>
      </c>
      <c r="P334" s="271">
        <f>'DGSP_chitiet (truKH)'!L334</f>
        <v>0</v>
      </c>
      <c r="Q334" s="306">
        <f>'DGSP_chitiet (truKH)'!M334</f>
        <v>0</v>
      </c>
      <c r="R334" s="271">
        <f>'DGSP_chitiet (truKH)'!N334</f>
        <v>0</v>
      </c>
      <c r="S334" s="905"/>
    </row>
    <row r="335" spans="1:19">
      <c r="A335" s="1012" t="s">
        <v>268</v>
      </c>
      <c r="B335" s="1011" t="str">
        <f>NhanCong!B$109</f>
        <v>Biên tập bản đồ địa chính</v>
      </c>
      <c r="C335" s="1013" t="s">
        <v>317</v>
      </c>
      <c r="D335" s="274" t="s">
        <v>18</v>
      </c>
      <c r="E335" s="271">
        <f>NhanCong!U$109</f>
        <v>124075.88050000003</v>
      </c>
      <c r="F335" s="271"/>
      <c r="G335" s="905">
        <f>Dcu!P$123</f>
        <v>550.10740410256403</v>
      </c>
      <c r="H335" s="905">
        <f>VLieu!N$90</f>
        <v>20757</v>
      </c>
      <c r="I335" s="905">
        <f>TBi!N$108</f>
        <v>10256.500685714285</v>
      </c>
      <c r="J335" s="905">
        <f>TBi!N$114</f>
        <v>4208.9207999999999</v>
      </c>
      <c r="K335" s="905">
        <f>SUM(E335:J335)</f>
        <v>159848.40938981686</v>
      </c>
      <c r="L335" s="905">
        <f>K335*0.15</f>
        <v>23977.261408472528</v>
      </c>
      <c r="M335" s="906">
        <f>K335+L335</f>
        <v>183825.67079828939</v>
      </c>
      <c r="N335" s="905"/>
      <c r="O335" s="271">
        <f>'DGSP_chitiet (truKH)'!K335</f>
        <v>149591.90870410259</v>
      </c>
      <c r="P335" s="271">
        <f>'DGSP_chitiet (truKH)'!L335</f>
        <v>22438.786305615387</v>
      </c>
      <c r="Q335" s="306">
        <f>'DGSP_chitiet (truKH)'!M335</f>
        <v>172030.69500971798</v>
      </c>
      <c r="R335" s="271">
        <f>'DGSP_chitiet (truKH)'!N335</f>
        <v>0</v>
      </c>
      <c r="S335" s="905">
        <f>NhanCong!V$109</f>
        <v>3512.8076923076924</v>
      </c>
    </row>
    <row r="336" spans="1:19">
      <c r="A336" s="1012"/>
      <c r="B336" s="1011"/>
      <c r="C336" s="1013"/>
      <c r="D336" s="274" t="s">
        <v>20</v>
      </c>
      <c r="E336" s="271">
        <f>NhanCong!U$110</f>
        <v>148891.05660000001</v>
      </c>
      <c r="F336" s="271"/>
      <c r="G336" s="905">
        <f>Dcu!P$124</f>
        <v>705.97116859829055</v>
      </c>
      <c r="H336" s="905">
        <f>VLieu!N$90</f>
        <v>20757</v>
      </c>
      <c r="I336" s="905">
        <f>TBi!O$108</f>
        <v>12325.293707142859</v>
      </c>
      <c r="J336" s="905">
        <f>TBi!O$114</f>
        <v>5349.9683999999997</v>
      </c>
      <c r="K336" s="905">
        <f>SUM(E336:J336)</f>
        <v>188029.28987574115</v>
      </c>
      <c r="L336" s="905">
        <f>K336*0.15</f>
        <v>28204.39348136117</v>
      </c>
      <c r="M336" s="906">
        <f>K336+L336</f>
        <v>216233.68335710233</v>
      </c>
      <c r="N336" s="905"/>
      <c r="O336" s="271">
        <f>'DGSP_chitiet (truKH)'!K336</f>
        <v>175703.9961685983</v>
      </c>
      <c r="P336" s="271">
        <f>'DGSP_chitiet (truKH)'!L336</f>
        <v>26355.599425289744</v>
      </c>
      <c r="Q336" s="306">
        <f>'DGSP_chitiet (truKH)'!M336</f>
        <v>202059.59559388805</v>
      </c>
      <c r="R336" s="271">
        <f>'DGSP_chitiet (truKH)'!N336</f>
        <v>0</v>
      </c>
      <c r="S336" s="905">
        <f>NhanCong!V$110</f>
        <v>4215.3692307692309</v>
      </c>
    </row>
    <row r="337" spans="1:19">
      <c r="A337" s="1012"/>
      <c r="B337" s="1011"/>
      <c r="C337" s="1013"/>
      <c r="D337" s="274" t="s">
        <v>35</v>
      </c>
      <c r="E337" s="271">
        <f>NhanCong!U$111</f>
        <v>178724.26000000004</v>
      </c>
      <c r="F337" s="271"/>
      <c r="G337" s="905">
        <f>Dcu!P$125</f>
        <v>916.84567350427346</v>
      </c>
      <c r="H337" s="905">
        <f>VLieu!N$90</f>
        <v>20757</v>
      </c>
      <c r="I337" s="905">
        <f>TBi!P$108</f>
        <v>14807.661892857144</v>
      </c>
      <c r="J337" s="905">
        <f>TBi!P$114</f>
        <v>6782.1768000000002</v>
      </c>
      <c r="K337" s="905">
        <f>SUM(E337:J337)</f>
        <v>221987.94436636145</v>
      </c>
      <c r="L337" s="905">
        <f>K337*0.15</f>
        <v>33298.191654954215</v>
      </c>
      <c r="M337" s="906">
        <f>K337+L337</f>
        <v>255286.13602131567</v>
      </c>
      <c r="N337" s="905"/>
      <c r="O337" s="271">
        <f>'DGSP_chitiet (truKH)'!K337</f>
        <v>207180.28247350431</v>
      </c>
      <c r="P337" s="271">
        <f>'DGSP_chitiet (truKH)'!L337</f>
        <v>31077.042371025644</v>
      </c>
      <c r="Q337" s="306">
        <f>'DGSP_chitiet (truKH)'!M337</f>
        <v>238257.32484452997</v>
      </c>
      <c r="R337" s="271">
        <f>'DGSP_chitiet (truKH)'!N337</f>
        <v>0</v>
      </c>
      <c r="S337" s="905">
        <f>NhanCong!V$111</f>
        <v>5060</v>
      </c>
    </row>
    <row r="338" spans="1:19">
      <c r="A338" s="1012"/>
      <c r="B338" s="1011"/>
      <c r="C338" s="1013"/>
      <c r="D338" s="274" t="s">
        <v>33</v>
      </c>
      <c r="E338" s="271">
        <f>NhanCong!U$112</f>
        <v>143185.62830000001</v>
      </c>
      <c r="F338" s="271"/>
      <c r="G338" s="905">
        <f>Dcu!P$126</f>
        <v>678.46579839316234</v>
      </c>
      <c r="H338" s="905">
        <f>VLieu!N$90</f>
        <v>20757</v>
      </c>
      <c r="I338" s="905">
        <f>TBi!Q$108</f>
        <v>11860.2181</v>
      </c>
      <c r="J338" s="905">
        <f>TBi!Q$114</f>
        <v>5221.5281999999997</v>
      </c>
      <c r="K338" s="905">
        <f>SUM(E338:J338)</f>
        <v>181702.84039839316</v>
      </c>
      <c r="L338" s="905">
        <f>K338*0.15</f>
        <v>27255.426059758975</v>
      </c>
      <c r="M338" s="906">
        <f>K338+L338</f>
        <v>208958.26645815215</v>
      </c>
      <c r="N338" s="905"/>
      <c r="O338" s="271">
        <f>'DGSP_chitiet (truKH)'!K338</f>
        <v>169842.62229839317</v>
      </c>
      <c r="P338" s="271">
        <f>'DGSP_chitiet (truKH)'!L338</f>
        <v>25476.393344758973</v>
      </c>
      <c r="Q338" s="306">
        <f>'DGSP_chitiet (truKH)'!M338</f>
        <v>195319.01564315215</v>
      </c>
      <c r="R338" s="271">
        <f>'DGSP_chitiet (truKH)'!N338</f>
        <v>0</v>
      </c>
      <c r="S338" s="905">
        <f>NhanCong!V$112</f>
        <v>4053.8384615384612</v>
      </c>
    </row>
    <row r="339" spans="1:19">
      <c r="A339" s="1012"/>
      <c r="B339" s="1011"/>
      <c r="C339" s="1013"/>
      <c r="D339" s="274" t="s">
        <v>13</v>
      </c>
      <c r="E339" s="271">
        <f>NhanCong!U$113</f>
        <v>179067.96050000004</v>
      </c>
      <c r="F339" s="271"/>
      <c r="G339" s="905">
        <f>Dcu!P$127</f>
        <v>916.84567350427346</v>
      </c>
      <c r="H339" s="905">
        <f>VLieu!N$90</f>
        <v>20757</v>
      </c>
      <c r="I339" s="905">
        <f>TBi!R$108</f>
        <v>14846.741571428573</v>
      </c>
      <c r="J339" s="905">
        <f>TBi!R$114</f>
        <v>6895.4801999999991</v>
      </c>
      <c r="K339" s="905">
        <f>SUM(E339:J339)</f>
        <v>222484.0279449329</v>
      </c>
      <c r="L339" s="905">
        <f>K339*0.15</f>
        <v>33372.604191739934</v>
      </c>
      <c r="M339" s="906">
        <f>K339+L339</f>
        <v>255856.63213667282</v>
      </c>
      <c r="N339" s="905"/>
      <c r="O339" s="271">
        <f>'DGSP_chitiet (truKH)'!K339</f>
        <v>207637.28637350432</v>
      </c>
      <c r="P339" s="271">
        <f>'DGSP_chitiet (truKH)'!L339</f>
        <v>31145.592956025648</v>
      </c>
      <c r="Q339" s="306">
        <f>'DGSP_chitiet (truKH)'!M339</f>
        <v>238782.87932952997</v>
      </c>
      <c r="R339" s="271">
        <f>'DGSP_chitiet (truKH)'!N339</f>
        <v>0</v>
      </c>
      <c r="S339" s="905">
        <f>NhanCong!V$113</f>
        <v>5069.7307692307695</v>
      </c>
    </row>
    <row r="340" spans="1:19" ht="26">
      <c r="A340" s="969">
        <v>2.2000000000000002</v>
      </c>
      <c r="B340" s="970" t="str">
        <f>NhanCong!B$114</f>
        <v>Lập Phiếu xác nhận kết quả đo đạc hiện trạng thửa đất</v>
      </c>
      <c r="C340" s="274" t="s">
        <v>317</v>
      </c>
      <c r="D340" s="274" t="s">
        <v>15</v>
      </c>
      <c r="E340" s="271">
        <f>NhanCong!U$114</f>
        <v>75614.110000000015</v>
      </c>
      <c r="F340" s="271"/>
      <c r="G340" s="905">
        <f>Dcu!P$138</f>
        <v>353.01787179487178</v>
      </c>
      <c r="H340" s="905">
        <f>VLieu!N$91</f>
        <v>16983</v>
      </c>
      <c r="I340" s="905">
        <f>TBi!N$142</f>
        <v>2039.6042857142859</v>
      </c>
      <c r="J340" s="905">
        <f>TBi!N$145</f>
        <v>2673.8712</v>
      </c>
      <c r="K340" s="905">
        <f t="shared" ref="K340:K345" si="111">SUM(E340:J340)</f>
        <v>97663.603357509171</v>
      </c>
      <c r="L340" s="905">
        <f t="shared" ref="L340:L345" si="112">K340*0.15</f>
        <v>14649.540503626375</v>
      </c>
      <c r="M340" s="906">
        <f t="shared" ref="M340:M345" si="113">K340+L340</f>
        <v>112313.14386113554</v>
      </c>
      <c r="N340" s="905"/>
      <c r="O340" s="271">
        <f>'DGSP_chitiet (truKH)'!K340</f>
        <v>95623.999071794882</v>
      </c>
      <c r="P340" s="271">
        <f>'DGSP_chitiet (truKH)'!L340</f>
        <v>14343.599860769233</v>
      </c>
      <c r="Q340" s="306">
        <f>'DGSP_chitiet (truKH)'!M340</f>
        <v>109967.59893256411</v>
      </c>
      <c r="R340" s="271">
        <f>'DGSP_chitiet (truKH)'!N340</f>
        <v>0</v>
      </c>
      <c r="S340" s="905">
        <f>NhanCong!V$114</f>
        <v>2140.7692307692305</v>
      </c>
    </row>
    <row r="341" spans="1:19" ht="26">
      <c r="A341" s="969">
        <v>2.2999999999999998</v>
      </c>
      <c r="B341" s="970" t="str">
        <f>NhanCong!B$115</f>
        <v>Công khai bản đồ địa chính, Hoàn thiện bản đồ địa chính</v>
      </c>
      <c r="C341" s="274" t="s">
        <v>317</v>
      </c>
      <c r="D341" s="274" t="s">
        <v>15</v>
      </c>
      <c r="E341" s="271">
        <f>NhanCong!U$115</f>
        <v>67365.29800000001</v>
      </c>
      <c r="F341" s="271"/>
      <c r="G341" s="905">
        <f>Dcu!P$130</f>
        <v>293.39061552136752</v>
      </c>
      <c r="H341" s="905">
        <f>VLieu!N$94</f>
        <v>7548</v>
      </c>
      <c r="I341" s="905">
        <f>TBi!N$168</f>
        <v>1687.3090000000002</v>
      </c>
      <c r="J341" s="905">
        <f>TBi!N$171</f>
        <v>2211.9762000000001</v>
      </c>
      <c r="K341" s="905">
        <f t="shared" si="111"/>
        <v>79105.973815521371</v>
      </c>
      <c r="L341" s="905">
        <f t="shared" si="112"/>
        <v>11865.896072328205</v>
      </c>
      <c r="M341" s="906">
        <f t="shared" si="113"/>
        <v>90971.869887849578</v>
      </c>
      <c r="N341" s="905"/>
      <c r="O341" s="271">
        <f>'DGSP_chitiet (truKH)'!K341</f>
        <v>77418.664815521377</v>
      </c>
      <c r="P341" s="271">
        <f>'DGSP_chitiet (truKH)'!L341</f>
        <v>11612.799722328205</v>
      </c>
      <c r="Q341" s="306">
        <f>'DGSP_chitiet (truKH)'!M341</f>
        <v>89031.464537849577</v>
      </c>
      <c r="R341" s="271">
        <f>'DGSP_chitiet (truKH)'!N341</f>
        <v>0</v>
      </c>
      <c r="S341" s="905">
        <f>NhanCong!V$115</f>
        <v>1907.2307692307693</v>
      </c>
    </row>
    <row r="342" spans="1:19">
      <c r="A342" s="969">
        <v>2.4</v>
      </c>
      <c r="B342" s="970" t="str">
        <f>NhanCong!B$116</f>
        <v>Lập sổ mục kê đất đai phạm vi khu đo</v>
      </c>
      <c r="C342" s="274" t="s">
        <v>317</v>
      </c>
      <c r="D342" s="274" t="s">
        <v>15</v>
      </c>
      <c r="E342" s="271">
        <f>NhanCong!U$116</f>
        <v>7630.1511000000019</v>
      </c>
      <c r="F342" s="271"/>
      <c r="G342" s="905">
        <f>Dcu!P$140</f>
        <v>275.05370205128202</v>
      </c>
      <c r="H342" s="905">
        <f>VLieu!N$94</f>
        <v>7548</v>
      </c>
      <c r="I342" s="905"/>
      <c r="J342" s="905"/>
      <c r="K342" s="905">
        <f t="shared" si="111"/>
        <v>15453.204802051285</v>
      </c>
      <c r="L342" s="905">
        <f t="shared" si="112"/>
        <v>2317.9807203076925</v>
      </c>
      <c r="M342" s="906">
        <f t="shared" si="113"/>
        <v>17771.185522358977</v>
      </c>
      <c r="N342" s="905"/>
      <c r="O342" s="271">
        <f>'DGSP_chitiet (truKH)'!K342</f>
        <v>15453.204802051285</v>
      </c>
      <c r="P342" s="271">
        <f>'DGSP_chitiet (truKH)'!L342</f>
        <v>2317.9807203076925</v>
      </c>
      <c r="Q342" s="306">
        <f>'DGSP_chitiet (truKH)'!M342</f>
        <v>17771.185522358977</v>
      </c>
      <c r="R342" s="271">
        <f>'DGSP_chitiet (truKH)'!N342</f>
        <v>0</v>
      </c>
      <c r="S342" s="905">
        <f>NhanCong!V$116</f>
        <v>216.02307692307696</v>
      </c>
    </row>
    <row r="343" spans="1:19" ht="39">
      <c r="A343" s="969">
        <v>2.5</v>
      </c>
      <c r="B343" s="970" t="str">
        <f>NhanCong!B$117</f>
        <v>In sản phẩm đo đạc lập bản đồ địa chính gồm sản phẩm chính và sản phẩm trung gian</v>
      </c>
      <c r="C343" s="274" t="s">
        <v>317</v>
      </c>
      <c r="D343" s="274" t="s">
        <v>15</v>
      </c>
      <c r="E343" s="271">
        <f>NhanCong!U$117</f>
        <v>2646.4938500000007</v>
      </c>
      <c r="F343" s="271"/>
      <c r="G343" s="905">
        <f>Dcu!P$152</f>
        <v>574.56527435897431</v>
      </c>
      <c r="H343" s="905">
        <f>VLieu!N$102</f>
        <v>673</v>
      </c>
      <c r="I343" s="905">
        <f>TBi!N$197</f>
        <v>93.903585714285711</v>
      </c>
      <c r="J343" s="905">
        <f>TBi!N$201</f>
        <v>98.389200000000002</v>
      </c>
      <c r="K343" s="905">
        <f t="shared" si="111"/>
        <v>4086.351910073261</v>
      </c>
      <c r="L343" s="905">
        <f t="shared" si="112"/>
        <v>612.95278651098909</v>
      </c>
      <c r="M343" s="906">
        <f t="shared" si="113"/>
        <v>4699.3046965842505</v>
      </c>
      <c r="N343" s="905"/>
      <c r="O343" s="271">
        <f>'DGSP_chitiet (truKH)'!K343</f>
        <v>3992.4483243589752</v>
      </c>
      <c r="P343" s="271">
        <f>'DGSP_chitiet (truKH)'!L343</f>
        <v>598.86724865384622</v>
      </c>
      <c r="Q343" s="306">
        <f>'DGSP_chitiet (truKH)'!M343</f>
        <v>4591.3155730128219</v>
      </c>
      <c r="R343" s="271">
        <f>'DGSP_chitiet (truKH)'!N343</f>
        <v>0</v>
      </c>
      <c r="S343" s="905">
        <f>NhanCong!V$117</f>
        <v>74.926923076923075</v>
      </c>
    </row>
    <row r="344" spans="1:19">
      <c r="A344" s="243">
        <v>2.6</v>
      </c>
      <c r="B344" s="970" t="str">
        <f>NhanCong!B$118</f>
        <v>Trình ký xác nhận hồ sơ</v>
      </c>
      <c r="C344" s="274" t="s">
        <v>317</v>
      </c>
      <c r="D344" s="274" t="s">
        <v>15</v>
      </c>
      <c r="E344" s="271">
        <f>NhanCong!U$118</f>
        <v>3780.7055000000009</v>
      </c>
      <c r="F344" s="271"/>
      <c r="G344" s="905">
        <f>Dcu!P$140</f>
        <v>275.05370205128202</v>
      </c>
      <c r="H344" s="905">
        <f>VLieu!N$94</f>
        <v>7548</v>
      </c>
      <c r="I344" s="905"/>
      <c r="J344" s="905"/>
      <c r="K344" s="905">
        <f t="shared" si="111"/>
        <v>11603.759202051282</v>
      </c>
      <c r="L344" s="905">
        <f t="shared" si="112"/>
        <v>1740.5638803076922</v>
      </c>
      <c r="M344" s="906">
        <f t="shared" si="113"/>
        <v>13344.323082358975</v>
      </c>
      <c r="N344" s="905"/>
      <c r="O344" s="271">
        <f>'DGSP_chitiet (truKH)'!K344</f>
        <v>11603.759202051282</v>
      </c>
      <c r="P344" s="271">
        <f>'DGSP_chitiet (truKH)'!L344</f>
        <v>1740.5638803076922</v>
      </c>
      <c r="Q344" s="306">
        <f>'DGSP_chitiet (truKH)'!M344</f>
        <v>13344.323082358975</v>
      </c>
      <c r="R344" s="271">
        <f>'DGSP_chitiet (truKH)'!N344</f>
        <v>0</v>
      </c>
      <c r="S344" s="905">
        <f>NhanCong!V$118</f>
        <v>107.03846153846155</v>
      </c>
    </row>
    <row r="345" spans="1:19" ht="26">
      <c r="A345" s="243">
        <v>2.7</v>
      </c>
      <c r="B345" s="970" t="str">
        <f>NhanCong!B$119</f>
        <v>Giao nộp sản phẩm đo đạc lập bản đồ địa chính</v>
      </c>
      <c r="C345" s="274" t="s">
        <v>317</v>
      </c>
      <c r="D345" s="274" t="s">
        <v>15</v>
      </c>
      <c r="E345" s="271">
        <f>NhanCong!U$119</f>
        <v>8729.9927000000007</v>
      </c>
      <c r="F345" s="271"/>
      <c r="G345" s="905">
        <f>Dcu!P$154</f>
        <v>28.728263717948717</v>
      </c>
      <c r="H345" s="905">
        <f>VLieu!N$94</f>
        <v>7548</v>
      </c>
      <c r="I345" s="905"/>
      <c r="J345" s="905"/>
      <c r="K345" s="905">
        <f t="shared" si="111"/>
        <v>16306.720963717949</v>
      </c>
      <c r="L345" s="905">
        <f t="shared" si="112"/>
        <v>2446.0081445576925</v>
      </c>
      <c r="M345" s="906">
        <f t="shared" si="113"/>
        <v>18752.729108275642</v>
      </c>
      <c r="N345" s="905"/>
      <c r="O345" s="271">
        <f>'DGSP_chitiet (truKH)'!K345</f>
        <v>16306.720963717949</v>
      </c>
      <c r="P345" s="271">
        <f>'DGSP_chitiet (truKH)'!L345</f>
        <v>2446.0081445576925</v>
      </c>
      <c r="Q345" s="306">
        <f>'DGSP_chitiet (truKH)'!M345</f>
        <v>18752.729108275642</v>
      </c>
      <c r="R345" s="271">
        <f>'DGSP_chitiet (truKH)'!N345</f>
        <v>0</v>
      </c>
      <c r="S345" s="905">
        <f>NhanCong!V$119</f>
        <v>247.16153846153847</v>
      </c>
    </row>
    <row r="346" spans="1:19">
      <c r="A346" s="243"/>
      <c r="B346" s="273"/>
      <c r="C346" s="243"/>
      <c r="D346" s="274"/>
      <c r="E346" s="271"/>
      <c r="F346" s="271"/>
      <c r="G346" s="905"/>
      <c r="H346" s="905"/>
      <c r="I346" s="905"/>
      <c r="J346" s="905"/>
      <c r="K346" s="905"/>
      <c r="L346" s="905"/>
      <c r="M346" s="906"/>
      <c r="N346" s="905"/>
      <c r="O346" s="271">
        <f>'DGSP_chitiet (truKH)'!K346</f>
        <v>0</v>
      </c>
      <c r="P346" s="271">
        <f>'DGSP_chitiet (truKH)'!L346</f>
        <v>0</v>
      </c>
      <c r="Q346" s="306">
        <f>'DGSP_chitiet (truKH)'!M346</f>
        <v>0</v>
      </c>
      <c r="R346" s="271">
        <f>'DGSP_chitiet (truKH)'!N346</f>
        <v>0</v>
      </c>
      <c r="S346" s="905"/>
    </row>
    <row r="347" spans="1:19">
      <c r="A347" s="242" t="s">
        <v>31</v>
      </c>
      <c r="B347" s="276" t="s">
        <v>48</v>
      </c>
      <c r="C347" s="243"/>
      <c r="D347" s="243"/>
      <c r="E347" s="271"/>
      <c r="F347" s="271"/>
      <c r="G347" s="271"/>
      <c r="H347" s="271"/>
      <c r="I347" s="271"/>
      <c r="J347" s="271"/>
      <c r="K347" s="271"/>
      <c r="L347" s="271"/>
      <c r="M347" s="272">
        <v>900</v>
      </c>
      <c r="N347" s="974" t="s">
        <v>21</v>
      </c>
      <c r="O347" s="271">
        <f>'DGSP_chitiet (truKH)'!K347</f>
        <v>0</v>
      </c>
      <c r="P347" s="271">
        <f>'DGSP_chitiet (truKH)'!L347</f>
        <v>0</v>
      </c>
      <c r="Q347" s="306">
        <f>'DGSP_chitiet (truKH)'!M347</f>
        <v>900</v>
      </c>
      <c r="R347" s="271" t="str">
        <f>'DGSP_chitiet (truKH)'!N347</f>
        <v>ha</v>
      </c>
      <c r="S347" s="271"/>
    </row>
    <row r="348" spans="1:19">
      <c r="A348" s="1005"/>
      <c r="B348" s="1014" t="s">
        <v>190</v>
      </c>
      <c r="C348" s="1005" t="s">
        <v>21</v>
      </c>
      <c r="D348" s="242">
        <v>1</v>
      </c>
      <c r="E348" s="271">
        <f t="shared" ref="E348:J348" si="114">SUM(E$376,E377,E381,E385,E389,E393)</f>
        <v>370473.85428472236</v>
      </c>
      <c r="F348" s="271">
        <f t="shared" si="114"/>
        <v>37081.987179487187</v>
      </c>
      <c r="G348" s="271">
        <f t="shared" si="114"/>
        <v>3560.9192737980766</v>
      </c>
      <c r="H348" s="271">
        <f t="shared" si="114"/>
        <v>3970.7027777777776</v>
      </c>
      <c r="I348" s="271">
        <f t="shared" si="114"/>
        <v>4142.4782539682537</v>
      </c>
      <c r="J348" s="977">
        <f t="shared" si="114"/>
        <v>5.1445333333333334</v>
      </c>
      <c r="K348" s="271">
        <f t="shared" ref="K348:K355" si="115">SUM(E348:J348)</f>
        <v>419235.08630308695</v>
      </c>
      <c r="L348" s="271">
        <f t="shared" ref="L348:L351" si="116">K348*0.25</f>
        <v>104808.77157577174</v>
      </c>
      <c r="M348" s="272">
        <f t="shared" ref="M348:M355" si="117">K348+L348</f>
        <v>524043.85787885869</v>
      </c>
      <c r="N348" s="271">
        <f>M348+M352</f>
        <v>587013.64457187778</v>
      </c>
      <c r="O348" s="271">
        <f>'DGSP_chitiet (truKH)'!K348</f>
        <v>415092.60804911872</v>
      </c>
      <c r="P348" s="271">
        <f>'DGSP_chitiet (truKH)'!L348</f>
        <v>103773.15201227968</v>
      </c>
      <c r="Q348" s="306">
        <f>'DGSP_chitiet (truKH)'!M348</f>
        <v>518865.76006139838</v>
      </c>
      <c r="R348" s="271">
        <f>'DGSP_chitiet (truKH)'!N348</f>
        <v>579292.62653179839</v>
      </c>
      <c r="S348" s="271">
        <f>SUM(S$437,S377,S381,S385,S389,S393)</f>
        <v>9789.5592948717931</v>
      </c>
    </row>
    <row r="349" spans="1:19">
      <c r="A349" s="1005"/>
      <c r="B349" s="1014"/>
      <c r="C349" s="1005"/>
      <c r="D349" s="242">
        <v>2</v>
      </c>
      <c r="E349" s="271">
        <f t="shared" ref="E349:J351" si="118">SUM(E$376,E378,E382,E386,E390,E394)</f>
        <v>435757.85481250013</v>
      </c>
      <c r="F349" s="271">
        <f t="shared" si="118"/>
        <v>43948.572649572649</v>
      </c>
      <c r="G349" s="271">
        <f t="shared" si="118"/>
        <v>4130.1172242521361</v>
      </c>
      <c r="H349" s="271">
        <f t="shared" si="118"/>
        <v>3970.7027777777776</v>
      </c>
      <c r="I349" s="271">
        <f t="shared" si="118"/>
        <v>4969.462698412699</v>
      </c>
      <c r="J349" s="977">
        <f t="shared" si="118"/>
        <v>5.1445333333333334</v>
      </c>
      <c r="K349" s="271">
        <f t="shared" si="115"/>
        <v>492781.85469584871</v>
      </c>
      <c r="L349" s="271">
        <f t="shared" si="116"/>
        <v>123195.46367396218</v>
      </c>
      <c r="M349" s="272">
        <f t="shared" si="117"/>
        <v>615977.31836981094</v>
      </c>
      <c r="N349" s="271">
        <f>M349+M353</f>
        <v>686637.27203352924</v>
      </c>
      <c r="O349" s="271">
        <f>'DGSP_chitiet (truKH)'!K349</f>
        <v>487812.391997436</v>
      </c>
      <c r="P349" s="271">
        <f>'DGSP_chitiet (truKH)'!L349</f>
        <v>121953.097999359</v>
      </c>
      <c r="Q349" s="306">
        <f>'DGSP_chitiet (truKH)'!M349</f>
        <v>609765.48999679496</v>
      </c>
      <c r="R349" s="271">
        <f>'DGSP_chitiet (truKH)'!N349</f>
        <v>677317.31867150532</v>
      </c>
      <c r="S349" s="271">
        <f t="shared" ref="S349:S351" si="119">SUM(S$437,S378,S382,S386,S390,S394)</f>
        <v>11637.864850427351</v>
      </c>
    </row>
    <row r="350" spans="1:19">
      <c r="A350" s="1005"/>
      <c r="B350" s="1014"/>
      <c r="C350" s="1005"/>
      <c r="D350" s="242">
        <v>3</v>
      </c>
      <c r="E350" s="271">
        <f t="shared" si="118"/>
        <v>514064.28539583343</v>
      </c>
      <c r="F350" s="271">
        <f t="shared" si="118"/>
        <v>52185.645299145297</v>
      </c>
      <c r="G350" s="271">
        <f t="shared" si="118"/>
        <v>4458.1521607905979</v>
      </c>
      <c r="H350" s="271">
        <f t="shared" si="118"/>
        <v>3970.7027777777776</v>
      </c>
      <c r="I350" s="271">
        <f t="shared" si="118"/>
        <v>5383.5804761904765</v>
      </c>
      <c r="J350" s="977">
        <f t="shared" si="118"/>
        <v>5.1445333333333334</v>
      </c>
      <c r="K350" s="271">
        <f t="shared" si="115"/>
        <v>580067.51064307091</v>
      </c>
      <c r="L350" s="271">
        <f t="shared" si="116"/>
        <v>145016.87766076773</v>
      </c>
      <c r="M350" s="272">
        <f t="shared" si="117"/>
        <v>725084.38830383867</v>
      </c>
      <c r="N350" s="271">
        <f>M350+M354</f>
        <v>807052.14679577562</v>
      </c>
      <c r="O350" s="271">
        <f>'DGSP_chitiet (truKH)'!K350</f>
        <v>574683.93016688048</v>
      </c>
      <c r="P350" s="271">
        <f>'DGSP_chitiet (truKH)'!L350</f>
        <v>143670.98254172012</v>
      </c>
      <c r="Q350" s="306">
        <f>'DGSP_chitiet (truKH)'!M350</f>
        <v>718354.91270860063</v>
      </c>
      <c r="R350" s="271">
        <f>'DGSP_chitiet (truKH)'!N350</f>
        <v>796452.44047315663</v>
      </c>
      <c r="S350" s="271">
        <f t="shared" si="119"/>
        <v>13854.85844017094</v>
      </c>
    </row>
    <row r="351" spans="1:19">
      <c r="A351" s="1005"/>
      <c r="B351" s="1014"/>
      <c r="C351" s="1005"/>
      <c r="D351" s="242">
        <v>4</v>
      </c>
      <c r="E351" s="271">
        <f t="shared" si="118"/>
        <v>608099.78747222223</v>
      </c>
      <c r="F351" s="271">
        <f t="shared" si="118"/>
        <v>62070.132478632484</v>
      </c>
      <c r="G351" s="271">
        <f t="shared" si="118"/>
        <v>4864.9883100961533</v>
      </c>
      <c r="H351" s="271">
        <f t="shared" si="118"/>
        <v>3970.7027777777776</v>
      </c>
      <c r="I351" s="271">
        <f t="shared" si="118"/>
        <v>5797.0726984126986</v>
      </c>
      <c r="J351" s="977">
        <f t="shared" si="118"/>
        <v>5.1445333333333334</v>
      </c>
      <c r="K351" s="271">
        <f t="shared" si="115"/>
        <v>684807.8282704748</v>
      </c>
      <c r="L351" s="271">
        <f t="shared" si="116"/>
        <v>171201.9570676187</v>
      </c>
      <c r="M351" s="272">
        <f t="shared" si="117"/>
        <v>856009.78533809353</v>
      </c>
      <c r="N351" s="271">
        <f>M351+M355</f>
        <v>953244.68993020745</v>
      </c>
      <c r="O351" s="271">
        <f>'DGSP_chitiet (truKH)'!K351</f>
        <v>679010.7555720621</v>
      </c>
      <c r="P351" s="271">
        <f>'DGSP_chitiet (truKH)'!L351</f>
        <v>169752.68889301553</v>
      </c>
      <c r="Q351" s="306">
        <f>'DGSP_chitiet (truKH)'!M351</f>
        <v>848763.4444650776</v>
      </c>
      <c r="R351" s="271">
        <f>'DGSP_chitiet (truKH)'!N351</f>
        <v>941098.83505008835</v>
      </c>
      <c r="S351" s="271">
        <f t="shared" si="119"/>
        <v>16517.169871794871</v>
      </c>
    </row>
    <row r="352" spans="1:19">
      <c r="A352" s="1005"/>
      <c r="B352" s="1014" t="s">
        <v>192</v>
      </c>
      <c r="C352" s="1005" t="s">
        <v>21</v>
      </c>
      <c r="D352" s="242">
        <v>1</v>
      </c>
      <c r="E352" s="271">
        <f t="shared" ref="E352:J355" si="120">(E398+SUM(E$402:E$407))</f>
        <v>37322.055405555569</v>
      </c>
      <c r="F352" s="271">
        <f t="shared" si="120"/>
        <v>0</v>
      </c>
      <c r="G352" s="271">
        <f t="shared" si="120"/>
        <v>424.28791749762581</v>
      </c>
      <c r="H352" s="271">
        <f t="shared" si="120"/>
        <v>13138.755555555555</v>
      </c>
      <c r="I352" s="271">
        <f t="shared" si="120"/>
        <v>2211.2349761904761</v>
      </c>
      <c r="J352" s="271">
        <f t="shared" si="120"/>
        <v>1660.0024000000003</v>
      </c>
      <c r="K352" s="271">
        <f t="shared" si="115"/>
        <v>54756.336254799229</v>
      </c>
      <c r="L352" s="271">
        <f>K352*0.15</f>
        <v>8213.4504382198847</v>
      </c>
      <c r="M352" s="272">
        <f t="shared" si="117"/>
        <v>62969.786693019116</v>
      </c>
      <c r="N352" s="271"/>
      <c r="O352" s="271">
        <f>'DGSP_chitiet (truKH)'!K352</f>
        <v>52545.101278608752</v>
      </c>
      <c r="P352" s="271">
        <f>'DGSP_chitiet (truKH)'!L352</f>
        <v>7881.7651917913126</v>
      </c>
      <c r="Q352" s="306">
        <f>'DGSP_chitiet (truKH)'!M352</f>
        <v>60426.866470400062</v>
      </c>
      <c r="R352" s="271">
        <f>'DGSP_chitiet (truKH)'!N352</f>
        <v>0</v>
      </c>
      <c r="S352" s="271">
        <f>(S398+SUM(S$463:S$468))</f>
        <v>643.47414529914533</v>
      </c>
    </row>
    <row r="353" spans="1:19">
      <c r="A353" s="1005"/>
      <c r="B353" s="1014"/>
      <c r="C353" s="1005"/>
      <c r="D353" s="242">
        <v>2</v>
      </c>
      <c r="E353" s="271">
        <f t="shared" si="120"/>
        <v>43271.892950000009</v>
      </c>
      <c r="F353" s="271">
        <f t="shared" si="120"/>
        <v>0</v>
      </c>
      <c r="G353" s="271">
        <f t="shared" si="120"/>
        <v>456.10161448243116</v>
      </c>
      <c r="H353" s="271">
        <f t="shared" si="120"/>
        <v>13138.755555555555</v>
      </c>
      <c r="I353" s="271">
        <f t="shared" si="120"/>
        <v>2702.7173817460316</v>
      </c>
      <c r="J353" s="271">
        <f t="shared" si="120"/>
        <v>1873.9704666666671</v>
      </c>
      <c r="K353" s="271">
        <f t="shared" si="115"/>
        <v>61443.437968450686</v>
      </c>
      <c r="L353" s="271">
        <f>K353*0.15</f>
        <v>9216.5156952676025</v>
      </c>
      <c r="M353" s="272">
        <f t="shared" si="117"/>
        <v>70659.95366371829</v>
      </c>
      <c r="N353" s="271"/>
      <c r="O353" s="271">
        <f>'DGSP_chitiet (truKH)'!K353</f>
        <v>58740.720586704658</v>
      </c>
      <c r="P353" s="271">
        <f>'DGSP_chitiet (truKH)'!L353</f>
        <v>8811.1080880056979</v>
      </c>
      <c r="Q353" s="306">
        <f>'DGSP_chitiet (truKH)'!M353</f>
        <v>67551.828674710356</v>
      </c>
      <c r="R353" s="271">
        <f>'DGSP_chitiet (truKH)'!N353</f>
        <v>0</v>
      </c>
      <c r="S353" s="271">
        <f>(S399+SUM(S$463:S$468))</f>
        <v>811.92457264957272</v>
      </c>
    </row>
    <row r="354" spans="1:19">
      <c r="A354" s="1005"/>
      <c r="B354" s="1014"/>
      <c r="C354" s="1005"/>
      <c r="D354" s="242">
        <v>3</v>
      </c>
      <c r="E354" s="271">
        <f t="shared" si="120"/>
        <v>51299.209072222235</v>
      </c>
      <c r="F354" s="271">
        <f t="shared" si="120"/>
        <v>0</v>
      </c>
      <c r="G354" s="271">
        <f t="shared" si="120"/>
        <v>499.63614719848056</v>
      </c>
      <c r="H354" s="271">
        <f t="shared" si="120"/>
        <v>13138.755555555555</v>
      </c>
      <c r="I354" s="271">
        <f t="shared" si="120"/>
        <v>3365.4180238095232</v>
      </c>
      <c r="J354" s="271">
        <f t="shared" si="120"/>
        <v>2973.2929333333336</v>
      </c>
      <c r="K354" s="271">
        <f t="shared" si="115"/>
        <v>71276.311732119124</v>
      </c>
      <c r="L354" s="271">
        <f>K354*0.15</f>
        <v>10691.446759817869</v>
      </c>
      <c r="M354" s="272">
        <f t="shared" si="117"/>
        <v>81967.758491936998</v>
      </c>
      <c r="N354" s="271"/>
      <c r="O354" s="271">
        <f>'DGSP_chitiet (truKH)'!K354</f>
        <v>67910.893708309595</v>
      </c>
      <c r="P354" s="271">
        <f>'DGSP_chitiet (truKH)'!L354</f>
        <v>10186.634056246439</v>
      </c>
      <c r="Q354" s="306">
        <f>'DGSP_chitiet (truKH)'!M354</f>
        <v>78097.527764556027</v>
      </c>
      <c r="R354" s="271">
        <f>'DGSP_chitiet (truKH)'!N354</f>
        <v>0</v>
      </c>
      <c r="S354" s="271">
        <f>(S400+SUM(S$463:S$468))</f>
        <v>1039.192094017094</v>
      </c>
    </row>
    <row r="355" spans="1:19">
      <c r="A355" s="1005"/>
      <c r="B355" s="1014"/>
      <c r="C355" s="1005"/>
      <c r="D355" s="242">
        <v>4</v>
      </c>
      <c r="E355" s="271">
        <f t="shared" si="120"/>
        <v>62137.231505555581</v>
      </c>
      <c r="F355" s="271">
        <f t="shared" si="120"/>
        <v>0</v>
      </c>
      <c r="G355" s="271">
        <f t="shared" si="120"/>
        <v>558.24032585470081</v>
      </c>
      <c r="H355" s="271">
        <f t="shared" si="120"/>
        <v>13138.755555555555</v>
      </c>
      <c r="I355" s="271">
        <f t="shared" si="120"/>
        <v>4260.4469626984119</v>
      </c>
      <c r="J355" s="271">
        <f t="shared" si="120"/>
        <v>4457.4166000000005</v>
      </c>
      <c r="K355" s="271">
        <f t="shared" si="115"/>
        <v>84552.090949664242</v>
      </c>
      <c r="L355" s="271">
        <f>K355*0.15</f>
        <v>12682.813642449635</v>
      </c>
      <c r="M355" s="272">
        <f t="shared" si="117"/>
        <v>97234.904592113875</v>
      </c>
      <c r="N355" s="271"/>
      <c r="O355" s="271">
        <f>'DGSP_chitiet (truKH)'!K355</f>
        <v>80291.643986965835</v>
      </c>
      <c r="P355" s="271">
        <f>'DGSP_chitiet (truKH)'!L355</f>
        <v>12043.746598044874</v>
      </c>
      <c r="Q355" s="306">
        <f>'DGSP_chitiet (truKH)'!M355</f>
        <v>92335.390585010711</v>
      </c>
      <c r="R355" s="271">
        <f>'DGSP_chitiet (truKH)'!N355</f>
        <v>0</v>
      </c>
      <c r="S355" s="271">
        <f>(S401+SUM(S$463:S$468))</f>
        <v>1346.0356837606839</v>
      </c>
    </row>
    <row r="356" spans="1:19">
      <c r="A356" s="242"/>
      <c r="B356" s="965" t="s">
        <v>322</v>
      </c>
      <c r="C356" s="243"/>
      <c r="D356" s="243"/>
      <c r="E356" s="271"/>
      <c r="F356" s="271"/>
      <c r="G356" s="271"/>
      <c r="H356" s="271"/>
      <c r="I356" s="271"/>
      <c r="J356" s="271"/>
      <c r="K356" s="271"/>
      <c r="L356" s="271"/>
      <c r="M356" s="272"/>
      <c r="N356" s="271"/>
      <c r="O356" s="271">
        <f>'DGSP_chitiet (truKH)'!K356</f>
        <v>0</v>
      </c>
      <c r="P356" s="271">
        <f>'DGSP_chitiet (truKH)'!L356</f>
        <v>0</v>
      </c>
      <c r="Q356" s="306">
        <f>'DGSP_chitiet (truKH)'!M356</f>
        <v>0</v>
      </c>
      <c r="R356" s="271">
        <f>'DGSP_chitiet (truKH)'!N356</f>
        <v>0</v>
      </c>
      <c r="S356" s="271"/>
    </row>
    <row r="357" spans="1:19">
      <c r="A357" s="242" t="s">
        <v>323</v>
      </c>
      <c r="B357" s="965" t="s">
        <v>324</v>
      </c>
      <c r="C357" s="243"/>
      <c r="D357" s="243"/>
      <c r="E357" s="271"/>
      <c r="F357" s="271"/>
      <c r="G357" s="271"/>
      <c r="H357" s="271"/>
      <c r="I357" s="271"/>
      <c r="J357" s="271"/>
      <c r="K357" s="271"/>
      <c r="L357" s="271"/>
      <c r="M357" s="272"/>
      <c r="N357" s="271"/>
      <c r="O357" s="271">
        <f>'DGSP_chitiet (truKH)'!K357</f>
        <v>0</v>
      </c>
      <c r="P357" s="271">
        <f>'DGSP_chitiet (truKH)'!L357</f>
        <v>0</v>
      </c>
      <c r="Q357" s="306">
        <f>'DGSP_chitiet (truKH)'!M357</f>
        <v>0</v>
      </c>
      <c r="R357" s="271">
        <f>'DGSP_chitiet (truKH)'!N357</f>
        <v>0</v>
      </c>
      <c r="S357" s="271"/>
    </row>
    <row r="358" spans="1:19">
      <c r="A358" s="1005"/>
      <c r="B358" s="1014" t="s">
        <v>190</v>
      </c>
      <c r="C358" s="1005" t="s">
        <v>21</v>
      </c>
      <c r="D358" s="242">
        <v>1</v>
      </c>
      <c r="E358" s="271">
        <f t="shared" ref="E358:F365" si="121">E348*0.1</f>
        <v>37047.38542847224</v>
      </c>
      <c r="F358" s="271">
        <f t="shared" si="121"/>
        <v>3708.1987179487187</v>
      </c>
      <c r="G358" s="977">
        <f>G385*0.1/$M$347</f>
        <v>0.13825614733202751</v>
      </c>
      <c r="H358" s="976">
        <f t="shared" ref="H358:I361" si="122">H348*0.1</f>
        <v>397.07027777777779</v>
      </c>
      <c r="I358" s="978">
        <f t="shared" si="122"/>
        <v>414.24782539682542</v>
      </c>
      <c r="J358" s="271">
        <f>J385*0.1/$M$347</f>
        <v>0</v>
      </c>
      <c r="K358" s="271">
        <f t="shared" ref="K358:K365" si="123">SUM(E358:J358)</f>
        <v>41567.040505742887</v>
      </c>
      <c r="L358" s="271">
        <f>K358*0.25</f>
        <v>10391.760126435722</v>
      </c>
      <c r="M358" s="272">
        <f t="shared" ref="M358:M365" si="124">K358+L358</f>
        <v>51958.800632178609</v>
      </c>
      <c r="N358" s="271">
        <f>M358+M362</f>
        <v>56251.358800423739</v>
      </c>
      <c r="O358" s="271">
        <f>'DGSP_chitiet (truKH)'!K358</f>
        <v>41152.792680346065</v>
      </c>
      <c r="P358" s="271">
        <f>'DGSP_chitiet (truKH)'!L358</f>
        <v>10288.198170086516</v>
      </c>
      <c r="Q358" s="306">
        <f>'DGSP_chitiet (truKH)'!M358</f>
        <v>51440.990850432579</v>
      </c>
      <c r="R358" s="271">
        <f>'DGSP_chitiet (truKH)'!N358</f>
        <v>55733.549018677717</v>
      </c>
      <c r="S358" s="271">
        <f t="shared" ref="S358:S365" si="125">S348*0.1</f>
        <v>978.95592948717933</v>
      </c>
    </row>
    <row r="359" spans="1:19">
      <c r="A359" s="1005"/>
      <c r="B359" s="1014"/>
      <c r="C359" s="1005"/>
      <c r="D359" s="242">
        <v>2</v>
      </c>
      <c r="E359" s="271">
        <f t="shared" si="121"/>
        <v>43575.785481250015</v>
      </c>
      <c r="F359" s="271">
        <f t="shared" si="121"/>
        <v>4394.8572649572652</v>
      </c>
      <c r="G359" s="977">
        <f>G386*0.1/$M$347</f>
        <v>0.16518916304605888</v>
      </c>
      <c r="H359" s="976">
        <f t="shared" si="122"/>
        <v>397.07027777777779</v>
      </c>
      <c r="I359" s="978">
        <f t="shared" si="122"/>
        <v>496.9462698412699</v>
      </c>
      <c r="J359" s="271">
        <f>J386*0.1/$M$347</f>
        <v>0</v>
      </c>
      <c r="K359" s="271">
        <f t="shared" si="123"/>
        <v>48864.824482989374</v>
      </c>
      <c r="L359" s="271">
        <f>K359*0.25</f>
        <v>12216.206120747343</v>
      </c>
      <c r="M359" s="272">
        <f t="shared" si="124"/>
        <v>61081.030603736719</v>
      </c>
      <c r="N359" s="271">
        <f>M359+M363</f>
        <v>66057.824154676462</v>
      </c>
      <c r="O359" s="271">
        <f>'DGSP_chitiet (truKH)'!K359</f>
        <v>48367.878213148106</v>
      </c>
      <c r="P359" s="271">
        <f>'DGSP_chitiet (truKH)'!L359</f>
        <v>12091.969553287026</v>
      </c>
      <c r="Q359" s="306">
        <f>'DGSP_chitiet (truKH)'!M359</f>
        <v>60459.84776643513</v>
      </c>
      <c r="R359" s="271">
        <f>'DGSP_chitiet (truKH)'!N359</f>
        <v>65436.641317374881</v>
      </c>
      <c r="S359" s="271">
        <f t="shared" si="125"/>
        <v>1163.7864850427352</v>
      </c>
    </row>
    <row r="360" spans="1:19">
      <c r="A360" s="1005"/>
      <c r="B360" s="1014"/>
      <c r="C360" s="1005"/>
      <c r="D360" s="242">
        <v>3</v>
      </c>
      <c r="E360" s="271">
        <f t="shared" si="121"/>
        <v>51406.428539583343</v>
      </c>
      <c r="F360" s="271">
        <f t="shared" si="121"/>
        <v>5218.5645299145299</v>
      </c>
      <c r="G360" s="977">
        <f>G387*0.1/$M$347</f>
        <v>0.17955343809354224</v>
      </c>
      <c r="H360" s="976">
        <f t="shared" si="122"/>
        <v>397.07027777777779</v>
      </c>
      <c r="I360" s="978">
        <f t="shared" si="122"/>
        <v>538.35804761904762</v>
      </c>
      <c r="J360" s="271">
        <f>J387*0.1/$M$347</f>
        <v>0</v>
      </c>
      <c r="K360" s="271">
        <f t="shared" si="123"/>
        <v>57560.600948332794</v>
      </c>
      <c r="L360" s="271">
        <f>K360*0.25</f>
        <v>14390.150237083199</v>
      </c>
      <c r="M360" s="272">
        <f t="shared" si="124"/>
        <v>71950.751185415997</v>
      </c>
      <c r="N360" s="271">
        <f>M360+M364</f>
        <v>77850.691653157148</v>
      </c>
      <c r="O360" s="271">
        <f>'DGSP_chitiet (truKH)'!K360</f>
        <v>57022.242900713747</v>
      </c>
      <c r="P360" s="271">
        <f>'DGSP_chitiet (truKH)'!L360</f>
        <v>14255.560725178437</v>
      </c>
      <c r="Q360" s="306">
        <f>'DGSP_chitiet (truKH)'!M360</f>
        <v>71277.803625892178</v>
      </c>
      <c r="R360" s="271">
        <f>'DGSP_chitiet (truKH)'!N360</f>
        <v>77177.74409363333</v>
      </c>
      <c r="S360" s="271">
        <f t="shared" si="125"/>
        <v>1385.485844017094</v>
      </c>
    </row>
    <row r="361" spans="1:19">
      <c r="A361" s="1005"/>
      <c r="B361" s="1014"/>
      <c r="C361" s="1005"/>
      <c r="D361" s="242">
        <v>4</v>
      </c>
      <c r="E361" s="271">
        <f t="shared" si="121"/>
        <v>60809.978747222223</v>
      </c>
      <c r="F361" s="271">
        <f t="shared" si="121"/>
        <v>6207.0132478632486</v>
      </c>
      <c r="G361" s="977">
        <f>G388*0.1/$M$347</f>
        <v>0.19750878190289647</v>
      </c>
      <c r="H361" s="976">
        <f t="shared" si="122"/>
        <v>397.07027777777779</v>
      </c>
      <c r="I361" s="978">
        <f t="shared" si="122"/>
        <v>579.70726984126986</v>
      </c>
      <c r="J361" s="271">
        <f>J388*0.1/$M$347</f>
        <v>0</v>
      </c>
      <c r="K361" s="271">
        <f t="shared" si="123"/>
        <v>67993.967051486412</v>
      </c>
      <c r="L361" s="271">
        <f>K361*0.25</f>
        <v>16998.491762871603</v>
      </c>
      <c r="M361" s="272">
        <f t="shared" si="124"/>
        <v>84992.458814358019</v>
      </c>
      <c r="N361" s="271">
        <f>M361+M365</f>
        <v>92138.779350244222</v>
      </c>
      <c r="O361" s="271">
        <f>'DGSP_chitiet (truKH)'!K361</f>
        <v>67414.259781645145</v>
      </c>
      <c r="P361" s="271">
        <f>'DGSP_chitiet (truKH)'!L361</f>
        <v>16853.564945411286</v>
      </c>
      <c r="Q361" s="306">
        <f>'DGSP_chitiet (truKH)'!M361</f>
        <v>84267.824727056432</v>
      </c>
      <c r="R361" s="271">
        <f>'DGSP_chitiet (truKH)'!N361</f>
        <v>91414.145262942635</v>
      </c>
      <c r="S361" s="271">
        <f t="shared" si="125"/>
        <v>1651.7169871794872</v>
      </c>
    </row>
    <row r="362" spans="1:19">
      <c r="A362" s="1005"/>
      <c r="B362" s="1014" t="s">
        <v>192</v>
      </c>
      <c r="C362" s="1005" t="s">
        <v>21</v>
      </c>
      <c r="D362" s="242">
        <v>1</v>
      </c>
      <c r="E362" s="271">
        <f t="shared" si="121"/>
        <v>3732.205540555557</v>
      </c>
      <c r="F362" s="271">
        <f t="shared" si="121"/>
        <v>0</v>
      </c>
      <c r="G362" s="977">
        <f t="shared" ref="G362:H365" si="126">G398*0.1/$M$347</f>
        <v>1.0232475638387676E-2</v>
      </c>
      <c r="H362" s="976">
        <f t="shared" si="126"/>
        <v>0.44350370370370373</v>
      </c>
      <c r="I362" s="978"/>
      <c r="J362" s="271"/>
      <c r="K362" s="271">
        <f t="shared" si="123"/>
        <v>3732.6592767348993</v>
      </c>
      <c r="L362" s="271">
        <f>K362*0.15</f>
        <v>559.89889151023488</v>
      </c>
      <c r="M362" s="272">
        <f t="shared" si="124"/>
        <v>4292.5581682451339</v>
      </c>
      <c r="N362" s="271"/>
      <c r="O362" s="271">
        <f>'DGSP_chitiet (truKH)'!K362</f>
        <v>3732.6592767348993</v>
      </c>
      <c r="P362" s="271">
        <f>'DGSP_chitiet (truKH)'!L362</f>
        <v>559.89889151023488</v>
      </c>
      <c r="Q362" s="306">
        <f>'DGSP_chitiet (truKH)'!M362</f>
        <v>4292.5581682451339</v>
      </c>
      <c r="R362" s="271">
        <f>'DGSP_chitiet (truKH)'!N362</f>
        <v>0</v>
      </c>
      <c r="S362" s="271">
        <f t="shared" si="125"/>
        <v>64.347414529914531</v>
      </c>
    </row>
    <row r="363" spans="1:19">
      <c r="A363" s="1005"/>
      <c r="B363" s="1014"/>
      <c r="C363" s="1005"/>
      <c r="D363" s="242">
        <v>2</v>
      </c>
      <c r="E363" s="271">
        <f t="shared" si="121"/>
        <v>4327.189295000001</v>
      </c>
      <c r="F363" s="271">
        <f t="shared" si="121"/>
        <v>0</v>
      </c>
      <c r="G363" s="977">
        <f t="shared" si="126"/>
        <v>1.3767330858921602E-2</v>
      </c>
      <c r="H363" s="976">
        <f t="shared" si="126"/>
        <v>0.44350370370370373</v>
      </c>
      <c r="I363" s="978"/>
      <c r="J363" s="271"/>
      <c r="K363" s="271">
        <f t="shared" si="123"/>
        <v>4327.6465660345639</v>
      </c>
      <c r="L363" s="271">
        <f>K363*0.15</f>
        <v>649.14698490518458</v>
      </c>
      <c r="M363" s="272">
        <f t="shared" si="124"/>
        <v>4976.7935509397485</v>
      </c>
      <c r="N363" s="271"/>
      <c r="O363" s="271">
        <f>'DGSP_chitiet (truKH)'!K363</f>
        <v>4327.6465660345639</v>
      </c>
      <c r="P363" s="271">
        <f>'DGSP_chitiet (truKH)'!L363</f>
        <v>649.14698490518458</v>
      </c>
      <c r="Q363" s="306">
        <f>'DGSP_chitiet (truKH)'!M363</f>
        <v>4976.7935509397485</v>
      </c>
      <c r="R363" s="271">
        <f>'DGSP_chitiet (truKH)'!N363</f>
        <v>0</v>
      </c>
      <c r="S363" s="271">
        <f t="shared" si="125"/>
        <v>81.192457264957284</v>
      </c>
    </row>
    <row r="364" spans="1:19">
      <c r="A364" s="1005"/>
      <c r="B364" s="1014"/>
      <c r="C364" s="1005"/>
      <c r="D364" s="242">
        <v>3</v>
      </c>
      <c r="E364" s="271">
        <f t="shared" si="121"/>
        <v>5129.9209072222238</v>
      </c>
      <c r="F364" s="271">
        <f t="shared" si="121"/>
        <v>0</v>
      </c>
      <c r="G364" s="977">
        <f t="shared" si="126"/>
        <v>1.8604501160704865E-2</v>
      </c>
      <c r="H364" s="976">
        <f t="shared" si="126"/>
        <v>0.44350370370370373</v>
      </c>
      <c r="I364" s="978"/>
      <c r="J364" s="271"/>
      <c r="K364" s="271">
        <f t="shared" si="123"/>
        <v>5130.3830154270881</v>
      </c>
      <c r="L364" s="271">
        <f>K364*0.15</f>
        <v>769.5574523140632</v>
      </c>
      <c r="M364" s="272">
        <f t="shared" si="124"/>
        <v>5899.9404677411512</v>
      </c>
      <c r="N364" s="271"/>
      <c r="O364" s="271">
        <f>'DGSP_chitiet (truKH)'!K364</f>
        <v>5130.3830154270881</v>
      </c>
      <c r="P364" s="271">
        <f>'DGSP_chitiet (truKH)'!L364</f>
        <v>769.5574523140632</v>
      </c>
      <c r="Q364" s="306">
        <f>'DGSP_chitiet (truKH)'!M364</f>
        <v>5899.9404677411512</v>
      </c>
      <c r="R364" s="271">
        <f>'DGSP_chitiet (truKH)'!N364</f>
        <v>0</v>
      </c>
      <c r="S364" s="271">
        <f t="shared" si="125"/>
        <v>103.9192094017094</v>
      </c>
    </row>
    <row r="365" spans="1:19">
      <c r="A365" s="1005"/>
      <c r="B365" s="1014"/>
      <c r="C365" s="1005"/>
      <c r="D365" s="242">
        <v>4</v>
      </c>
      <c r="E365" s="271">
        <f t="shared" si="121"/>
        <v>6213.7231505555583</v>
      </c>
      <c r="F365" s="271">
        <f t="shared" si="121"/>
        <v>0</v>
      </c>
      <c r="G365" s="977">
        <f t="shared" si="126"/>
        <v>2.5116076566951574E-2</v>
      </c>
      <c r="H365" s="976">
        <f t="shared" si="126"/>
        <v>0.44350370370370373</v>
      </c>
      <c r="I365" s="978"/>
      <c r="J365" s="271"/>
      <c r="K365" s="271">
        <f t="shared" si="123"/>
        <v>6214.1917703358286</v>
      </c>
      <c r="L365" s="271">
        <f>K365*0.15</f>
        <v>932.12876555037428</v>
      </c>
      <c r="M365" s="272">
        <f t="shared" si="124"/>
        <v>7146.3205358862033</v>
      </c>
      <c r="N365" s="271"/>
      <c r="O365" s="271">
        <f>'DGSP_chitiet (truKH)'!K365</f>
        <v>6214.1917703358286</v>
      </c>
      <c r="P365" s="271">
        <f>'DGSP_chitiet (truKH)'!L365</f>
        <v>932.12876555037428</v>
      </c>
      <c r="Q365" s="306">
        <f>'DGSP_chitiet (truKH)'!M365</f>
        <v>7146.3205358862033</v>
      </c>
      <c r="R365" s="271">
        <f>'DGSP_chitiet (truKH)'!N365</f>
        <v>0</v>
      </c>
      <c r="S365" s="271">
        <f t="shared" si="125"/>
        <v>134.60356837606841</v>
      </c>
    </row>
    <row r="366" spans="1:19">
      <c r="A366" s="242" t="s">
        <v>508</v>
      </c>
      <c r="B366" s="965" t="s">
        <v>326</v>
      </c>
      <c r="C366" s="243"/>
      <c r="D366" s="243"/>
      <c r="E366" s="271"/>
      <c r="F366" s="271"/>
      <c r="G366" s="271"/>
      <c r="H366" s="271"/>
      <c r="I366" s="271"/>
      <c r="J366" s="271"/>
      <c r="K366" s="271"/>
      <c r="L366" s="271"/>
      <c r="M366" s="272"/>
      <c r="N366" s="271"/>
      <c r="O366" s="271">
        <f>'DGSP_chitiet (truKH)'!K366</f>
        <v>0</v>
      </c>
      <c r="P366" s="271">
        <f>'DGSP_chitiet (truKH)'!L366</f>
        <v>0</v>
      </c>
      <c r="Q366" s="306">
        <f>'DGSP_chitiet (truKH)'!M366</f>
        <v>0</v>
      </c>
      <c r="R366" s="271">
        <f>'DGSP_chitiet (truKH)'!N366</f>
        <v>0</v>
      </c>
      <c r="S366" s="271"/>
    </row>
    <row r="367" spans="1:19">
      <c r="A367" s="1005"/>
      <c r="B367" s="1014" t="s">
        <v>190</v>
      </c>
      <c r="C367" s="1005" t="s">
        <v>21</v>
      </c>
      <c r="D367" s="242">
        <v>1</v>
      </c>
      <c r="E367" s="271">
        <f t="shared" ref="E367:F370" si="127">E348*1.15</f>
        <v>426044.9324274307</v>
      </c>
      <c r="F367" s="271">
        <f t="shared" si="127"/>
        <v>42644.285256410265</v>
      </c>
      <c r="G367" s="271">
        <f t="shared" ref="G367:J374" si="128">G348</f>
        <v>3560.9192737980766</v>
      </c>
      <c r="H367" s="271">
        <f t="shared" si="128"/>
        <v>3970.7027777777776</v>
      </c>
      <c r="I367" s="271">
        <f t="shared" si="128"/>
        <v>4142.4782539682537</v>
      </c>
      <c r="J367" s="271">
        <f t="shared" si="128"/>
        <v>5.1445333333333334</v>
      </c>
      <c r="K367" s="271">
        <f t="shared" ref="K367:K374" si="129">SUM(E367:J367)</f>
        <v>480368.46252271836</v>
      </c>
      <c r="L367" s="271">
        <f>K367*0.25</f>
        <v>120092.11563067959</v>
      </c>
      <c r="M367" s="272">
        <f t="shared" ref="M367:M374" si="130">K367+L367</f>
        <v>600460.57815339789</v>
      </c>
      <c r="N367" s="271">
        <f>M367+M371</f>
        <v>667722.40121805586</v>
      </c>
      <c r="O367" s="271">
        <f>'DGSP_chitiet (truKH)'!K367</f>
        <v>476225.98426875012</v>
      </c>
      <c r="P367" s="271">
        <f>'DGSP_chitiet (truKH)'!L367</f>
        <v>119056.49606718753</v>
      </c>
      <c r="Q367" s="306">
        <f>'DGSP_chitiet (truKH)'!M367</f>
        <v>595282.4803359377</v>
      </c>
      <c r="R367" s="271">
        <f>'DGSP_chitiet (truKH)'!N367</f>
        <v>660001.38317797671</v>
      </c>
      <c r="S367" s="271">
        <f>S348*1.15</f>
        <v>11257.993189102561</v>
      </c>
    </row>
    <row r="368" spans="1:19">
      <c r="A368" s="1005"/>
      <c r="B368" s="1014"/>
      <c r="C368" s="1005"/>
      <c r="D368" s="242">
        <v>2</v>
      </c>
      <c r="E368" s="271">
        <f t="shared" si="127"/>
        <v>501121.53303437511</v>
      </c>
      <c r="F368" s="271">
        <f t="shared" si="127"/>
        <v>50540.858547008545</v>
      </c>
      <c r="G368" s="271">
        <f t="shared" si="128"/>
        <v>4130.1172242521361</v>
      </c>
      <c r="H368" s="271">
        <f t="shared" si="128"/>
        <v>3970.7027777777776</v>
      </c>
      <c r="I368" s="271">
        <f t="shared" si="128"/>
        <v>4969.462698412699</v>
      </c>
      <c r="J368" s="271">
        <f t="shared" si="128"/>
        <v>5.1445333333333334</v>
      </c>
      <c r="K368" s="271">
        <f t="shared" si="129"/>
        <v>564737.81881515961</v>
      </c>
      <c r="L368" s="271">
        <f>K368*0.25</f>
        <v>141184.4547037899</v>
      </c>
      <c r="M368" s="272">
        <f t="shared" si="130"/>
        <v>705922.27351894951</v>
      </c>
      <c r="N368" s="271">
        <f>M368+M372</f>
        <v>781558.49487191776</v>
      </c>
      <c r="O368" s="271">
        <f>'DGSP_chitiet (truKH)'!K368</f>
        <v>559768.3561167469</v>
      </c>
      <c r="P368" s="271">
        <f>'DGSP_chitiet (truKH)'!L368</f>
        <v>139942.08902918673</v>
      </c>
      <c r="Q368" s="306">
        <f>'DGSP_chitiet (truKH)'!M368</f>
        <v>699710.44514593366</v>
      </c>
      <c r="R368" s="271">
        <f>'DGSP_chitiet (truKH)'!N368</f>
        <v>772238.54150989396</v>
      </c>
      <c r="S368" s="271">
        <f>S349*1.15</f>
        <v>13383.544577991453</v>
      </c>
    </row>
    <row r="369" spans="1:19">
      <c r="A369" s="1005"/>
      <c r="B369" s="1014"/>
      <c r="C369" s="1005"/>
      <c r="D369" s="242">
        <v>3</v>
      </c>
      <c r="E369" s="271">
        <f t="shared" si="127"/>
        <v>591173.92820520839</v>
      </c>
      <c r="F369" s="271">
        <f t="shared" si="127"/>
        <v>60013.492094017085</v>
      </c>
      <c r="G369" s="271">
        <f t="shared" si="128"/>
        <v>4458.1521607905979</v>
      </c>
      <c r="H369" s="271">
        <f t="shared" si="128"/>
        <v>3970.7027777777776</v>
      </c>
      <c r="I369" s="271">
        <f t="shared" si="128"/>
        <v>5383.5804761904765</v>
      </c>
      <c r="J369" s="271">
        <f t="shared" si="128"/>
        <v>5.1445333333333334</v>
      </c>
      <c r="K369" s="271">
        <f t="shared" si="129"/>
        <v>665005.00024731772</v>
      </c>
      <c r="L369" s="271">
        <f>K369*0.25</f>
        <v>166251.25006182943</v>
      </c>
      <c r="M369" s="272">
        <f t="shared" si="130"/>
        <v>831256.25030914717</v>
      </c>
      <c r="N369" s="271">
        <f>M369+M373</f>
        <v>919123.41784438968</v>
      </c>
      <c r="O369" s="271">
        <f>'DGSP_chitiet (truKH)'!K369</f>
        <v>659621.41977112729</v>
      </c>
      <c r="P369" s="271">
        <f>'DGSP_chitiet (truKH)'!L369</f>
        <v>164905.35494278182</v>
      </c>
      <c r="Q369" s="306">
        <f>'DGSP_chitiet (truKH)'!M369</f>
        <v>824526.77471390914</v>
      </c>
      <c r="R369" s="271">
        <f>'DGSP_chitiet (truKH)'!N369</f>
        <v>908523.71152177069</v>
      </c>
      <c r="S369" s="271">
        <f>S350*1.15</f>
        <v>15933.087206196578</v>
      </c>
    </row>
    <row r="370" spans="1:19">
      <c r="A370" s="1005"/>
      <c r="B370" s="1014"/>
      <c r="C370" s="1005"/>
      <c r="D370" s="242">
        <v>4</v>
      </c>
      <c r="E370" s="271">
        <f t="shared" si="127"/>
        <v>699314.75559305551</v>
      </c>
      <c r="F370" s="271">
        <f t="shared" si="127"/>
        <v>71380.65235042735</v>
      </c>
      <c r="G370" s="271">
        <f t="shared" si="128"/>
        <v>4864.9883100961533</v>
      </c>
      <c r="H370" s="271">
        <f t="shared" si="128"/>
        <v>3970.7027777777776</v>
      </c>
      <c r="I370" s="271">
        <f t="shared" si="128"/>
        <v>5797.0726984126986</v>
      </c>
      <c r="J370" s="271">
        <f t="shared" si="128"/>
        <v>5.1445333333333334</v>
      </c>
      <c r="K370" s="271">
        <f t="shared" si="129"/>
        <v>785333.31626310293</v>
      </c>
      <c r="L370" s="271">
        <f>K370*0.25</f>
        <v>196333.32906577573</v>
      </c>
      <c r="M370" s="272">
        <f t="shared" si="130"/>
        <v>981666.64532887866</v>
      </c>
      <c r="N370" s="271">
        <f>M370+M374</f>
        <v>1086047.3315441315</v>
      </c>
      <c r="O370" s="271">
        <f>'DGSP_chitiet (truKH)'!K370</f>
        <v>779536.24356469023</v>
      </c>
      <c r="P370" s="271">
        <f>'DGSP_chitiet (truKH)'!L370</f>
        <v>194884.06089117256</v>
      </c>
      <c r="Q370" s="306">
        <f>'DGSP_chitiet (truKH)'!M370</f>
        <v>974420.30445586285</v>
      </c>
      <c r="R370" s="271">
        <f>'DGSP_chitiet (truKH)'!N370</f>
        <v>1073901.4766640125</v>
      </c>
      <c r="S370" s="271">
        <f>S351*1.15</f>
        <v>18994.745352564099</v>
      </c>
    </row>
    <row r="371" spans="1:19">
      <c r="A371" s="1005"/>
      <c r="B371" s="1014" t="s">
        <v>192</v>
      </c>
      <c r="C371" s="1005" t="s">
        <v>21</v>
      </c>
      <c r="D371" s="242">
        <v>1</v>
      </c>
      <c r="E371" s="271">
        <f t="shared" ref="E371:F374" si="131">E352*1.1</f>
        <v>41054.260946111128</v>
      </c>
      <c r="F371" s="271">
        <f t="shared" si="131"/>
        <v>0</v>
      </c>
      <c r="G371" s="271">
        <f t="shared" si="128"/>
        <v>424.28791749762581</v>
      </c>
      <c r="H371" s="271">
        <f t="shared" si="128"/>
        <v>13138.755555555555</v>
      </c>
      <c r="I371" s="271">
        <f t="shared" si="128"/>
        <v>2211.2349761904761</v>
      </c>
      <c r="J371" s="271">
        <f t="shared" si="128"/>
        <v>1660.0024000000003</v>
      </c>
      <c r="K371" s="271">
        <f t="shared" si="129"/>
        <v>58488.541795354788</v>
      </c>
      <c r="L371" s="271">
        <f>K371*0.15</f>
        <v>8773.2812693032174</v>
      </c>
      <c r="M371" s="272">
        <f t="shared" si="130"/>
        <v>67261.823064658005</v>
      </c>
      <c r="N371" s="271"/>
      <c r="O371" s="271">
        <f>'DGSP_chitiet (truKH)'!K371</f>
        <v>56277.306819164311</v>
      </c>
      <c r="P371" s="271">
        <f>'DGSP_chitiet (truKH)'!L371</f>
        <v>8441.5960228746462</v>
      </c>
      <c r="Q371" s="306">
        <f>'DGSP_chitiet (truKH)'!M371</f>
        <v>64718.902842038959</v>
      </c>
      <c r="R371" s="271">
        <f>'DGSP_chitiet (truKH)'!N371</f>
        <v>0</v>
      </c>
      <c r="S371" s="271">
        <f>S352*1.1</f>
        <v>707.82155982905988</v>
      </c>
    </row>
    <row r="372" spans="1:19">
      <c r="A372" s="1005"/>
      <c r="B372" s="1014"/>
      <c r="C372" s="1005"/>
      <c r="D372" s="242">
        <v>2</v>
      </c>
      <c r="E372" s="271">
        <f t="shared" si="131"/>
        <v>47599.082245000012</v>
      </c>
      <c r="F372" s="271">
        <f t="shared" si="131"/>
        <v>0</v>
      </c>
      <c r="G372" s="271">
        <f t="shared" si="128"/>
        <v>456.10161448243116</v>
      </c>
      <c r="H372" s="271">
        <f t="shared" si="128"/>
        <v>13138.755555555555</v>
      </c>
      <c r="I372" s="271">
        <f t="shared" si="128"/>
        <v>2702.7173817460316</v>
      </c>
      <c r="J372" s="271">
        <f t="shared" si="128"/>
        <v>1873.9704666666671</v>
      </c>
      <c r="K372" s="271">
        <f t="shared" si="129"/>
        <v>65770.627263450689</v>
      </c>
      <c r="L372" s="271">
        <f>K372*0.15</f>
        <v>9865.5940895176027</v>
      </c>
      <c r="M372" s="272">
        <f t="shared" si="130"/>
        <v>75636.221352968292</v>
      </c>
      <c r="N372" s="271"/>
      <c r="O372" s="271">
        <f>'DGSP_chitiet (truKH)'!K372</f>
        <v>63067.909881704662</v>
      </c>
      <c r="P372" s="271">
        <f>'DGSP_chitiet (truKH)'!L372</f>
        <v>9460.1864822556981</v>
      </c>
      <c r="Q372" s="306">
        <f>'DGSP_chitiet (truKH)'!M372</f>
        <v>72528.096363960358</v>
      </c>
      <c r="R372" s="271">
        <f>'DGSP_chitiet (truKH)'!N372</f>
        <v>0</v>
      </c>
      <c r="S372" s="271">
        <f>S353*1.1</f>
        <v>893.11702991453012</v>
      </c>
    </row>
    <row r="373" spans="1:19">
      <c r="A373" s="1005"/>
      <c r="B373" s="1014"/>
      <c r="C373" s="1005"/>
      <c r="D373" s="242">
        <v>3</v>
      </c>
      <c r="E373" s="271">
        <f t="shared" si="131"/>
        <v>56429.129979444464</v>
      </c>
      <c r="F373" s="271">
        <f t="shared" si="131"/>
        <v>0</v>
      </c>
      <c r="G373" s="271">
        <f t="shared" si="128"/>
        <v>499.63614719848056</v>
      </c>
      <c r="H373" s="271">
        <f t="shared" si="128"/>
        <v>13138.755555555555</v>
      </c>
      <c r="I373" s="271">
        <f t="shared" si="128"/>
        <v>3365.4180238095232</v>
      </c>
      <c r="J373" s="271">
        <f t="shared" si="128"/>
        <v>2973.2929333333336</v>
      </c>
      <c r="K373" s="271">
        <f t="shared" si="129"/>
        <v>76406.232639341353</v>
      </c>
      <c r="L373" s="271">
        <f>K373*0.15</f>
        <v>11460.934895901202</v>
      </c>
      <c r="M373" s="272">
        <f t="shared" si="130"/>
        <v>87867.167535242552</v>
      </c>
      <c r="N373" s="271"/>
      <c r="O373" s="271">
        <f>'DGSP_chitiet (truKH)'!K373</f>
        <v>73040.814615531825</v>
      </c>
      <c r="P373" s="271">
        <f>'DGSP_chitiet (truKH)'!L373</f>
        <v>10956.122192329773</v>
      </c>
      <c r="Q373" s="306">
        <f>'DGSP_chitiet (truKH)'!M373</f>
        <v>83996.936807861595</v>
      </c>
      <c r="R373" s="271">
        <f>'DGSP_chitiet (truKH)'!N373</f>
        <v>0</v>
      </c>
      <c r="S373" s="271">
        <f>S354*1.1</f>
        <v>1143.1113034188033</v>
      </c>
    </row>
    <row r="374" spans="1:19">
      <c r="A374" s="1005"/>
      <c r="B374" s="1014"/>
      <c r="C374" s="1005"/>
      <c r="D374" s="242">
        <v>4</v>
      </c>
      <c r="E374" s="271">
        <f t="shared" si="131"/>
        <v>68350.954656111149</v>
      </c>
      <c r="F374" s="271">
        <f t="shared" si="131"/>
        <v>0</v>
      </c>
      <c r="G374" s="271">
        <f t="shared" si="128"/>
        <v>558.24032585470081</v>
      </c>
      <c r="H374" s="271">
        <f t="shared" si="128"/>
        <v>13138.755555555555</v>
      </c>
      <c r="I374" s="271">
        <f t="shared" si="128"/>
        <v>4260.4469626984119</v>
      </c>
      <c r="J374" s="271">
        <f t="shared" si="128"/>
        <v>4457.4166000000005</v>
      </c>
      <c r="K374" s="271">
        <f t="shared" si="129"/>
        <v>90765.81410021981</v>
      </c>
      <c r="L374" s="271">
        <f>K374*0.15</f>
        <v>13614.872115032971</v>
      </c>
      <c r="M374" s="272">
        <f t="shared" si="130"/>
        <v>104380.68621525278</v>
      </c>
      <c r="N374" s="271"/>
      <c r="O374" s="271">
        <f>'DGSP_chitiet (truKH)'!K374</f>
        <v>86505.367137521403</v>
      </c>
      <c r="P374" s="271">
        <f>'DGSP_chitiet (truKH)'!L374</f>
        <v>12975.80507062821</v>
      </c>
      <c r="Q374" s="306">
        <f>'DGSP_chitiet (truKH)'!M374</f>
        <v>99481.172208149612</v>
      </c>
      <c r="R374" s="271">
        <f>'DGSP_chitiet (truKH)'!N374</f>
        <v>0</v>
      </c>
      <c r="S374" s="271">
        <f>S355*1.1</f>
        <v>1480.6392521367525</v>
      </c>
    </row>
    <row r="375" spans="1:19">
      <c r="A375" s="242">
        <v>1</v>
      </c>
      <c r="B375" s="276" t="s">
        <v>57</v>
      </c>
      <c r="C375" s="243"/>
      <c r="D375" s="243"/>
      <c r="E375" s="271"/>
      <c r="F375" s="271"/>
      <c r="G375" s="271"/>
      <c r="H375" s="271"/>
      <c r="I375" s="271"/>
      <c r="J375" s="271"/>
      <c r="K375" s="271"/>
      <c r="L375" s="271"/>
      <c r="M375" s="272">
        <v>900</v>
      </c>
      <c r="N375" s="974" t="s">
        <v>21</v>
      </c>
      <c r="O375" s="271">
        <f>'DGSP_chitiet (truKH)'!K375</f>
        <v>0</v>
      </c>
      <c r="P375" s="271">
        <f>'DGSP_chitiet (truKH)'!L375</f>
        <v>0</v>
      </c>
      <c r="Q375" s="306">
        <f>'DGSP_chitiet (truKH)'!M375</f>
        <v>900</v>
      </c>
      <c r="R375" s="271" t="str">
        <f>'DGSP_chitiet (truKH)'!N375</f>
        <v>ha</v>
      </c>
      <c r="S375" s="271"/>
    </row>
    <row r="376" spans="1:19">
      <c r="A376" s="969" t="s">
        <v>359</v>
      </c>
      <c r="B376" s="970" t="str">
        <f>NhanCong!B$61</f>
        <v>Công tác chuẩn bị</v>
      </c>
      <c r="C376" s="274" t="s">
        <v>317</v>
      </c>
      <c r="D376" s="274" t="s">
        <v>622</v>
      </c>
      <c r="E376" s="271">
        <f>NhanCong!Y$61</f>
        <v>44029.983555555576</v>
      </c>
      <c r="F376" s="271">
        <f>NhanCong!Y$62</f>
        <v>2753.102564102564</v>
      </c>
      <c r="G376" s="905">
        <f>Dcu!Q$102*0.4</f>
        <v>646.39237713675209</v>
      </c>
      <c r="H376" s="905">
        <f>VLieu!O$66</f>
        <v>589.70833333333326</v>
      </c>
      <c r="I376" s="905"/>
      <c r="J376" s="905"/>
      <c r="K376" s="905">
        <f>SUM(E376:J376)</f>
        <v>48019.18683012823</v>
      </c>
      <c r="L376" s="905">
        <f>K376*0.25</f>
        <v>12004.796707532058</v>
      </c>
      <c r="M376" s="906">
        <f>K376+L376</f>
        <v>60023.983537660286</v>
      </c>
      <c r="N376" s="905"/>
      <c r="O376" s="271">
        <f>'DGSP_chitiet (truKH)'!K376</f>
        <v>48019.18683012823</v>
      </c>
      <c r="P376" s="271">
        <f>'DGSP_chitiet (truKH)'!L376</f>
        <v>12004.796707532058</v>
      </c>
      <c r="Q376" s="306">
        <f>'DGSP_chitiet (truKH)'!M376</f>
        <v>60023.983537660286</v>
      </c>
      <c r="R376" s="271">
        <f>'DGSP_chitiet (truKH)'!N376</f>
        <v>0</v>
      </c>
      <c r="S376" s="905">
        <f>NhanCong!Z$61</f>
        <v>1204.4529914529915</v>
      </c>
    </row>
    <row r="377" spans="1:19">
      <c r="A377" s="1012" t="s">
        <v>269</v>
      </c>
      <c r="B377" s="1011" t="str">
        <f>NhanCong!B$63</f>
        <v>Lập lưới khống chế đo vẽ</v>
      </c>
      <c r="C377" s="1013" t="s">
        <v>317</v>
      </c>
      <c r="D377" s="274">
        <v>1</v>
      </c>
      <c r="E377" s="271">
        <f>NhanCong!Y$63</f>
        <v>29429.355312500007</v>
      </c>
      <c r="F377" s="271"/>
      <c r="G377" s="905">
        <f>Dcu!Q$82</f>
        <v>177.05517948717946</v>
      </c>
      <c r="H377" s="905">
        <f>VLieu!O$67</f>
        <v>393.13888888888891</v>
      </c>
      <c r="I377" s="905">
        <f>TBi!N$50</f>
        <v>476.09714285714284</v>
      </c>
      <c r="J377" s="979">
        <f>TBi!N$54</f>
        <v>5.1445333333333334</v>
      </c>
      <c r="K377" s="905">
        <f t="shared" ref="K377:K380" si="132">SUM(E377:J377)</f>
        <v>30480.791057066552</v>
      </c>
      <c r="L377" s="905">
        <f t="shared" ref="L377:L396" si="133">K377*0.25</f>
        <v>7620.1977642666379</v>
      </c>
      <c r="M377" s="906">
        <f t="shared" ref="M377:M396" si="134">K377+L377</f>
        <v>38100.988821333187</v>
      </c>
      <c r="N377" s="905"/>
      <c r="O377" s="271">
        <f>'DGSP_chitiet (truKH)'!K377</f>
        <v>30004.693914209409</v>
      </c>
      <c r="P377" s="271">
        <f>'DGSP_chitiet (truKH)'!L377</f>
        <v>7501.1734785523522</v>
      </c>
      <c r="Q377" s="306">
        <f>'DGSP_chitiet (truKH)'!M377</f>
        <v>37505.867392761764</v>
      </c>
      <c r="R377" s="271">
        <f>'DGSP_chitiet (truKH)'!N377</f>
        <v>0</v>
      </c>
      <c r="S377" s="905">
        <f>NhanCong!Z$63</f>
        <v>833.19711538461524</v>
      </c>
    </row>
    <row r="378" spans="1:19">
      <c r="A378" s="1012"/>
      <c r="B378" s="1011"/>
      <c r="C378" s="1013"/>
      <c r="D378" s="274">
        <v>2</v>
      </c>
      <c r="E378" s="271">
        <f>NhanCong!Y$64</f>
        <v>35324.773611111123</v>
      </c>
      <c r="F378" s="271"/>
      <c r="G378" s="905">
        <f>Dcu!Q$83</f>
        <v>212.97941880341878</v>
      </c>
      <c r="H378" s="905">
        <f>VLieu!O$67</f>
        <v>393.13888888888891</v>
      </c>
      <c r="I378" s="905">
        <f>TBi!O$50</f>
        <v>571.18158730158723</v>
      </c>
      <c r="J378" s="979">
        <f>TBi!O$54</f>
        <v>5.1445333333333334</v>
      </c>
      <c r="K378" s="905">
        <f t="shared" si="132"/>
        <v>36507.218039438354</v>
      </c>
      <c r="L378" s="905">
        <f t="shared" si="133"/>
        <v>9126.8045098595885</v>
      </c>
      <c r="M378" s="906">
        <f t="shared" si="134"/>
        <v>45634.022549297944</v>
      </c>
      <c r="N378" s="905"/>
      <c r="O378" s="271">
        <f>'DGSP_chitiet (truKH)'!K378</f>
        <v>35936.036452136766</v>
      </c>
      <c r="P378" s="271">
        <f>'DGSP_chitiet (truKH)'!L378</f>
        <v>8984.0091130341916</v>
      </c>
      <c r="Q378" s="306">
        <f>'DGSP_chitiet (truKH)'!M378</f>
        <v>44920.045565170956</v>
      </c>
      <c r="R378" s="271">
        <f>'DGSP_chitiet (truKH)'!N378</f>
        <v>0</v>
      </c>
      <c r="S378" s="905">
        <f>NhanCong!Z$64</f>
        <v>1000.1068376068375</v>
      </c>
    </row>
    <row r="379" spans="1:19">
      <c r="A379" s="1012"/>
      <c r="B379" s="1011"/>
      <c r="C379" s="1013"/>
      <c r="D379" s="274">
        <v>3</v>
      </c>
      <c r="E379" s="271">
        <f>NhanCong!Y$65</f>
        <v>42365.860243055562</v>
      </c>
      <c r="F379" s="271"/>
      <c r="G379" s="905">
        <f>Dcu!Q$84</f>
        <v>256.6017094017094</v>
      </c>
      <c r="H379" s="905">
        <f>VLieu!O$67</f>
        <v>393.13888888888891</v>
      </c>
      <c r="I379" s="905">
        <f>TBi!P$50</f>
        <v>618.09825396825397</v>
      </c>
      <c r="J379" s="979">
        <f>TBi!P$54</f>
        <v>5.1445333333333334</v>
      </c>
      <c r="K379" s="905">
        <f t="shared" si="132"/>
        <v>43638.843628647744</v>
      </c>
      <c r="L379" s="905">
        <f t="shared" si="133"/>
        <v>10909.710907161936</v>
      </c>
      <c r="M379" s="906">
        <f t="shared" si="134"/>
        <v>54548.554535809679</v>
      </c>
      <c r="N379" s="905"/>
      <c r="O379" s="271">
        <f>'DGSP_chitiet (truKH)'!K379</f>
        <v>43020.745374679493</v>
      </c>
      <c r="P379" s="271">
        <f>'DGSP_chitiet (truKH)'!L379</f>
        <v>10755.186343669873</v>
      </c>
      <c r="Q379" s="306">
        <f>'DGSP_chitiet (truKH)'!M379</f>
        <v>53775.931718349369</v>
      </c>
      <c r="R379" s="271">
        <f>'DGSP_chitiet (truKH)'!N379</f>
        <v>0</v>
      </c>
      <c r="S379" s="905">
        <f>NhanCong!Z$65</f>
        <v>1199.4524572649573</v>
      </c>
    </row>
    <row r="380" spans="1:19">
      <c r="A380" s="1012"/>
      <c r="B380" s="1011"/>
      <c r="C380" s="1013"/>
      <c r="D380" s="274">
        <v>4</v>
      </c>
      <c r="E380" s="271">
        <f>NhanCong!Y$66</f>
        <v>50862.900381944455</v>
      </c>
      <c r="F380" s="271"/>
      <c r="G380" s="905">
        <f>Dcu!Q$85</f>
        <v>307.92205128205126</v>
      </c>
      <c r="H380" s="905">
        <f>VLieu!O$67</f>
        <v>393.13888888888891</v>
      </c>
      <c r="I380" s="905">
        <f>TBi!Q$50</f>
        <v>665.0149206349206</v>
      </c>
      <c r="J380" s="979">
        <f>TBi!Q$54</f>
        <v>5.1445333333333334</v>
      </c>
      <c r="K380" s="905">
        <f t="shared" si="132"/>
        <v>52234.120776083655</v>
      </c>
      <c r="L380" s="905">
        <f t="shared" si="133"/>
        <v>13058.530194020914</v>
      </c>
      <c r="M380" s="906">
        <f t="shared" si="134"/>
        <v>65292.650970104572</v>
      </c>
      <c r="N380" s="905"/>
      <c r="O380" s="271">
        <f>'DGSP_chitiet (truKH)'!K380</f>
        <v>51569.105855448732</v>
      </c>
      <c r="P380" s="271">
        <f>'DGSP_chitiet (truKH)'!L380</f>
        <v>12892.276463862183</v>
      </c>
      <c r="Q380" s="306">
        <f>'DGSP_chitiet (truKH)'!M380</f>
        <v>64461.382319310913</v>
      </c>
      <c r="R380" s="271">
        <f>'DGSP_chitiet (truKH)'!N380</f>
        <v>0</v>
      </c>
      <c r="S380" s="905">
        <f>NhanCong!Z$66</f>
        <v>1440.0186965811968</v>
      </c>
    </row>
    <row r="381" spans="1:19">
      <c r="A381" s="1012" t="s">
        <v>36</v>
      </c>
      <c r="B381" s="1011" t="str">
        <f>NhanCong!B$68</f>
        <v>Xác định ranh giới thửa đất trên thực địa</v>
      </c>
      <c r="C381" s="1013" t="s">
        <v>317</v>
      </c>
      <c r="D381" s="274">
        <v>1</v>
      </c>
      <c r="E381" s="271">
        <f>NhanCong!Y$68</f>
        <v>78764.697916666686</v>
      </c>
      <c r="F381" s="271">
        <f>NhanCong!Y$69</f>
        <v>16676.282051282054</v>
      </c>
      <c r="G381" s="905">
        <f>Dcu!Q$103*0.4</f>
        <v>497.72213039529908</v>
      </c>
      <c r="H381" s="905">
        <f>VLieu!O$68</f>
        <v>982.84722222222217</v>
      </c>
      <c r="I381" s="905"/>
      <c r="J381" s="905"/>
      <c r="K381" s="905">
        <f>SUM(E381:J381)</f>
        <v>96921.549320566264</v>
      </c>
      <c r="L381" s="905">
        <f t="shared" si="133"/>
        <v>24230.387330141566</v>
      </c>
      <c r="M381" s="906">
        <f t="shared" si="134"/>
        <v>121151.93665070782</v>
      </c>
      <c r="N381" s="905"/>
      <c r="O381" s="271">
        <f>'DGSP_chitiet (truKH)'!K381</f>
        <v>96921.549320566264</v>
      </c>
      <c r="P381" s="271">
        <f>'DGSP_chitiet (truKH)'!L381</f>
        <v>24230.387330141566</v>
      </c>
      <c r="Q381" s="306">
        <f>'DGSP_chitiet (truKH)'!M381</f>
        <v>121151.93665070782</v>
      </c>
      <c r="R381" s="271">
        <f>'DGSP_chitiet (truKH)'!N381</f>
        <v>0</v>
      </c>
      <c r="S381" s="905">
        <f>NhanCong!Z$68</f>
        <v>2229.9679487179487</v>
      </c>
    </row>
    <row r="382" spans="1:19">
      <c r="A382" s="1012"/>
      <c r="B382" s="1011"/>
      <c r="C382" s="1013"/>
      <c r="D382" s="274">
        <v>2</v>
      </c>
      <c r="E382" s="271">
        <f>NhanCong!Y$70</f>
        <v>94517.637500000012</v>
      </c>
      <c r="F382" s="271">
        <f>NhanCong!Y$71</f>
        <v>20011.538461538461</v>
      </c>
      <c r="G382" s="905">
        <f>Dcu!Q$104*0.4</f>
        <v>594.68098696581194</v>
      </c>
      <c r="H382" s="905">
        <f>VLieu!O$68</f>
        <v>982.84722222222217</v>
      </c>
      <c r="I382" s="905"/>
      <c r="J382" s="905"/>
      <c r="K382" s="905">
        <f t="shared" ref="K382:K396" si="135">SUM(E382:J382)</f>
        <v>116106.70417072652</v>
      </c>
      <c r="L382" s="905">
        <f t="shared" si="133"/>
        <v>29026.676042681629</v>
      </c>
      <c r="M382" s="906">
        <f t="shared" si="134"/>
        <v>145133.38021340815</v>
      </c>
      <c r="N382" s="905"/>
      <c r="O382" s="271">
        <f>'DGSP_chitiet (truKH)'!K382</f>
        <v>116106.70417072652</v>
      </c>
      <c r="P382" s="271">
        <f>'DGSP_chitiet (truKH)'!L382</f>
        <v>29026.676042681629</v>
      </c>
      <c r="Q382" s="306">
        <f>'DGSP_chitiet (truKH)'!M382</f>
        <v>145133.38021340815</v>
      </c>
      <c r="R382" s="271">
        <f>'DGSP_chitiet (truKH)'!N382</f>
        <v>0</v>
      </c>
      <c r="S382" s="905">
        <f>NhanCong!Z$70</f>
        <v>2675.9615384615386</v>
      </c>
    </row>
    <row r="383" spans="1:19">
      <c r="A383" s="1012"/>
      <c r="B383" s="1011"/>
      <c r="C383" s="1013"/>
      <c r="D383" s="274">
        <v>3</v>
      </c>
      <c r="E383" s="271">
        <f>NhanCong!Y$72</f>
        <v>113421.16500000002</v>
      </c>
      <c r="F383" s="271">
        <f>NhanCong!Y$73</f>
        <v>24013.846153846156</v>
      </c>
      <c r="G383" s="905">
        <f>Dcu!Q$105*0.4</f>
        <v>646.39237713675209</v>
      </c>
      <c r="H383" s="905">
        <f>VLieu!O$68</f>
        <v>982.84722222222217</v>
      </c>
      <c r="I383" s="905"/>
      <c r="J383" s="905"/>
      <c r="K383" s="905">
        <f t="shared" si="135"/>
        <v>139064.25075320512</v>
      </c>
      <c r="L383" s="905">
        <f t="shared" si="133"/>
        <v>34766.062688301281</v>
      </c>
      <c r="M383" s="906">
        <f t="shared" si="134"/>
        <v>173830.31344150641</v>
      </c>
      <c r="N383" s="905"/>
      <c r="O383" s="271">
        <f>'DGSP_chitiet (truKH)'!K383</f>
        <v>139064.25075320512</v>
      </c>
      <c r="P383" s="271">
        <f>'DGSP_chitiet (truKH)'!L383</f>
        <v>34766.062688301281</v>
      </c>
      <c r="Q383" s="306">
        <f>'DGSP_chitiet (truKH)'!M383</f>
        <v>173830.31344150641</v>
      </c>
      <c r="R383" s="271">
        <f>'DGSP_chitiet (truKH)'!N383</f>
        <v>0</v>
      </c>
      <c r="S383" s="905">
        <f>NhanCong!Z$72</f>
        <v>3211.1538461538457</v>
      </c>
    </row>
    <row r="384" spans="1:19">
      <c r="A384" s="1012"/>
      <c r="B384" s="1011"/>
      <c r="C384" s="1013"/>
      <c r="D384" s="274">
        <v>4</v>
      </c>
      <c r="E384" s="271">
        <f>NhanCong!Y$74</f>
        <v>136105.39800000002</v>
      </c>
      <c r="F384" s="271">
        <f>NhanCong!Y$75</f>
        <v>28816.615384615387</v>
      </c>
      <c r="G384" s="905">
        <f>Dcu!Q$106*0.4</f>
        <v>711.03161485042733</v>
      </c>
      <c r="H384" s="905">
        <f>VLieu!O$68</f>
        <v>982.84722222222217</v>
      </c>
      <c r="I384" s="905"/>
      <c r="J384" s="905"/>
      <c r="K384" s="905">
        <f t="shared" si="135"/>
        <v>166615.89222168803</v>
      </c>
      <c r="L384" s="905">
        <f t="shared" si="133"/>
        <v>41653.973055422008</v>
      </c>
      <c r="M384" s="906">
        <f t="shared" si="134"/>
        <v>208269.86527711005</v>
      </c>
      <c r="N384" s="905"/>
      <c r="O384" s="271">
        <f>'DGSP_chitiet (truKH)'!K384</f>
        <v>166615.89222168803</v>
      </c>
      <c r="P384" s="271">
        <f>'DGSP_chitiet (truKH)'!L384</f>
        <v>41653.973055422008</v>
      </c>
      <c r="Q384" s="306">
        <f>'DGSP_chitiet (truKH)'!M384</f>
        <v>208269.86527711005</v>
      </c>
      <c r="R384" s="271">
        <f>'DGSP_chitiet (truKH)'!N384</f>
        <v>0</v>
      </c>
      <c r="S384" s="905">
        <f>NhanCong!Z$74</f>
        <v>3853.3846153846157</v>
      </c>
    </row>
    <row r="385" spans="1:19">
      <c r="A385" s="1012" t="s">
        <v>270</v>
      </c>
      <c r="B385" s="1011" t="str">
        <f>NhanCong!B$78</f>
        <v>Đo đạc ranh giới thửa đất và các đối tượng địa lý có liên quan</v>
      </c>
      <c r="C385" s="1013" t="s">
        <v>317</v>
      </c>
      <c r="D385" s="274" t="s">
        <v>18</v>
      </c>
      <c r="E385" s="271">
        <f>NhanCong!Y$78</f>
        <v>183736.55895833339</v>
      </c>
      <c r="F385" s="271">
        <f>NhanCong!Y$79</f>
        <v>6225.8119658119667</v>
      </c>
      <c r="G385" s="905">
        <f>Dcu!Q$103</f>
        <v>1244.3053259882477</v>
      </c>
      <c r="H385" s="905">
        <f>VLieu!O$69</f>
        <v>982.84722222222217</v>
      </c>
      <c r="I385" s="905">
        <f>TBi!N$74</f>
        <v>3666.3811111111108</v>
      </c>
      <c r="J385" s="905"/>
      <c r="K385" s="905">
        <f t="shared" si="135"/>
        <v>195855.90458346694</v>
      </c>
      <c r="L385" s="905">
        <f t="shared" si="133"/>
        <v>48963.976145866734</v>
      </c>
      <c r="M385" s="906">
        <f t="shared" si="134"/>
        <v>244819.88072933367</v>
      </c>
      <c r="N385" s="905"/>
      <c r="O385" s="271">
        <f>'DGSP_chitiet (truKH)'!K385</f>
        <v>192189.52347235582</v>
      </c>
      <c r="P385" s="271">
        <f>'DGSP_chitiet (truKH)'!L385</f>
        <v>48047.380868088956</v>
      </c>
      <c r="Q385" s="306">
        <f>'DGSP_chitiet (truKH)'!M385</f>
        <v>240236.90434044477</v>
      </c>
      <c r="R385" s="271">
        <f>'DGSP_chitiet (truKH)'!N385</f>
        <v>0</v>
      </c>
      <c r="S385" s="905">
        <f>NhanCong!Z$78</f>
        <v>5201.9070512820508</v>
      </c>
    </row>
    <row r="386" spans="1:19">
      <c r="A386" s="1012"/>
      <c r="B386" s="1011"/>
      <c r="C386" s="1013"/>
      <c r="D386" s="274" t="s">
        <v>20</v>
      </c>
      <c r="E386" s="271">
        <f>NhanCong!Y$80</f>
        <v>220469.54989583339</v>
      </c>
      <c r="F386" s="271">
        <f>NhanCong!Y$81</f>
        <v>7470.9743589743603</v>
      </c>
      <c r="G386" s="905">
        <f>Dcu!Q$104</f>
        <v>1486.7024674145298</v>
      </c>
      <c r="H386" s="905">
        <f>VLieu!O$69</f>
        <v>982.84722222222217</v>
      </c>
      <c r="I386" s="905">
        <f>TBi!O$74</f>
        <v>4398.2811111111114</v>
      </c>
      <c r="J386" s="905"/>
      <c r="K386" s="905">
        <f t="shared" si="135"/>
        <v>234808.35505555561</v>
      </c>
      <c r="L386" s="905">
        <f t="shared" si="133"/>
        <v>58702.088763888903</v>
      </c>
      <c r="M386" s="906">
        <f t="shared" si="134"/>
        <v>293510.44381944451</v>
      </c>
      <c r="N386" s="905"/>
      <c r="O386" s="271">
        <f>'DGSP_chitiet (truKH)'!K386</f>
        <v>230410.07394444451</v>
      </c>
      <c r="P386" s="271">
        <f>'DGSP_chitiet (truKH)'!L386</f>
        <v>57602.518486111127</v>
      </c>
      <c r="Q386" s="306">
        <f>'DGSP_chitiet (truKH)'!M386</f>
        <v>288012.59243055561</v>
      </c>
      <c r="R386" s="271">
        <f>'DGSP_chitiet (truKH)'!N386</f>
        <v>0</v>
      </c>
      <c r="S386" s="905">
        <f>NhanCong!Z$80</f>
        <v>6241.8830128205127</v>
      </c>
    </row>
    <row r="387" spans="1:19">
      <c r="A387" s="1012"/>
      <c r="B387" s="1011"/>
      <c r="C387" s="1013"/>
      <c r="D387" s="274" t="s">
        <v>35</v>
      </c>
      <c r="E387" s="271">
        <f>NhanCong!Y$82</f>
        <v>264553.91263888893</v>
      </c>
      <c r="F387" s="271">
        <f>NhanCong!Y$83</f>
        <v>8964.764957264957</v>
      </c>
      <c r="G387" s="905">
        <f>Dcu!Q$105</f>
        <v>1615.9809428418801</v>
      </c>
      <c r="H387" s="905">
        <f>VLieu!O$69</f>
        <v>982.84722222222217</v>
      </c>
      <c r="I387" s="905">
        <f>TBi!P$74</f>
        <v>4765.4822222222228</v>
      </c>
      <c r="J387" s="905"/>
      <c r="K387" s="905">
        <f t="shared" si="135"/>
        <v>280882.98798344017</v>
      </c>
      <c r="L387" s="905">
        <f t="shared" si="133"/>
        <v>70220.746995860041</v>
      </c>
      <c r="M387" s="906">
        <f t="shared" si="134"/>
        <v>351103.73497930018</v>
      </c>
      <c r="N387" s="905"/>
      <c r="O387" s="271">
        <f>'DGSP_chitiet (truKH)'!K387</f>
        <v>276117.50576121797</v>
      </c>
      <c r="P387" s="271">
        <f>'DGSP_chitiet (truKH)'!L387</f>
        <v>69029.376440304492</v>
      </c>
      <c r="Q387" s="306">
        <f>'DGSP_chitiet (truKH)'!M387</f>
        <v>345146.88220152247</v>
      </c>
      <c r="R387" s="271">
        <f>'DGSP_chitiet (truKH)'!N387</f>
        <v>0</v>
      </c>
      <c r="S387" s="905">
        <f>NhanCong!Z$82</f>
        <v>7489.9893162393164</v>
      </c>
    </row>
    <row r="388" spans="1:19">
      <c r="A388" s="1012"/>
      <c r="B388" s="1011"/>
      <c r="C388" s="1013"/>
      <c r="D388" s="274" t="s">
        <v>33</v>
      </c>
      <c r="E388" s="271">
        <f>NhanCong!Y$84</f>
        <v>317469.46878472227</v>
      </c>
      <c r="F388" s="271">
        <f>NhanCong!Y$85</f>
        <v>10757.717948717949</v>
      </c>
      <c r="G388" s="905">
        <f>Dcu!Q$106</f>
        <v>1777.5790371260682</v>
      </c>
      <c r="H388" s="905">
        <f>VLieu!O$69</f>
        <v>982.84722222222217</v>
      </c>
      <c r="I388" s="905">
        <f>TBi!Q$74</f>
        <v>5132.057777777778</v>
      </c>
      <c r="J388" s="905"/>
      <c r="K388" s="905">
        <f t="shared" si="135"/>
        <v>336119.67077056633</v>
      </c>
      <c r="L388" s="905">
        <f t="shared" si="133"/>
        <v>84029.917692641582</v>
      </c>
      <c r="M388" s="906">
        <f t="shared" si="134"/>
        <v>420149.58846320794</v>
      </c>
      <c r="N388" s="905"/>
      <c r="O388" s="271">
        <f>'DGSP_chitiet (truKH)'!K388</f>
        <v>330987.61299278855</v>
      </c>
      <c r="P388" s="271">
        <f>'DGSP_chitiet (truKH)'!L388</f>
        <v>82746.903248197137</v>
      </c>
      <c r="Q388" s="306">
        <f>'DGSP_chitiet (truKH)'!M388</f>
        <v>413734.51624098571</v>
      </c>
      <c r="R388" s="271">
        <f>'DGSP_chitiet (truKH)'!N388</f>
        <v>0</v>
      </c>
      <c r="S388" s="905">
        <f>NhanCong!Z$84</f>
        <v>8988.1223290598282</v>
      </c>
    </row>
    <row r="389" spans="1:19">
      <c r="A389" s="1012" t="s">
        <v>363</v>
      </c>
      <c r="B389" s="1011" t="str">
        <f>NhanCong!B$88</f>
        <v>Đối soát, kiểm tra</v>
      </c>
      <c r="C389" s="1013" t="s">
        <v>317</v>
      </c>
      <c r="D389" s="274" t="s">
        <v>18</v>
      </c>
      <c r="E389" s="271">
        <f>NhanCong!Y$88</f>
        <v>12549.841868055559</v>
      </c>
      <c r="F389" s="271">
        <f>NhanCong!Y$89</f>
        <v>2126.4786324786323</v>
      </c>
      <c r="G389" s="905">
        <f>Dcu!Q$103*0.4</f>
        <v>497.72213039529908</v>
      </c>
      <c r="H389" s="905">
        <f>VLieu!O$70</f>
        <v>511.08055555555552</v>
      </c>
      <c r="I389" s="905"/>
      <c r="J389" s="905"/>
      <c r="K389" s="905">
        <f t="shared" si="135"/>
        <v>15685.123186485047</v>
      </c>
      <c r="L389" s="905">
        <f t="shared" si="133"/>
        <v>3921.2807966212617</v>
      </c>
      <c r="M389" s="906">
        <f t="shared" si="134"/>
        <v>19606.403983106309</v>
      </c>
      <c r="N389" s="905"/>
      <c r="O389" s="271">
        <f>'DGSP_chitiet (truKH)'!K389</f>
        <v>15685.123186485047</v>
      </c>
      <c r="P389" s="271">
        <f>'DGSP_chitiet (truKH)'!L389</f>
        <v>3921.2807966212617</v>
      </c>
      <c r="Q389" s="306">
        <f>'DGSP_chitiet (truKH)'!M389</f>
        <v>19606.403983106309</v>
      </c>
      <c r="R389" s="271">
        <f>'DGSP_chitiet (truKH)'!N389</f>
        <v>0</v>
      </c>
      <c r="S389" s="905">
        <f>NhanCong!Z$88</f>
        <v>355.30822649572644</v>
      </c>
    </row>
    <row r="390" spans="1:19">
      <c r="A390" s="1012"/>
      <c r="B390" s="1011"/>
      <c r="C390" s="1013"/>
      <c r="D390" s="274" t="s">
        <v>20</v>
      </c>
      <c r="E390" s="271">
        <f>NhanCong!Y$90</f>
        <v>15060.764965277782</v>
      </c>
      <c r="F390" s="271">
        <f>NhanCong!Y$91</f>
        <v>2552.9871794871801</v>
      </c>
      <c r="G390" s="905">
        <f>Dcu!Q$104*0.4</f>
        <v>594.68098696581194</v>
      </c>
      <c r="H390" s="905">
        <f>VLieu!O$70</f>
        <v>511.08055555555552</v>
      </c>
      <c r="I390" s="905"/>
      <c r="J390" s="905"/>
      <c r="K390" s="905">
        <f t="shared" si="135"/>
        <v>18719.513687286333</v>
      </c>
      <c r="L390" s="905">
        <f t="shared" si="133"/>
        <v>4679.8784218215833</v>
      </c>
      <c r="M390" s="906">
        <f t="shared" si="134"/>
        <v>23399.392109107917</v>
      </c>
      <c r="N390" s="905"/>
      <c r="O390" s="271">
        <f>'DGSP_chitiet (truKH)'!K390</f>
        <v>18719.513687286333</v>
      </c>
      <c r="P390" s="271">
        <f>'DGSP_chitiet (truKH)'!L390</f>
        <v>4679.8784218215833</v>
      </c>
      <c r="Q390" s="306">
        <f>'DGSP_chitiet (truKH)'!M390</f>
        <v>23399.392109107917</v>
      </c>
      <c r="R390" s="271">
        <f>'DGSP_chitiet (truKH)'!N390</f>
        <v>0</v>
      </c>
      <c r="S390" s="905">
        <f>NhanCong!Z$90</f>
        <v>426.39690170940173</v>
      </c>
    </row>
    <row r="391" spans="1:19">
      <c r="A391" s="1012"/>
      <c r="B391" s="1011"/>
      <c r="C391" s="1013"/>
      <c r="D391" s="274" t="s">
        <v>35</v>
      </c>
      <c r="E391" s="271">
        <f>NhanCong!Y$92</f>
        <v>18068.14434027778</v>
      </c>
      <c r="F391" s="271">
        <f>NhanCong!Y$93</f>
        <v>3062.3717948717949</v>
      </c>
      <c r="G391" s="905">
        <f>Dcu!Q$105*0.4</f>
        <v>646.39237713675209</v>
      </c>
      <c r="H391" s="905">
        <f>VLieu!O$70</f>
        <v>511.08055555555552</v>
      </c>
      <c r="I391" s="905"/>
      <c r="J391" s="905"/>
      <c r="K391" s="905">
        <f t="shared" si="135"/>
        <v>22287.989067841885</v>
      </c>
      <c r="L391" s="905">
        <f t="shared" si="133"/>
        <v>5571.9972669604713</v>
      </c>
      <c r="M391" s="906">
        <f t="shared" si="134"/>
        <v>27859.986334802357</v>
      </c>
      <c r="N391" s="905"/>
      <c r="O391" s="271">
        <f>'DGSP_chitiet (truKH)'!K391</f>
        <v>22287.989067841885</v>
      </c>
      <c r="P391" s="271">
        <f>'DGSP_chitiet (truKH)'!L391</f>
        <v>5571.9972669604713</v>
      </c>
      <c r="Q391" s="306">
        <f>'DGSP_chitiet (truKH)'!M391</f>
        <v>27859.986334802357</v>
      </c>
      <c r="R391" s="271">
        <f>'DGSP_chitiet (truKH)'!N391</f>
        <v>0</v>
      </c>
      <c r="S391" s="905">
        <f>NhanCong!Z$92</f>
        <v>511.54113247863251</v>
      </c>
    </row>
    <row r="392" spans="1:19">
      <c r="A392" s="1012"/>
      <c r="B392" s="1011"/>
      <c r="C392" s="1013"/>
      <c r="D392" s="274" t="s">
        <v>33</v>
      </c>
      <c r="E392" s="271">
        <f>NhanCong!Y$94</f>
        <v>21681.773208333336</v>
      </c>
      <c r="F392" s="271">
        <f>NhanCong!Y$95</f>
        <v>3672.8247863247871</v>
      </c>
      <c r="G392" s="905">
        <f>Dcu!Q$106*0.4</f>
        <v>711.03161485042733</v>
      </c>
      <c r="H392" s="905">
        <f>VLieu!O$70</f>
        <v>511.08055555555552</v>
      </c>
      <c r="I392" s="905"/>
      <c r="J392" s="905"/>
      <c r="K392" s="905">
        <f t="shared" si="135"/>
        <v>26576.710165064105</v>
      </c>
      <c r="L392" s="905">
        <f t="shared" si="133"/>
        <v>6644.1775412660263</v>
      </c>
      <c r="M392" s="906">
        <f t="shared" si="134"/>
        <v>33220.887706330133</v>
      </c>
      <c r="N392" s="905"/>
      <c r="O392" s="271">
        <f>'DGSP_chitiet (truKH)'!K392</f>
        <v>26576.710165064105</v>
      </c>
      <c r="P392" s="271">
        <f>'DGSP_chitiet (truKH)'!L392</f>
        <v>6644.1775412660263</v>
      </c>
      <c r="Q392" s="306">
        <f>'DGSP_chitiet (truKH)'!M392</f>
        <v>33220.887706330133</v>
      </c>
      <c r="R392" s="271">
        <f>'DGSP_chitiet (truKH)'!N392</f>
        <v>0</v>
      </c>
      <c r="S392" s="905">
        <f>NhanCong!Z$94</f>
        <v>613.84935897435889</v>
      </c>
    </row>
    <row r="393" spans="1:19" ht="12.75" customHeight="1">
      <c r="A393" s="1012" t="s">
        <v>364</v>
      </c>
      <c r="B393" s="1011" t="str">
        <f>NhanCong!B$98</f>
        <v>Giao nhận Phiếu kết quả đo đạc hiện trạng thửa đất</v>
      </c>
      <c r="C393" s="1013" t="s">
        <v>317</v>
      </c>
      <c r="D393" s="274" t="s">
        <v>18</v>
      </c>
      <c r="E393" s="271">
        <f>NhanCong!Y$98</f>
        <v>21963.416673611111</v>
      </c>
      <c r="F393" s="271">
        <f>NhanCong!Y$99</f>
        <v>9300.3119658119667</v>
      </c>
      <c r="G393" s="905">
        <f>Dcu!Q$103*0.4</f>
        <v>497.72213039529908</v>
      </c>
      <c r="H393" s="905">
        <f>VLieu!O$71</f>
        <v>511.08055555555552</v>
      </c>
      <c r="I393" s="905"/>
      <c r="J393" s="905"/>
      <c r="K393" s="905">
        <f t="shared" si="135"/>
        <v>32272.53132537393</v>
      </c>
      <c r="L393" s="905">
        <f t="shared" si="133"/>
        <v>8068.1328313434824</v>
      </c>
      <c r="M393" s="906">
        <f t="shared" si="134"/>
        <v>40340.664156717408</v>
      </c>
      <c r="N393" s="905"/>
      <c r="O393" s="271">
        <f>'DGSP_chitiet (truKH)'!K393</f>
        <v>32272.53132537393</v>
      </c>
      <c r="P393" s="271">
        <f>'DGSP_chitiet (truKH)'!L393</f>
        <v>8068.1328313434824</v>
      </c>
      <c r="Q393" s="306">
        <f>'DGSP_chitiet (truKH)'!M393</f>
        <v>40340.664156717408</v>
      </c>
      <c r="R393" s="271">
        <f>'DGSP_chitiet (truKH)'!N393</f>
        <v>0</v>
      </c>
      <c r="S393" s="905">
        <f>NhanCong!Z$98</f>
        <v>621.82318376068361</v>
      </c>
    </row>
    <row r="394" spans="1:19">
      <c r="A394" s="1012"/>
      <c r="B394" s="1011"/>
      <c r="C394" s="1013"/>
      <c r="D394" s="274" t="s">
        <v>20</v>
      </c>
      <c r="E394" s="271">
        <f>NhanCong!Y$100</f>
        <v>26355.145284722228</v>
      </c>
      <c r="F394" s="271">
        <f>NhanCong!Y$101</f>
        <v>11159.970085470086</v>
      </c>
      <c r="G394" s="905">
        <f>Dcu!Q$104*0.4</f>
        <v>594.68098696581194</v>
      </c>
      <c r="H394" s="905">
        <f>VLieu!O$71</f>
        <v>511.08055555555552</v>
      </c>
      <c r="I394" s="905"/>
      <c r="J394" s="905"/>
      <c r="K394" s="905">
        <f t="shared" si="135"/>
        <v>38620.876912713684</v>
      </c>
      <c r="L394" s="905">
        <f t="shared" si="133"/>
        <v>9655.219228178421</v>
      </c>
      <c r="M394" s="906">
        <f t="shared" si="134"/>
        <v>48276.096140892107</v>
      </c>
      <c r="N394" s="905"/>
      <c r="O394" s="271">
        <f>'DGSP_chitiet (truKH)'!K394</f>
        <v>38620.876912713684</v>
      </c>
      <c r="P394" s="271">
        <f>'DGSP_chitiet (truKH)'!L394</f>
        <v>9655.219228178421</v>
      </c>
      <c r="Q394" s="306">
        <f>'DGSP_chitiet (truKH)'!M394</f>
        <v>48276.096140892107</v>
      </c>
      <c r="R394" s="271">
        <f>'DGSP_chitiet (truKH)'!N394</f>
        <v>0</v>
      </c>
      <c r="S394" s="905">
        <f>NhanCong!Z$100</f>
        <v>746.16079059829053</v>
      </c>
    </row>
    <row r="395" spans="1:19">
      <c r="A395" s="1012"/>
      <c r="B395" s="1011"/>
      <c r="C395" s="1013"/>
      <c r="D395" s="274" t="s">
        <v>35</v>
      </c>
      <c r="E395" s="271">
        <f>NhanCong!Y$102</f>
        <v>31625.219618055558</v>
      </c>
      <c r="F395" s="271">
        <f>NhanCong!Y$103</f>
        <v>13391.559829059832</v>
      </c>
      <c r="G395" s="905">
        <f>Dcu!Q$105*0.4</f>
        <v>646.39237713675209</v>
      </c>
      <c r="H395" s="905">
        <f>VLieu!O$71</f>
        <v>511.08055555555552</v>
      </c>
      <c r="I395" s="905"/>
      <c r="J395" s="905"/>
      <c r="K395" s="905">
        <f t="shared" si="135"/>
        <v>46174.252379807702</v>
      </c>
      <c r="L395" s="905">
        <f t="shared" si="133"/>
        <v>11543.563094951925</v>
      </c>
      <c r="M395" s="906">
        <f t="shared" si="134"/>
        <v>57717.815474759627</v>
      </c>
      <c r="N395" s="905"/>
      <c r="O395" s="271">
        <f>'DGSP_chitiet (truKH)'!K395</f>
        <v>46174.252379807702</v>
      </c>
      <c r="P395" s="271">
        <f>'DGSP_chitiet (truKH)'!L395</f>
        <v>11543.563094951925</v>
      </c>
      <c r="Q395" s="306">
        <f>'DGSP_chitiet (truKH)'!M395</f>
        <v>57717.815474759627</v>
      </c>
      <c r="R395" s="271">
        <f>'DGSP_chitiet (truKH)'!N395</f>
        <v>0</v>
      </c>
      <c r="S395" s="905">
        <f>NhanCong!Z$102</f>
        <v>895.36591880341871</v>
      </c>
    </row>
    <row r="396" spans="1:19">
      <c r="A396" s="1012"/>
      <c r="B396" s="1011"/>
      <c r="C396" s="1013"/>
      <c r="D396" s="274" t="s">
        <v>33</v>
      </c>
      <c r="E396" s="271">
        <f>NhanCong!Y$104</f>
        <v>37950.263541666674</v>
      </c>
      <c r="F396" s="271">
        <f>NhanCong!Y$105</f>
        <v>16069.871794871795</v>
      </c>
      <c r="G396" s="905">
        <f>Dcu!Q$106*0.4</f>
        <v>711.03161485042733</v>
      </c>
      <c r="H396" s="905">
        <f>VLieu!O$71</f>
        <v>511.08055555555552</v>
      </c>
      <c r="I396" s="905"/>
      <c r="J396" s="905"/>
      <c r="K396" s="905">
        <f t="shared" si="135"/>
        <v>55242.247506944455</v>
      </c>
      <c r="L396" s="905">
        <f t="shared" si="133"/>
        <v>13810.561876736114</v>
      </c>
      <c r="M396" s="906">
        <f t="shared" si="134"/>
        <v>69052.809383680564</v>
      </c>
      <c r="N396" s="905"/>
      <c r="O396" s="271">
        <f>'DGSP_chitiet (truKH)'!K396</f>
        <v>55242.247506944455</v>
      </c>
      <c r="P396" s="271">
        <f>'DGSP_chitiet (truKH)'!L396</f>
        <v>13810.561876736114</v>
      </c>
      <c r="Q396" s="306">
        <f>'DGSP_chitiet (truKH)'!M396</f>
        <v>69052.809383680564</v>
      </c>
      <c r="R396" s="271">
        <f>'DGSP_chitiet (truKH)'!N396</f>
        <v>0</v>
      </c>
      <c r="S396" s="905">
        <f>NhanCong!Z$104</f>
        <v>1074.4391025641025</v>
      </c>
    </row>
    <row r="397" spans="1:19">
      <c r="A397" s="242">
        <v>2</v>
      </c>
      <c r="B397" s="276" t="s">
        <v>58</v>
      </c>
      <c r="C397" s="274" t="s">
        <v>43</v>
      </c>
      <c r="D397" s="274"/>
      <c r="E397" s="271">
        <f>NhanCong!Y$108</f>
        <v>0</v>
      </c>
      <c r="F397" s="271"/>
      <c r="G397" s="905"/>
      <c r="H397" s="905"/>
      <c r="I397" s="905"/>
      <c r="J397" s="905"/>
      <c r="K397" s="905">
        <f>E397+F397+G397+I397+J397</f>
        <v>0</v>
      </c>
      <c r="L397" s="905"/>
      <c r="M397" s="906"/>
      <c r="N397" s="905"/>
      <c r="O397" s="271">
        <f>'DGSP_chitiet (truKH)'!K397</f>
        <v>0</v>
      </c>
      <c r="P397" s="271">
        <f>'DGSP_chitiet (truKH)'!L397</f>
        <v>0</v>
      </c>
      <c r="Q397" s="306">
        <f>'DGSP_chitiet (truKH)'!M397</f>
        <v>0</v>
      </c>
      <c r="R397" s="271">
        <f>'DGSP_chitiet (truKH)'!N397</f>
        <v>0</v>
      </c>
      <c r="S397" s="905"/>
    </row>
    <row r="398" spans="1:19">
      <c r="A398" s="1012" t="s">
        <v>268</v>
      </c>
      <c r="B398" s="1011" t="str">
        <f>NhanCong!B$109</f>
        <v>Biên tập bản đồ địa chính</v>
      </c>
      <c r="C398" s="1013" t="s">
        <v>317</v>
      </c>
      <c r="D398" s="274" t="s">
        <v>18</v>
      </c>
      <c r="E398" s="271">
        <f>NhanCong!Y$109</f>
        <v>16994.080277777779</v>
      </c>
      <c r="F398" s="271"/>
      <c r="G398" s="905">
        <f>Dcu!Q$123</f>
        <v>92.092280745489091</v>
      </c>
      <c r="H398" s="905">
        <f>VLieu!O$90</f>
        <v>3991.5333333333333</v>
      </c>
      <c r="I398" s="905">
        <f>TBi!N$115</f>
        <v>1405.8866095238097</v>
      </c>
      <c r="J398" s="905">
        <f>TBi!N$121</f>
        <v>606.65920000000006</v>
      </c>
      <c r="K398" s="905">
        <f>SUM(E398:J398)</f>
        <v>23090.25170138041</v>
      </c>
      <c r="L398" s="905">
        <f>K398*0.15</f>
        <v>3463.5377552070613</v>
      </c>
      <c r="M398" s="906">
        <f>K398+L398</f>
        <v>26553.78945658747</v>
      </c>
      <c r="N398" s="905"/>
      <c r="O398" s="271">
        <f>'DGSP_chitiet (truKH)'!K398</f>
        <v>21684.365091856598</v>
      </c>
      <c r="P398" s="271">
        <f>'DGSP_chitiet (truKH)'!L398</f>
        <v>3252.6547637784897</v>
      </c>
      <c r="Q398" s="306">
        <f>'DGSP_chitiet (truKH)'!M398</f>
        <v>24937.019855635088</v>
      </c>
      <c r="R398" s="271">
        <f>'DGSP_chitiet (truKH)'!N398</f>
        <v>0</v>
      </c>
      <c r="S398" s="905">
        <f>NhanCong!Z$109</f>
        <v>481.13247863247864</v>
      </c>
    </row>
    <row r="399" spans="1:19">
      <c r="A399" s="1012"/>
      <c r="B399" s="1011"/>
      <c r="C399" s="1013"/>
      <c r="D399" s="274" t="s">
        <v>20</v>
      </c>
      <c r="E399" s="271">
        <f>NhanCong!Y$110</f>
        <v>22943.917822222225</v>
      </c>
      <c r="F399" s="271"/>
      <c r="G399" s="905">
        <f>Dcu!Q$124</f>
        <v>123.9059777302944</v>
      </c>
      <c r="H399" s="905">
        <f>VLieu!O$90</f>
        <v>3991.5333333333333</v>
      </c>
      <c r="I399" s="905">
        <f>TBi!O$115</f>
        <v>1897.3690150793648</v>
      </c>
      <c r="J399" s="905">
        <f>TBi!O$121</f>
        <v>820.62726666666674</v>
      </c>
      <c r="K399" s="905">
        <f>SUM(E399:J399)</f>
        <v>29777.353415031885</v>
      </c>
      <c r="L399" s="905">
        <f>K399*0.15</f>
        <v>4466.6030122547827</v>
      </c>
      <c r="M399" s="906">
        <f>K399+L399</f>
        <v>34243.95642728667</v>
      </c>
      <c r="N399" s="905"/>
      <c r="O399" s="271">
        <f>'DGSP_chitiet (truKH)'!K399</f>
        <v>27879.984399952518</v>
      </c>
      <c r="P399" s="271">
        <f>'DGSP_chitiet (truKH)'!L399</f>
        <v>4181.9976599928777</v>
      </c>
      <c r="Q399" s="306">
        <f>'DGSP_chitiet (truKH)'!M399</f>
        <v>32061.982059945396</v>
      </c>
      <c r="R399" s="271">
        <f>'DGSP_chitiet (truKH)'!N399</f>
        <v>0</v>
      </c>
      <c r="S399" s="905">
        <f>NhanCong!Z$110</f>
        <v>649.58290598290603</v>
      </c>
    </row>
    <row r="400" spans="1:19">
      <c r="A400" s="1012"/>
      <c r="B400" s="1011"/>
      <c r="C400" s="1013"/>
      <c r="D400" s="274" t="s">
        <v>35</v>
      </c>
      <c r="E400" s="271">
        <f>NhanCong!Y$111</f>
        <v>30971.233944444448</v>
      </c>
      <c r="F400" s="271"/>
      <c r="G400" s="905">
        <f>Dcu!Q$125</f>
        <v>167.44051044634378</v>
      </c>
      <c r="H400" s="905">
        <f>VLieu!O$90</f>
        <v>3991.5333333333333</v>
      </c>
      <c r="I400" s="905">
        <f>TBi!P$115</f>
        <v>2560.0696571428566</v>
      </c>
      <c r="J400" s="905">
        <f>TBi!P$121</f>
        <v>1919.9497333333334</v>
      </c>
      <c r="K400" s="905">
        <f>SUM(E400:J400)</f>
        <v>39610.227178700319</v>
      </c>
      <c r="L400" s="905">
        <f>K400*0.15</f>
        <v>5941.5340768050473</v>
      </c>
      <c r="M400" s="906">
        <f>K400+L400</f>
        <v>45551.761255505364</v>
      </c>
      <c r="N400" s="905"/>
      <c r="O400" s="271">
        <f>'DGSP_chitiet (truKH)'!K400</f>
        <v>37050.157521557463</v>
      </c>
      <c r="P400" s="271">
        <f>'DGSP_chitiet (truKH)'!L400</f>
        <v>5557.5236282336191</v>
      </c>
      <c r="Q400" s="306">
        <f>'DGSP_chitiet (truKH)'!M400</f>
        <v>42607.681149791082</v>
      </c>
      <c r="R400" s="271">
        <f>'DGSP_chitiet (truKH)'!N400</f>
        <v>0</v>
      </c>
      <c r="S400" s="905">
        <f>NhanCong!Z$111</f>
        <v>876.85042735042725</v>
      </c>
    </row>
    <row r="401" spans="1:19">
      <c r="A401" s="1012"/>
      <c r="B401" s="1011"/>
      <c r="C401" s="1013"/>
      <c r="D401" s="274" t="s">
        <v>33</v>
      </c>
      <c r="E401" s="271">
        <f>NhanCong!Y$112</f>
        <v>41809.25637777779</v>
      </c>
      <c r="F401" s="271"/>
      <c r="G401" s="905">
        <f>Dcu!Q$126</f>
        <v>226.04468910256412</v>
      </c>
      <c r="H401" s="905">
        <f>VLieu!O$90</f>
        <v>3991.5333333333333</v>
      </c>
      <c r="I401" s="905">
        <f>TBi!Q$115</f>
        <v>3455.0985960317457</v>
      </c>
      <c r="J401" s="905">
        <f>TBi!Q$121</f>
        <v>3404.0734000000002</v>
      </c>
      <c r="K401" s="905">
        <f>SUM(E401:J401)</f>
        <v>52886.006396245437</v>
      </c>
      <c r="L401" s="905">
        <f>K401*0.15</f>
        <v>7932.9009594368154</v>
      </c>
      <c r="M401" s="906">
        <f>K401+L401</f>
        <v>60818.907355682255</v>
      </c>
      <c r="N401" s="905"/>
      <c r="O401" s="271">
        <f>'DGSP_chitiet (truKH)'!K401</f>
        <v>49430.907800213688</v>
      </c>
      <c r="P401" s="271">
        <f>'DGSP_chitiet (truKH)'!L401</f>
        <v>7414.6361700320531</v>
      </c>
      <c r="Q401" s="306">
        <f>'DGSP_chitiet (truKH)'!M401</f>
        <v>56845.543970245744</v>
      </c>
      <c r="R401" s="271">
        <f>'DGSP_chitiet (truKH)'!N401</f>
        <v>0</v>
      </c>
      <c r="S401" s="905">
        <f>NhanCong!Z$112</f>
        <v>1183.6940170940172</v>
      </c>
    </row>
    <row r="402" spans="1:19" ht="26">
      <c r="A402" s="969">
        <v>2.2000000000000002</v>
      </c>
      <c r="B402" s="970" t="str">
        <f>NhanCong!B$114</f>
        <v>Lập Phiếu xác nhận kết quả đo đạc hiện trạng thửa đất</v>
      </c>
      <c r="C402" s="274" t="s">
        <v>317</v>
      </c>
      <c r="D402" s="274" t="s">
        <v>15</v>
      </c>
      <c r="E402" s="271">
        <f>NhanCong!Y$114</f>
        <v>7561.4110000000019</v>
      </c>
      <c r="F402" s="271"/>
      <c r="G402" s="905">
        <f>Dcu!Q$138</f>
        <v>78.563702754036086</v>
      </c>
      <c r="H402" s="905">
        <f>VLieu!O$91</f>
        <v>3265.7999999999997</v>
      </c>
      <c r="I402" s="905">
        <f>TBi!N$146</f>
        <v>475.39261507936516</v>
      </c>
      <c r="J402" s="905">
        <f>TBi!N$149</f>
        <v>623.23053333333337</v>
      </c>
      <c r="K402" s="905">
        <f t="shared" ref="K402:K407" si="136">SUM(E402:J402)</f>
        <v>12004.397851166736</v>
      </c>
      <c r="L402" s="905">
        <f t="shared" ref="L402:L407" si="137">K402*0.15</f>
        <v>1800.6596776750102</v>
      </c>
      <c r="M402" s="906">
        <f t="shared" ref="M402:M407" si="138">K402+L402</f>
        <v>13805.057528841746</v>
      </c>
      <c r="N402" s="905"/>
      <c r="O402" s="271">
        <f>'DGSP_chitiet (truKH)'!K402</f>
        <v>11529.005236087371</v>
      </c>
      <c r="P402" s="271">
        <f>'DGSP_chitiet (truKH)'!L402</f>
        <v>1729.3507854131055</v>
      </c>
      <c r="Q402" s="306">
        <f>'DGSP_chitiet (truKH)'!M402</f>
        <v>13258.356021500476</v>
      </c>
      <c r="R402" s="271">
        <f>'DGSP_chitiet (truKH)'!N402</f>
        <v>0</v>
      </c>
      <c r="S402" s="905">
        <f>NhanCong!Z$114</f>
        <v>214.07692307692309</v>
      </c>
    </row>
    <row r="403" spans="1:19" ht="26">
      <c r="A403" s="969" t="s">
        <v>246</v>
      </c>
      <c r="B403" s="970" t="str">
        <f>NhanCong!B$115</f>
        <v>Công khai bản đồ địa chính, Hoàn thiện bản đồ địa chính</v>
      </c>
      <c r="C403" s="274" t="s">
        <v>317</v>
      </c>
      <c r="D403" s="274" t="s">
        <v>15</v>
      </c>
      <c r="E403" s="271">
        <f>NhanCong!Y$115</f>
        <v>9730.5430444444464</v>
      </c>
      <c r="F403" s="271"/>
      <c r="G403" s="905">
        <f>Dcu!Q$130</f>
        <v>63.627393969610637</v>
      </c>
      <c r="H403" s="905">
        <f>VLieu!O$94</f>
        <v>1451.4666666666667</v>
      </c>
      <c r="I403" s="905">
        <f>TBi!N$172</f>
        <v>318.65442460317456</v>
      </c>
      <c r="J403" s="905">
        <f>TBi!N$175</f>
        <v>417.89440000000002</v>
      </c>
      <c r="K403" s="905">
        <f t="shared" si="136"/>
        <v>11982.185929683899</v>
      </c>
      <c r="L403" s="905">
        <f t="shared" si="137"/>
        <v>1797.3278894525849</v>
      </c>
      <c r="M403" s="906">
        <f t="shared" si="138"/>
        <v>13779.513819136484</v>
      </c>
      <c r="N403" s="905"/>
      <c r="O403" s="271">
        <f>'DGSP_chitiet (truKH)'!K403</f>
        <v>11663.531505080724</v>
      </c>
      <c r="P403" s="271">
        <f>'DGSP_chitiet (truKH)'!L403</f>
        <v>1749.5297257621085</v>
      </c>
      <c r="Q403" s="306">
        <f>'DGSP_chitiet (truKH)'!M403</f>
        <v>13413.061230842832</v>
      </c>
      <c r="R403" s="271">
        <f>'DGSP_chitiet (truKH)'!N403</f>
        <v>0</v>
      </c>
      <c r="S403" s="905">
        <f>NhanCong!Z$115</f>
        <v>275.48888888888888</v>
      </c>
    </row>
    <row r="404" spans="1:19">
      <c r="A404" s="969">
        <v>2.4</v>
      </c>
      <c r="B404" s="970" t="str">
        <f>NhanCong!B$116</f>
        <v>Lập sổ mục kê đất đai phạm vi khu đo</v>
      </c>
      <c r="C404" s="274" t="s">
        <v>317</v>
      </c>
      <c r="D404" s="274" t="s">
        <v>15</v>
      </c>
      <c r="E404" s="271">
        <f>NhanCong!Y$116</f>
        <v>763.77888888888901</v>
      </c>
      <c r="F404" s="271"/>
      <c r="G404" s="905">
        <f>Dcu!Q$140</f>
        <v>50.232153133903132</v>
      </c>
      <c r="H404" s="905">
        <f>VLieu!O$94</f>
        <v>1451.4666666666667</v>
      </c>
      <c r="I404" s="905"/>
      <c r="J404" s="905"/>
      <c r="K404" s="905">
        <f t="shared" si="136"/>
        <v>2265.4777086894587</v>
      </c>
      <c r="L404" s="905">
        <f t="shared" si="137"/>
        <v>339.82165630341882</v>
      </c>
      <c r="M404" s="906">
        <f t="shared" si="138"/>
        <v>2605.2993649928776</v>
      </c>
      <c r="N404" s="905"/>
      <c r="O404" s="271">
        <f>'DGSP_chitiet (truKH)'!K404</f>
        <v>2265.4777086894587</v>
      </c>
      <c r="P404" s="271">
        <f>'DGSP_chitiet (truKH)'!L404</f>
        <v>339.82165630341882</v>
      </c>
      <c r="Q404" s="306">
        <f>'DGSP_chitiet (truKH)'!M404</f>
        <v>2605.2993649928776</v>
      </c>
      <c r="R404" s="271">
        <f>'DGSP_chitiet (truKH)'!N404</f>
        <v>0</v>
      </c>
      <c r="S404" s="905">
        <f>NhanCong!Z$116</f>
        <v>21.623931623931622</v>
      </c>
    </row>
    <row r="405" spans="1:19" ht="39">
      <c r="A405" s="969">
        <v>2.5</v>
      </c>
      <c r="B405" s="970" t="str">
        <f>NhanCong!B$117</f>
        <v>In sản phẩm đo đạc lập bản đồ địa chính gồm sản phẩm chính và sản phẩm trung gian</v>
      </c>
      <c r="C405" s="274" t="s">
        <v>317</v>
      </c>
      <c r="D405" s="274" t="s">
        <v>15</v>
      </c>
      <c r="E405" s="271">
        <f>NhanCong!Y$117</f>
        <v>324.60602777777785</v>
      </c>
      <c r="F405" s="271"/>
      <c r="G405" s="905">
        <f>Dcu!Q$152</f>
        <v>85.276413105413098</v>
      </c>
      <c r="H405" s="905">
        <f>VLieu!O$102</f>
        <v>75.555555555555557</v>
      </c>
      <c r="I405" s="905">
        <f>TBi!N$202</f>
        <v>11.301326984126984</v>
      </c>
      <c r="J405" s="905">
        <f>TBi!N$206</f>
        <v>12.218266666666667</v>
      </c>
      <c r="K405" s="905">
        <f t="shared" si="136"/>
        <v>508.95759008954019</v>
      </c>
      <c r="L405" s="905">
        <f t="shared" si="137"/>
        <v>76.343638513431031</v>
      </c>
      <c r="M405" s="906">
        <f t="shared" si="138"/>
        <v>585.30122860297126</v>
      </c>
      <c r="N405" s="905"/>
      <c r="O405" s="271">
        <f>'DGSP_chitiet (truKH)'!K405</f>
        <v>497.65626310541319</v>
      </c>
      <c r="P405" s="271">
        <f>'DGSP_chitiet (truKH)'!L405</f>
        <v>74.648439465811975</v>
      </c>
      <c r="Q405" s="306">
        <f>'DGSP_chitiet (truKH)'!M405</f>
        <v>572.30470257122511</v>
      </c>
      <c r="R405" s="271">
        <f>'DGSP_chitiet (truKH)'!N405</f>
        <v>0</v>
      </c>
      <c r="S405" s="905">
        <f>NhanCong!Z$117</f>
        <v>9.1901709401709404</v>
      </c>
    </row>
    <row r="406" spans="1:19">
      <c r="A406" s="243">
        <v>2.6</v>
      </c>
      <c r="B406" s="970" t="str">
        <f>NhanCong!B$118</f>
        <v>Trình ký xác nhận hồ sơ</v>
      </c>
      <c r="C406" s="274" t="s">
        <v>317</v>
      </c>
      <c r="D406" s="274" t="s">
        <v>15</v>
      </c>
      <c r="E406" s="271">
        <f>NhanCong!Y$118</f>
        <v>649.21205555555571</v>
      </c>
      <c r="F406" s="271"/>
      <c r="G406" s="905">
        <f>Dcu!Q$140</f>
        <v>50.232153133903132</v>
      </c>
      <c r="H406" s="905">
        <f>VLieu!O$94</f>
        <v>1451.4666666666667</v>
      </c>
      <c r="I406" s="905"/>
      <c r="J406" s="905"/>
      <c r="K406" s="905">
        <f t="shared" si="136"/>
        <v>2150.9108753561254</v>
      </c>
      <c r="L406" s="905">
        <f t="shared" si="137"/>
        <v>322.63663130341882</v>
      </c>
      <c r="M406" s="906">
        <f t="shared" si="138"/>
        <v>2473.5475066595441</v>
      </c>
      <c r="N406" s="905"/>
      <c r="O406" s="271">
        <f>'DGSP_chitiet (truKH)'!K406</f>
        <v>2150.9108753561254</v>
      </c>
      <c r="P406" s="271">
        <f>'DGSP_chitiet (truKH)'!L406</f>
        <v>322.63663130341882</v>
      </c>
      <c r="Q406" s="306">
        <f>'DGSP_chitiet (truKH)'!M406</f>
        <v>2473.5475066595441</v>
      </c>
      <c r="R406" s="271">
        <f>'DGSP_chitiet (truKH)'!N406</f>
        <v>0</v>
      </c>
      <c r="S406" s="905">
        <f>NhanCong!Z$118</f>
        <v>18.380341880341881</v>
      </c>
    </row>
    <row r="407" spans="1:19" ht="26">
      <c r="A407" s="243">
        <v>2.7</v>
      </c>
      <c r="B407" s="970" t="str">
        <f>NhanCong!B$119</f>
        <v>Giao nộp sản phẩm đo đạc lập bản đồ địa chính</v>
      </c>
      <c r="C407" s="274" t="s">
        <v>317</v>
      </c>
      <c r="D407" s="274" t="s">
        <v>15</v>
      </c>
      <c r="E407" s="271">
        <f>NhanCong!Y$119</f>
        <v>1298.4241111111114</v>
      </c>
      <c r="F407" s="271"/>
      <c r="G407" s="905">
        <f>Dcu!Q$154</f>
        <v>4.2638206552706555</v>
      </c>
      <c r="H407" s="905">
        <f>VLieu!O$94</f>
        <v>1451.4666666666667</v>
      </c>
      <c r="I407" s="905"/>
      <c r="J407" s="905"/>
      <c r="K407" s="905">
        <f t="shared" si="136"/>
        <v>2754.1545984330487</v>
      </c>
      <c r="L407" s="905">
        <f t="shared" si="137"/>
        <v>413.12318976495732</v>
      </c>
      <c r="M407" s="906">
        <f t="shared" si="138"/>
        <v>3167.277788198006</v>
      </c>
      <c r="N407" s="905"/>
      <c r="O407" s="271">
        <f>'DGSP_chitiet (truKH)'!K407</f>
        <v>2754.1545984330487</v>
      </c>
      <c r="P407" s="271">
        <f>'DGSP_chitiet (truKH)'!L407</f>
        <v>413.12318976495732</v>
      </c>
      <c r="Q407" s="306">
        <f>'DGSP_chitiet (truKH)'!M407</f>
        <v>3167.277788198006</v>
      </c>
      <c r="R407" s="271">
        <f>'DGSP_chitiet (truKH)'!N407</f>
        <v>0</v>
      </c>
      <c r="S407" s="905">
        <f>NhanCong!Z$119</f>
        <v>36.760683760683762</v>
      </c>
    </row>
    <row r="408" spans="1:19">
      <c r="A408" s="242" t="s">
        <v>37</v>
      </c>
      <c r="B408" s="276" t="s">
        <v>422</v>
      </c>
      <c r="C408" s="243"/>
      <c r="D408" s="243"/>
      <c r="E408" s="271"/>
      <c r="F408" s="271"/>
      <c r="G408" s="271"/>
      <c r="H408" s="271"/>
      <c r="I408" s="271"/>
      <c r="J408" s="271"/>
      <c r="K408" s="271"/>
      <c r="L408" s="271"/>
      <c r="M408" s="272">
        <v>3600</v>
      </c>
      <c r="N408" s="271" t="s">
        <v>21</v>
      </c>
      <c r="O408" s="271">
        <f>'DGSP_chitiet (truKH)'!K408</f>
        <v>0</v>
      </c>
      <c r="P408" s="271">
        <f>'DGSP_chitiet (truKH)'!L408</f>
        <v>0</v>
      </c>
      <c r="Q408" s="306">
        <f>'DGSP_chitiet (truKH)'!M408</f>
        <v>3600</v>
      </c>
      <c r="R408" s="271" t="str">
        <f>'DGSP_chitiet (truKH)'!N408</f>
        <v>ha</v>
      </c>
      <c r="S408" s="271"/>
    </row>
    <row r="409" spans="1:19" s="232" customFormat="1" ht="13.5" customHeight="1">
      <c r="A409" s="1005"/>
      <c r="B409" s="1014" t="s">
        <v>190</v>
      </c>
      <c r="C409" s="1005" t="s">
        <v>21</v>
      </c>
      <c r="D409" s="242">
        <v>1</v>
      </c>
      <c r="E409" s="271">
        <f t="shared" ref="E409:J409" si="139">SUM(E$437,E438,E442,E446,E450,E454)</f>
        <v>178760.5795555556</v>
      </c>
      <c r="F409" s="271">
        <f t="shared" si="139"/>
        <v>18991.253205128207</v>
      </c>
      <c r="G409" s="271">
        <f t="shared" si="139"/>
        <v>1543.4713166547956</v>
      </c>
      <c r="H409" s="271">
        <f t="shared" si="139"/>
        <v>1353.2316666666666</v>
      </c>
      <c r="I409" s="271">
        <f t="shared" si="139"/>
        <v>1882.7924603174604</v>
      </c>
      <c r="J409" s="271">
        <f t="shared" si="139"/>
        <v>2.3372999999999995</v>
      </c>
      <c r="K409" s="271">
        <f t="shared" ref="K409:K416" si="140">SUM(E409:J409)</f>
        <v>202533.66550432274</v>
      </c>
      <c r="L409" s="271">
        <f t="shared" ref="L409:L412" si="141">K409*0.25</f>
        <v>50633.416376080684</v>
      </c>
      <c r="M409" s="272">
        <f t="shared" ref="M409:M416" si="142">K409+L409</f>
        <v>253167.08188040342</v>
      </c>
      <c r="N409" s="271">
        <f>M409+M413</f>
        <v>271770.52094945649</v>
      </c>
      <c r="O409" s="271">
        <f>'DGSP_chitiet (truKH)'!K409</f>
        <v>200650.87304400528</v>
      </c>
      <c r="P409" s="271">
        <f>'DGSP_chitiet (truKH)'!L409</f>
        <v>50162.718261001319</v>
      </c>
      <c r="Q409" s="306">
        <f>'DGSP_chitiet (truKH)'!M409</f>
        <v>250813.59130500659</v>
      </c>
      <c r="R409" s="271">
        <f>'DGSP_chitiet (truKH)'!N409</f>
        <v>268475.9088585815</v>
      </c>
      <c r="S409" s="271">
        <f>SUM(S$437,S438,S442,S446,S450,S454)</f>
        <v>5041.889957264958</v>
      </c>
    </row>
    <row r="410" spans="1:19" s="232" customFormat="1" ht="15" customHeight="1">
      <c r="A410" s="1005"/>
      <c r="B410" s="1014"/>
      <c r="C410" s="1005"/>
      <c r="D410" s="242">
        <v>2</v>
      </c>
      <c r="E410" s="271">
        <f t="shared" ref="E410:J412" si="143">SUM(E$437,E439,E443,E447,E451,E455)</f>
        <v>210508.71983854173</v>
      </c>
      <c r="F410" s="271">
        <f t="shared" si="143"/>
        <v>22539.258547008551</v>
      </c>
      <c r="G410" s="271">
        <f t="shared" si="143"/>
        <v>1790.5088186728394</v>
      </c>
      <c r="H410" s="271">
        <f t="shared" si="143"/>
        <v>1353.2316666666666</v>
      </c>
      <c r="I410" s="271">
        <f t="shared" si="143"/>
        <v>2258.751349206349</v>
      </c>
      <c r="J410" s="271">
        <f t="shared" si="143"/>
        <v>2.3372999999999995</v>
      </c>
      <c r="K410" s="271">
        <f t="shared" si="140"/>
        <v>238452.80752009616</v>
      </c>
      <c r="L410" s="271">
        <f t="shared" si="141"/>
        <v>59613.20188002404</v>
      </c>
      <c r="M410" s="272">
        <f t="shared" si="142"/>
        <v>298066.00940012018</v>
      </c>
      <c r="N410" s="271">
        <f>M410+M414</f>
        <v>319167.88338177127</v>
      </c>
      <c r="O410" s="271">
        <f>'DGSP_chitiet (truKH)'!K410</f>
        <v>236194.05617088982</v>
      </c>
      <c r="P410" s="271">
        <f>'DGSP_chitiet (truKH)'!L410</f>
        <v>59048.514042722454</v>
      </c>
      <c r="Q410" s="306">
        <f>'DGSP_chitiet (truKH)'!M410</f>
        <v>295242.57021361229</v>
      </c>
      <c r="R410" s="271">
        <f>'DGSP_chitiet (truKH)'!N410</f>
        <v>315219.80529517413</v>
      </c>
      <c r="S410" s="271">
        <f t="shared" ref="S410:S412" si="144">SUM(S$437,S439,S443,S447,S451,S455)</f>
        <v>5940.7359775641016</v>
      </c>
    </row>
    <row r="411" spans="1:19" s="232" customFormat="1" ht="15" customHeight="1">
      <c r="A411" s="1005"/>
      <c r="B411" s="1014"/>
      <c r="C411" s="1005"/>
      <c r="D411" s="242">
        <v>3</v>
      </c>
      <c r="E411" s="271">
        <f t="shared" si="143"/>
        <v>248610.54575347225</v>
      </c>
      <c r="F411" s="271">
        <f t="shared" si="143"/>
        <v>26797.269230769234</v>
      </c>
      <c r="G411" s="271">
        <f t="shared" si="143"/>
        <v>1934.4422691120606</v>
      </c>
      <c r="H411" s="271">
        <f t="shared" si="143"/>
        <v>1353.2316666666666</v>
      </c>
      <c r="I411" s="271">
        <f t="shared" si="143"/>
        <v>2447.0435714285718</v>
      </c>
      <c r="J411" s="271">
        <f t="shared" si="143"/>
        <v>2.3372999999999995</v>
      </c>
      <c r="K411" s="271">
        <f t="shared" si="140"/>
        <v>281144.86979144881</v>
      </c>
      <c r="L411" s="271">
        <f t="shared" si="141"/>
        <v>70286.217447862204</v>
      </c>
      <c r="M411" s="272">
        <f t="shared" si="142"/>
        <v>351431.08723931102</v>
      </c>
      <c r="N411" s="271">
        <f>M411+M415</f>
        <v>376207.32993902866</v>
      </c>
      <c r="O411" s="271">
        <f>'DGSP_chitiet (truKH)'!K411</f>
        <v>278697.82622002024</v>
      </c>
      <c r="P411" s="271">
        <f>'DGSP_chitiet (truKH)'!L411</f>
        <v>69674.456555005061</v>
      </c>
      <c r="Q411" s="306">
        <f>'DGSP_chitiet (truKH)'!M411</f>
        <v>348372.28277502529</v>
      </c>
      <c r="R411" s="271">
        <f>'DGSP_chitiet (truKH)'!N411</f>
        <v>371776.27690006042</v>
      </c>
      <c r="S411" s="271">
        <f t="shared" si="144"/>
        <v>7019.4660790598291</v>
      </c>
    </row>
    <row r="412" spans="1:19" s="232" customFormat="1" ht="15" customHeight="1">
      <c r="A412" s="1005"/>
      <c r="B412" s="1014"/>
      <c r="C412" s="1005"/>
      <c r="D412" s="242">
        <v>4</v>
      </c>
      <c r="E412" s="271">
        <f t="shared" si="143"/>
        <v>294328.67927604174</v>
      </c>
      <c r="F412" s="271">
        <f t="shared" si="143"/>
        <v>31906.275641025641</v>
      </c>
      <c r="G412" s="271">
        <f t="shared" si="143"/>
        <v>2111.4682318376067</v>
      </c>
      <c r="H412" s="271">
        <f t="shared" si="143"/>
        <v>1353.2316666666666</v>
      </c>
      <c r="I412" s="271">
        <f t="shared" si="143"/>
        <v>2635.023015873016</v>
      </c>
      <c r="J412" s="271">
        <f t="shared" si="143"/>
        <v>2.3372999999999995</v>
      </c>
      <c r="K412" s="271">
        <f t="shared" si="140"/>
        <v>332337.01513144473</v>
      </c>
      <c r="L412" s="271">
        <f t="shared" si="141"/>
        <v>83084.253782861182</v>
      </c>
      <c r="M412" s="272">
        <f t="shared" si="142"/>
        <v>415421.2689143059</v>
      </c>
      <c r="N412" s="271">
        <f>M412+M416</f>
        <v>445164.34218465071</v>
      </c>
      <c r="O412" s="271">
        <f>'DGSP_chitiet (truKH)'!K412</f>
        <v>329701.99211557169</v>
      </c>
      <c r="P412" s="271">
        <f>'DGSP_chitiet (truKH)'!L412</f>
        <v>82425.498028892922</v>
      </c>
      <c r="Q412" s="306">
        <f>'DGSP_chitiet (truKH)'!M412</f>
        <v>412127.49014446459</v>
      </c>
      <c r="R412" s="271">
        <f>'DGSP_chitiet (truKH)'!N412</f>
        <v>440163.82066033519</v>
      </c>
      <c r="S412" s="271">
        <f t="shared" si="144"/>
        <v>8313.8273237179492</v>
      </c>
    </row>
    <row r="413" spans="1:19" s="232" customFormat="1" ht="13.5" customHeight="1">
      <c r="A413" s="1005"/>
      <c r="B413" s="1014" t="s">
        <v>192</v>
      </c>
      <c r="C413" s="1005" t="s">
        <v>21</v>
      </c>
      <c r="D413" s="242">
        <v>1</v>
      </c>
      <c r="E413" s="271">
        <f t="shared" ref="E413:J416" si="145">(E459+SUM(E$463:E$468))</f>
        <v>11256.191375000002</v>
      </c>
      <c r="F413" s="271">
        <f t="shared" si="145"/>
        <v>0</v>
      </c>
      <c r="G413" s="271">
        <f t="shared" si="145"/>
        <v>162.42553366417377</v>
      </c>
      <c r="H413" s="271">
        <f t="shared" si="145"/>
        <v>3270.8277777777785</v>
      </c>
      <c r="I413" s="271">
        <f t="shared" si="145"/>
        <v>818.36653519841275</v>
      </c>
      <c r="J413" s="271">
        <f t="shared" si="145"/>
        <v>669.09231666666665</v>
      </c>
      <c r="K413" s="271">
        <f t="shared" si="140"/>
        <v>16176.903538307035</v>
      </c>
      <c r="L413" s="271">
        <f>K413*0.15</f>
        <v>2426.535530746055</v>
      </c>
      <c r="M413" s="272">
        <f t="shared" si="142"/>
        <v>18603.439069053089</v>
      </c>
      <c r="N413" s="271"/>
      <c r="O413" s="271">
        <f>'DGSP_chitiet (truKH)'!K413</f>
        <v>15358.537003108622</v>
      </c>
      <c r="P413" s="271">
        <f>'DGSP_chitiet (truKH)'!L413</f>
        <v>2303.7805504662933</v>
      </c>
      <c r="Q413" s="306">
        <f>'DGSP_chitiet (truKH)'!M413</f>
        <v>17662.317553574914</v>
      </c>
      <c r="R413" s="271">
        <f>'DGSP_chitiet (truKH)'!N413</f>
        <v>0</v>
      </c>
      <c r="S413" s="271">
        <f>(S459+SUM(S$463:S$468))</f>
        <v>318.68269230769232</v>
      </c>
    </row>
    <row r="414" spans="1:19" s="232" customFormat="1" ht="15" customHeight="1">
      <c r="A414" s="1005"/>
      <c r="B414" s="1014"/>
      <c r="C414" s="1005"/>
      <c r="D414" s="242">
        <v>2</v>
      </c>
      <c r="E414" s="271">
        <f t="shared" si="145"/>
        <v>13190.461411111111</v>
      </c>
      <c r="F414" s="271">
        <f t="shared" si="145"/>
        <v>0</v>
      </c>
      <c r="G414" s="271">
        <f t="shared" si="145"/>
        <v>171.84301101994299</v>
      </c>
      <c r="H414" s="271">
        <f t="shared" si="145"/>
        <v>3270.8277777777785</v>
      </c>
      <c r="I414" s="271">
        <f t="shared" si="145"/>
        <v>977.94686964285711</v>
      </c>
      <c r="J414" s="271">
        <f t="shared" si="145"/>
        <v>738.37656666666658</v>
      </c>
      <c r="K414" s="271">
        <f t="shared" si="140"/>
        <v>18349.455636218354</v>
      </c>
      <c r="L414" s="271">
        <f>K414*0.15</f>
        <v>2752.4183454327531</v>
      </c>
      <c r="M414" s="272">
        <f t="shared" si="142"/>
        <v>21101.873981651108</v>
      </c>
      <c r="N414" s="271"/>
      <c r="O414" s="271">
        <f>'DGSP_chitiet (truKH)'!K414</f>
        <v>17371.508766575498</v>
      </c>
      <c r="P414" s="271">
        <f>'DGSP_chitiet (truKH)'!L414</f>
        <v>2605.7263149863247</v>
      </c>
      <c r="Q414" s="306">
        <f>'DGSP_chitiet (truKH)'!M414</f>
        <v>19977.235081561823</v>
      </c>
      <c r="R414" s="271">
        <f>'DGSP_chitiet (truKH)'!N414</f>
        <v>0</v>
      </c>
      <c r="S414" s="271">
        <f>(S460+SUM(S$463:S$468))</f>
        <v>373.44529914529915</v>
      </c>
    </row>
    <row r="415" spans="1:19" s="232" customFormat="1" ht="15" customHeight="1">
      <c r="A415" s="1005"/>
      <c r="B415" s="1014"/>
      <c r="C415" s="1005"/>
      <c r="D415" s="242">
        <v>3</v>
      </c>
      <c r="E415" s="271">
        <f t="shared" si="145"/>
        <v>15800.675763888892</v>
      </c>
      <c r="F415" s="271">
        <f t="shared" si="145"/>
        <v>0</v>
      </c>
      <c r="G415" s="271">
        <f t="shared" si="145"/>
        <v>184.39964749430195</v>
      </c>
      <c r="H415" s="271">
        <f t="shared" si="145"/>
        <v>3270.8277777777785</v>
      </c>
      <c r="I415" s="271">
        <f t="shared" si="145"/>
        <v>1193.2596301587303</v>
      </c>
      <c r="J415" s="271">
        <f t="shared" si="145"/>
        <v>1095.3960500000001</v>
      </c>
      <c r="K415" s="271">
        <f t="shared" si="140"/>
        <v>21544.558869319699</v>
      </c>
      <c r="L415" s="271">
        <f>K415*0.15</f>
        <v>3231.6838303979548</v>
      </c>
      <c r="M415" s="272">
        <f t="shared" si="142"/>
        <v>24776.242699717652</v>
      </c>
      <c r="N415" s="271"/>
      <c r="O415" s="271">
        <f>'DGSP_chitiet (truKH)'!K415</f>
        <v>20351.29923916097</v>
      </c>
      <c r="P415" s="271">
        <f>'DGSP_chitiet (truKH)'!L415</f>
        <v>3052.6948858741453</v>
      </c>
      <c r="Q415" s="306">
        <f>'DGSP_chitiet (truKH)'!M415</f>
        <v>23403.994125035115</v>
      </c>
      <c r="R415" s="271">
        <f>'DGSP_chitiet (truKH)'!N415</f>
        <v>0</v>
      </c>
      <c r="S415" s="271">
        <f>(S461+SUM(S$463:S$468))</f>
        <v>447.34508547008545</v>
      </c>
    </row>
    <row r="416" spans="1:19" s="232" customFormat="1" ht="15" customHeight="1">
      <c r="A416" s="1005"/>
      <c r="B416" s="1014"/>
      <c r="C416" s="1005"/>
      <c r="D416" s="242">
        <v>4</v>
      </c>
      <c r="E416" s="271">
        <f t="shared" si="145"/>
        <v>19321.696441666667</v>
      </c>
      <c r="F416" s="271">
        <f t="shared" si="145"/>
        <v>0</v>
      </c>
      <c r="G416" s="271">
        <f t="shared" si="145"/>
        <v>209.51292044301988</v>
      </c>
      <c r="H416" s="271">
        <f t="shared" si="145"/>
        <v>3270.8277777777785</v>
      </c>
      <c r="I416" s="271">
        <f t="shared" si="145"/>
        <v>1484.1241343253971</v>
      </c>
      <c r="J416" s="271">
        <f t="shared" si="145"/>
        <v>1577.3807000000002</v>
      </c>
      <c r="K416" s="271">
        <f t="shared" si="140"/>
        <v>25863.541974212862</v>
      </c>
      <c r="L416" s="271">
        <f>K416*0.15</f>
        <v>3879.5312961319291</v>
      </c>
      <c r="M416" s="272">
        <f t="shared" si="142"/>
        <v>29743.07327034479</v>
      </c>
      <c r="N416" s="271"/>
      <c r="O416" s="271">
        <f>'DGSP_chitiet (truKH)'!K416</f>
        <v>24379.417839887465</v>
      </c>
      <c r="P416" s="271">
        <f>'DGSP_chitiet (truKH)'!L416</f>
        <v>3656.9126759831197</v>
      </c>
      <c r="Q416" s="306">
        <f>'DGSP_chitiet (truKH)'!M416</f>
        <v>28036.330515870584</v>
      </c>
      <c r="R416" s="271">
        <f>'DGSP_chitiet (truKH)'!N416</f>
        <v>0</v>
      </c>
      <c r="S416" s="271">
        <f>(S462+SUM(S$463:S$468))</f>
        <v>547.03141025641025</v>
      </c>
    </row>
    <row r="417" spans="1:19">
      <c r="A417" s="242"/>
      <c r="B417" s="965" t="s">
        <v>322</v>
      </c>
      <c r="C417" s="243"/>
      <c r="D417" s="243"/>
      <c r="E417" s="271"/>
      <c r="F417" s="271"/>
      <c r="G417" s="271"/>
      <c r="H417" s="271"/>
      <c r="I417" s="271"/>
      <c r="J417" s="271"/>
      <c r="K417" s="271"/>
      <c r="L417" s="271"/>
      <c r="M417" s="272"/>
      <c r="N417" s="271"/>
      <c r="O417" s="271">
        <f>'DGSP_chitiet (truKH)'!K417</f>
        <v>0</v>
      </c>
      <c r="P417" s="271">
        <f>'DGSP_chitiet (truKH)'!L417</f>
        <v>0</v>
      </c>
      <c r="Q417" s="306">
        <f>'DGSP_chitiet (truKH)'!M417</f>
        <v>0</v>
      </c>
      <c r="R417" s="271">
        <f>'DGSP_chitiet (truKH)'!N417</f>
        <v>0</v>
      </c>
      <c r="S417" s="271"/>
    </row>
    <row r="418" spans="1:19">
      <c r="A418" s="242" t="s">
        <v>323</v>
      </c>
      <c r="B418" s="965" t="s">
        <v>324</v>
      </c>
      <c r="C418" s="243"/>
      <c r="D418" s="243"/>
      <c r="E418" s="271"/>
      <c r="F418" s="271"/>
      <c r="G418" s="271"/>
      <c r="H418" s="271"/>
      <c r="I418" s="271"/>
      <c r="J418" s="271"/>
      <c r="K418" s="271"/>
      <c r="L418" s="271"/>
      <c r="M418" s="272"/>
      <c r="N418" s="271"/>
      <c r="O418" s="271">
        <f>'DGSP_chitiet (truKH)'!K418</f>
        <v>0</v>
      </c>
      <c r="P418" s="271">
        <f>'DGSP_chitiet (truKH)'!L418</f>
        <v>0</v>
      </c>
      <c r="Q418" s="306">
        <f>'DGSP_chitiet (truKH)'!M418</f>
        <v>0</v>
      </c>
      <c r="R418" s="271">
        <f>'DGSP_chitiet (truKH)'!N418</f>
        <v>0</v>
      </c>
      <c r="S418" s="271"/>
    </row>
    <row r="419" spans="1:19" s="232" customFormat="1" ht="13.5" customHeight="1">
      <c r="A419" s="1005"/>
      <c r="B419" s="1014" t="s">
        <v>190</v>
      </c>
      <c r="C419" s="1005" t="s">
        <v>21</v>
      </c>
      <c r="D419" s="242">
        <v>1</v>
      </c>
      <c r="E419" s="271">
        <f t="shared" ref="E419:F426" si="146">E409*0.1</f>
        <v>17876.05795555556</v>
      </c>
      <c r="F419" s="271">
        <f t="shared" si="146"/>
        <v>1899.1253205128207</v>
      </c>
      <c r="G419" s="977">
        <f>G446*0.1/$M$347</f>
        <v>5.9849673386884031E-2</v>
      </c>
      <c r="H419" s="977">
        <f t="shared" ref="H419:I422" si="147">H409*0.1</f>
        <v>135.32316666666665</v>
      </c>
      <c r="I419" s="271">
        <f t="shared" si="147"/>
        <v>188.27924603174606</v>
      </c>
      <c r="J419" s="271">
        <f>J446*0.1/$M$347</f>
        <v>0</v>
      </c>
      <c r="K419" s="271">
        <f t="shared" ref="K419:K426" si="148">SUM(E419:J419)</f>
        <v>20098.845538440179</v>
      </c>
      <c r="L419" s="271">
        <f>K419*0.25</f>
        <v>5024.7113846100447</v>
      </c>
      <c r="M419" s="272">
        <f t="shared" ref="M419:M426" si="149">K419+L419</f>
        <v>25123.556923050222</v>
      </c>
      <c r="N419" s="271">
        <f>M419+M423</f>
        <v>26418.15110637719</v>
      </c>
      <c r="O419" s="271">
        <f>'DGSP_chitiet (truKH)'!K419</f>
        <v>19910.566292408432</v>
      </c>
      <c r="P419" s="271">
        <f>'DGSP_chitiet (truKH)'!L419</f>
        <v>4977.6415731021079</v>
      </c>
      <c r="Q419" s="306">
        <f>'DGSP_chitiet (truKH)'!M419</f>
        <v>24888.20786551054</v>
      </c>
      <c r="R419" s="271">
        <f>'DGSP_chitiet (truKH)'!N419</f>
        <v>26182.802048837508</v>
      </c>
      <c r="S419" s="271">
        <f t="shared" ref="S419:S426" si="150">S409*0.1</f>
        <v>504.18899572649582</v>
      </c>
    </row>
    <row r="420" spans="1:19" s="232" customFormat="1" ht="15" customHeight="1">
      <c r="A420" s="1005"/>
      <c r="B420" s="1014"/>
      <c r="C420" s="1005"/>
      <c r="D420" s="242">
        <v>2</v>
      </c>
      <c r="E420" s="271">
        <f t="shared" si="146"/>
        <v>21050.871983854173</v>
      </c>
      <c r="F420" s="271">
        <f t="shared" si="146"/>
        <v>2253.9258547008553</v>
      </c>
      <c r="G420" s="977">
        <f>G447*0.1/$M$347</f>
        <v>7.1508700670043265E-2</v>
      </c>
      <c r="H420" s="977">
        <f t="shared" si="147"/>
        <v>135.32316666666665</v>
      </c>
      <c r="I420" s="271">
        <f t="shared" si="147"/>
        <v>225.87513492063491</v>
      </c>
      <c r="J420" s="271">
        <f>J447*0.1/$M$347</f>
        <v>0</v>
      </c>
      <c r="K420" s="271">
        <f t="shared" si="148"/>
        <v>23666.067648842996</v>
      </c>
      <c r="L420" s="271">
        <f>K420*0.25</f>
        <v>5916.5169122107491</v>
      </c>
      <c r="M420" s="272">
        <f t="shared" si="149"/>
        <v>29582.584561053744</v>
      </c>
      <c r="N420" s="271">
        <f>M420+M424</f>
        <v>31099.621001877818</v>
      </c>
      <c r="O420" s="271">
        <f>'DGSP_chitiet (truKH)'!K420</f>
        <v>23440.19251392236</v>
      </c>
      <c r="P420" s="271">
        <f>'DGSP_chitiet (truKH)'!L420</f>
        <v>5860.0481284805901</v>
      </c>
      <c r="Q420" s="306">
        <f>'DGSP_chitiet (truKH)'!M420</f>
        <v>29300.24064240295</v>
      </c>
      <c r="R420" s="271">
        <f>'DGSP_chitiet (truKH)'!N420</f>
        <v>30817.277083227025</v>
      </c>
      <c r="S420" s="271">
        <f t="shared" si="150"/>
        <v>594.07359775641021</v>
      </c>
    </row>
    <row r="421" spans="1:19" s="232" customFormat="1" ht="15" customHeight="1">
      <c r="A421" s="1005"/>
      <c r="B421" s="1014"/>
      <c r="C421" s="1005"/>
      <c r="D421" s="242">
        <v>3</v>
      </c>
      <c r="E421" s="271">
        <f t="shared" si="146"/>
        <v>24861.054575347225</v>
      </c>
      <c r="F421" s="271">
        <f t="shared" si="146"/>
        <v>2679.7269230769234</v>
      </c>
      <c r="G421" s="977">
        <f>G448*0.1/$M$347</f>
        <v>7.7726848554394837E-2</v>
      </c>
      <c r="H421" s="977">
        <f t="shared" si="147"/>
        <v>135.32316666666665</v>
      </c>
      <c r="I421" s="271">
        <f t="shared" si="147"/>
        <v>244.70435714285719</v>
      </c>
      <c r="J421" s="271">
        <f>J448*0.1/$M$347</f>
        <v>0</v>
      </c>
      <c r="K421" s="271">
        <f t="shared" si="148"/>
        <v>27920.886749082227</v>
      </c>
      <c r="L421" s="271">
        <f>K421*0.25</f>
        <v>6980.2216872705567</v>
      </c>
      <c r="M421" s="272">
        <f t="shared" si="149"/>
        <v>34901.108436352784</v>
      </c>
      <c r="N421" s="271">
        <f>M421+M425</f>
        <v>36718.321132205412</v>
      </c>
      <c r="O421" s="271">
        <f>'DGSP_chitiet (truKH)'!K421</f>
        <v>27676.182391939368</v>
      </c>
      <c r="P421" s="271">
        <f>'DGSP_chitiet (truKH)'!L421</f>
        <v>6919.0455979848421</v>
      </c>
      <c r="Q421" s="306">
        <f>'DGSP_chitiet (truKH)'!M421</f>
        <v>34595.227989924213</v>
      </c>
      <c r="R421" s="271">
        <f>'DGSP_chitiet (truKH)'!N421</f>
        <v>36412.440685776841</v>
      </c>
      <c r="S421" s="271">
        <f t="shared" si="150"/>
        <v>701.946607905983</v>
      </c>
    </row>
    <row r="422" spans="1:19" s="232" customFormat="1" ht="15" customHeight="1">
      <c r="A422" s="1005"/>
      <c r="B422" s="1014"/>
      <c r="C422" s="1005"/>
      <c r="D422" s="242">
        <v>4</v>
      </c>
      <c r="E422" s="271">
        <f t="shared" si="146"/>
        <v>29432.867927604177</v>
      </c>
      <c r="F422" s="271">
        <f t="shared" si="146"/>
        <v>3190.6275641025641</v>
      </c>
      <c r="G422" s="977">
        <f>G449*0.1/$M$347</f>
        <v>8.5499533409834336E-2</v>
      </c>
      <c r="H422" s="977">
        <f t="shared" si="147"/>
        <v>135.32316666666665</v>
      </c>
      <c r="I422" s="271">
        <f t="shared" si="147"/>
        <v>263.50230158730159</v>
      </c>
      <c r="J422" s="271">
        <f>J449*0.1/$M$347</f>
        <v>0</v>
      </c>
      <c r="K422" s="271">
        <f t="shared" si="148"/>
        <v>33022.406459494116</v>
      </c>
      <c r="L422" s="271">
        <f>K422*0.25</f>
        <v>8255.6016148735289</v>
      </c>
      <c r="M422" s="272">
        <f t="shared" si="149"/>
        <v>41278.008074367644</v>
      </c>
      <c r="N422" s="271">
        <f>M422+M426</f>
        <v>43500.141357082925</v>
      </c>
      <c r="O422" s="271">
        <f>'DGSP_chitiet (truKH)'!K422</f>
        <v>32758.904157906814</v>
      </c>
      <c r="P422" s="271">
        <f>'DGSP_chitiet (truKH)'!L422</f>
        <v>8189.7260394767036</v>
      </c>
      <c r="Q422" s="306">
        <f>'DGSP_chitiet (truKH)'!M422</f>
        <v>40948.630197383522</v>
      </c>
      <c r="R422" s="271">
        <f>'DGSP_chitiet (truKH)'!N422</f>
        <v>43170.763480098802</v>
      </c>
      <c r="S422" s="271">
        <f t="shared" si="150"/>
        <v>831.38273237179499</v>
      </c>
    </row>
    <row r="423" spans="1:19" s="232" customFormat="1" ht="13.5" customHeight="1">
      <c r="A423" s="1005"/>
      <c r="B423" s="1014" t="s">
        <v>192</v>
      </c>
      <c r="C423" s="1005" t="s">
        <v>21</v>
      </c>
      <c r="D423" s="242">
        <v>1</v>
      </c>
      <c r="E423" s="271">
        <f t="shared" si="146"/>
        <v>1125.6191375000003</v>
      </c>
      <c r="F423" s="271">
        <f t="shared" si="146"/>
        <v>0</v>
      </c>
      <c r="G423" s="977">
        <f t="shared" ref="G423:H426" si="151">G459*0.1/$M$347</f>
        <v>4.5343409490740732E-3</v>
      </c>
      <c r="H423" s="977">
        <f t="shared" si="151"/>
        <v>0.11040061728395065</v>
      </c>
      <c r="I423" s="271"/>
      <c r="J423" s="271"/>
      <c r="K423" s="271">
        <f t="shared" si="148"/>
        <v>1125.7340724582332</v>
      </c>
      <c r="L423" s="271">
        <f>K423*0.15</f>
        <v>168.86011086873498</v>
      </c>
      <c r="M423" s="272">
        <f t="shared" si="149"/>
        <v>1294.5941833269681</v>
      </c>
      <c r="N423" s="271"/>
      <c r="O423" s="271">
        <f>'DGSP_chitiet (truKH)'!K423</f>
        <v>1125.7340724582332</v>
      </c>
      <c r="P423" s="271">
        <f>'DGSP_chitiet (truKH)'!L423</f>
        <v>168.86011086873498</v>
      </c>
      <c r="Q423" s="306">
        <f>'DGSP_chitiet (truKH)'!M423</f>
        <v>1294.5941833269681</v>
      </c>
      <c r="R423" s="271">
        <f>'DGSP_chitiet (truKH)'!N423</f>
        <v>0</v>
      </c>
      <c r="S423" s="271">
        <f t="shared" si="150"/>
        <v>31.868269230769233</v>
      </c>
    </row>
    <row r="424" spans="1:19" s="232" customFormat="1" ht="15" customHeight="1">
      <c r="A424" s="1005"/>
      <c r="B424" s="1014"/>
      <c r="C424" s="1005"/>
      <c r="D424" s="242">
        <v>2</v>
      </c>
      <c r="E424" s="271">
        <f t="shared" si="146"/>
        <v>1319.0461411111112</v>
      </c>
      <c r="F424" s="271">
        <f t="shared" si="146"/>
        <v>0</v>
      </c>
      <c r="G424" s="977">
        <f t="shared" si="151"/>
        <v>5.5807273219373212E-3</v>
      </c>
      <c r="H424" s="977">
        <f t="shared" si="151"/>
        <v>0.11040061728395065</v>
      </c>
      <c r="I424" s="271"/>
      <c r="J424" s="271"/>
      <c r="K424" s="271">
        <f t="shared" si="148"/>
        <v>1319.1621224557171</v>
      </c>
      <c r="L424" s="271">
        <f>K424*0.15</f>
        <v>197.87431836835756</v>
      </c>
      <c r="M424" s="272">
        <f t="shared" si="149"/>
        <v>1517.0364408240746</v>
      </c>
      <c r="N424" s="271"/>
      <c r="O424" s="271">
        <f>'DGSP_chitiet (truKH)'!K424</f>
        <v>1319.1621224557171</v>
      </c>
      <c r="P424" s="271">
        <f>'DGSP_chitiet (truKH)'!L424</f>
        <v>197.87431836835756</v>
      </c>
      <c r="Q424" s="306">
        <f>'DGSP_chitiet (truKH)'!M424</f>
        <v>1517.0364408240746</v>
      </c>
      <c r="R424" s="271">
        <f>'DGSP_chitiet (truKH)'!N424</f>
        <v>0</v>
      </c>
      <c r="S424" s="271">
        <f t="shared" si="150"/>
        <v>37.344529914529915</v>
      </c>
    </row>
    <row r="425" spans="1:19" s="232" customFormat="1" ht="15" customHeight="1">
      <c r="A425" s="1005"/>
      <c r="B425" s="1014"/>
      <c r="C425" s="1005"/>
      <c r="D425" s="242">
        <v>3</v>
      </c>
      <c r="E425" s="271">
        <f t="shared" si="146"/>
        <v>1580.0675763888894</v>
      </c>
      <c r="F425" s="271">
        <f t="shared" si="146"/>
        <v>0</v>
      </c>
      <c r="G425" s="977">
        <f t="shared" si="151"/>
        <v>6.9759091524216514E-3</v>
      </c>
      <c r="H425" s="977">
        <f t="shared" si="151"/>
        <v>0.11040061728395065</v>
      </c>
      <c r="I425" s="271"/>
      <c r="J425" s="271"/>
      <c r="K425" s="271">
        <f t="shared" si="148"/>
        <v>1580.1849529153258</v>
      </c>
      <c r="L425" s="271">
        <f>K425*0.15</f>
        <v>237.02774293729885</v>
      </c>
      <c r="M425" s="272">
        <f t="shared" si="149"/>
        <v>1817.2126958526246</v>
      </c>
      <c r="N425" s="271"/>
      <c r="O425" s="271">
        <f>'DGSP_chitiet (truKH)'!K425</f>
        <v>1580.1849529153258</v>
      </c>
      <c r="P425" s="271">
        <f>'DGSP_chitiet (truKH)'!L425</f>
        <v>237.02774293729885</v>
      </c>
      <c r="Q425" s="306">
        <f>'DGSP_chitiet (truKH)'!M425</f>
        <v>1817.2126958526246</v>
      </c>
      <c r="R425" s="271">
        <f>'DGSP_chitiet (truKH)'!N425</f>
        <v>0</v>
      </c>
      <c r="S425" s="271">
        <f t="shared" si="150"/>
        <v>44.734508547008545</v>
      </c>
    </row>
    <row r="426" spans="1:19" s="232" customFormat="1" ht="15" customHeight="1">
      <c r="A426" s="1005"/>
      <c r="B426" s="1014"/>
      <c r="C426" s="1005"/>
      <c r="D426" s="242">
        <v>4</v>
      </c>
      <c r="E426" s="271">
        <f t="shared" si="146"/>
        <v>1932.1696441666668</v>
      </c>
      <c r="F426" s="271">
        <f t="shared" si="146"/>
        <v>0</v>
      </c>
      <c r="G426" s="977">
        <f t="shared" si="151"/>
        <v>9.7662728133903112E-3</v>
      </c>
      <c r="H426" s="977">
        <f t="shared" si="151"/>
        <v>0.11040061728395065</v>
      </c>
      <c r="I426" s="271"/>
      <c r="J426" s="271"/>
      <c r="K426" s="271">
        <f t="shared" si="148"/>
        <v>1932.2898110567639</v>
      </c>
      <c r="L426" s="271">
        <f>K426*0.15</f>
        <v>289.8434716585146</v>
      </c>
      <c r="M426" s="272">
        <f t="shared" si="149"/>
        <v>2222.1332827152787</v>
      </c>
      <c r="N426" s="271"/>
      <c r="O426" s="271">
        <f>'DGSP_chitiet (truKH)'!K426</f>
        <v>1932.2898110567639</v>
      </c>
      <c r="P426" s="271">
        <f>'DGSP_chitiet (truKH)'!L426</f>
        <v>289.8434716585146</v>
      </c>
      <c r="Q426" s="306">
        <f>'DGSP_chitiet (truKH)'!M426</f>
        <v>2222.1332827152787</v>
      </c>
      <c r="R426" s="271">
        <f>'DGSP_chitiet (truKH)'!N426</f>
        <v>0</v>
      </c>
      <c r="S426" s="271">
        <f t="shared" si="150"/>
        <v>54.703141025641031</v>
      </c>
    </row>
    <row r="427" spans="1:19">
      <c r="A427" s="242" t="s">
        <v>499</v>
      </c>
      <c r="B427" s="965" t="s">
        <v>326</v>
      </c>
      <c r="C427" s="243"/>
      <c r="D427" s="243"/>
      <c r="E427" s="271"/>
      <c r="F427" s="271"/>
      <c r="G427" s="271"/>
      <c r="H427" s="271"/>
      <c r="I427" s="271"/>
      <c r="J427" s="271"/>
      <c r="K427" s="271"/>
      <c r="L427" s="271"/>
      <c r="M427" s="272"/>
      <c r="N427" s="271"/>
      <c r="O427" s="271">
        <f>'DGSP_chitiet (truKH)'!K427</f>
        <v>0</v>
      </c>
      <c r="P427" s="271">
        <f>'DGSP_chitiet (truKH)'!L427</f>
        <v>0</v>
      </c>
      <c r="Q427" s="306">
        <f>'DGSP_chitiet (truKH)'!M427</f>
        <v>0</v>
      </c>
      <c r="R427" s="271">
        <f>'DGSP_chitiet (truKH)'!N427</f>
        <v>0</v>
      </c>
      <c r="S427" s="271"/>
    </row>
    <row r="428" spans="1:19" s="232" customFormat="1" ht="13.5" customHeight="1">
      <c r="A428" s="1005"/>
      <c r="B428" s="1014" t="s">
        <v>190</v>
      </c>
      <c r="C428" s="1005" t="s">
        <v>21</v>
      </c>
      <c r="D428" s="242">
        <v>1</v>
      </c>
      <c r="E428" s="271">
        <f t="shared" ref="E428:F431" si="152">E409*1.15</f>
        <v>205574.66648888891</v>
      </c>
      <c r="F428" s="271">
        <f t="shared" si="152"/>
        <v>21839.941185897434</v>
      </c>
      <c r="G428" s="271">
        <f t="shared" ref="G428:J435" si="153">G409</f>
        <v>1543.4713166547956</v>
      </c>
      <c r="H428" s="271">
        <f t="shared" si="153"/>
        <v>1353.2316666666666</v>
      </c>
      <c r="I428" s="271">
        <f t="shared" si="153"/>
        <v>1882.7924603174604</v>
      </c>
      <c r="J428" s="271">
        <f t="shared" si="153"/>
        <v>2.3372999999999995</v>
      </c>
      <c r="K428" s="271">
        <f t="shared" ref="K428:K435" si="154">SUM(E428:J428)</f>
        <v>232196.44041842528</v>
      </c>
      <c r="L428" s="271">
        <f>K428*0.25</f>
        <v>58049.11010460632</v>
      </c>
      <c r="M428" s="272">
        <f t="shared" ref="M428:M435" si="155">K428+L428</f>
        <v>290245.55052303162</v>
      </c>
      <c r="N428" s="271">
        <f>M428+M432</f>
        <v>310143.45160020969</v>
      </c>
      <c r="O428" s="271">
        <f>'DGSP_chitiet (truKH)'!K428</f>
        <v>230313.64795810782</v>
      </c>
      <c r="P428" s="271">
        <f>'DGSP_chitiet (truKH)'!L428</f>
        <v>57578.411989526954</v>
      </c>
      <c r="Q428" s="306">
        <f>'DGSP_chitiet (truKH)'!M428</f>
        <v>287892.05994763476</v>
      </c>
      <c r="R428" s="271">
        <f>'DGSP_chitiet (truKH)'!N428</f>
        <v>306848.83950933465</v>
      </c>
      <c r="S428" s="271">
        <f>S409*1.15</f>
        <v>5798.1734508547015</v>
      </c>
    </row>
    <row r="429" spans="1:19" s="232" customFormat="1" ht="15" customHeight="1">
      <c r="A429" s="1005"/>
      <c r="B429" s="1014"/>
      <c r="C429" s="1005"/>
      <c r="D429" s="242">
        <v>2</v>
      </c>
      <c r="E429" s="271">
        <f t="shared" si="152"/>
        <v>242085.02781432297</v>
      </c>
      <c r="F429" s="271">
        <f t="shared" si="152"/>
        <v>25920.14732905983</v>
      </c>
      <c r="G429" s="271">
        <f t="shared" si="153"/>
        <v>1790.5088186728394</v>
      </c>
      <c r="H429" s="271">
        <f t="shared" si="153"/>
        <v>1353.2316666666666</v>
      </c>
      <c r="I429" s="271">
        <f t="shared" si="153"/>
        <v>2258.751349206349</v>
      </c>
      <c r="J429" s="271">
        <f t="shared" si="153"/>
        <v>2.3372999999999995</v>
      </c>
      <c r="K429" s="271">
        <f t="shared" si="154"/>
        <v>273410.00427792873</v>
      </c>
      <c r="L429" s="271">
        <f>K429*0.25</f>
        <v>68352.501069482183</v>
      </c>
      <c r="M429" s="272">
        <f t="shared" si="155"/>
        <v>341762.50534741092</v>
      </c>
      <c r="N429" s="271">
        <f>M429+M433</f>
        <v>364381.28239133977</v>
      </c>
      <c r="O429" s="271">
        <f>'DGSP_chitiet (truKH)'!K429</f>
        <v>271151.25292872236</v>
      </c>
      <c r="P429" s="271">
        <f>'DGSP_chitiet (truKH)'!L429</f>
        <v>67787.81323218059</v>
      </c>
      <c r="Q429" s="306">
        <f>'DGSP_chitiet (truKH)'!M429</f>
        <v>338939.06616090296</v>
      </c>
      <c r="R429" s="271">
        <f>'DGSP_chitiet (truKH)'!N429</f>
        <v>360433.20430474257</v>
      </c>
      <c r="S429" s="271">
        <f>S410*1.15</f>
        <v>6831.8463741987161</v>
      </c>
    </row>
    <row r="430" spans="1:19" s="232" customFormat="1" ht="15" customHeight="1">
      <c r="A430" s="1005"/>
      <c r="B430" s="1014"/>
      <c r="C430" s="1005"/>
      <c r="D430" s="242">
        <v>3</v>
      </c>
      <c r="E430" s="271">
        <f t="shared" si="152"/>
        <v>285902.12761649309</v>
      </c>
      <c r="F430" s="271">
        <f t="shared" si="152"/>
        <v>30816.859615384616</v>
      </c>
      <c r="G430" s="271">
        <f t="shared" si="153"/>
        <v>1934.4422691120606</v>
      </c>
      <c r="H430" s="271">
        <f t="shared" si="153"/>
        <v>1353.2316666666666</v>
      </c>
      <c r="I430" s="271">
        <f t="shared" si="153"/>
        <v>2447.0435714285718</v>
      </c>
      <c r="J430" s="271">
        <f t="shared" si="153"/>
        <v>2.3372999999999995</v>
      </c>
      <c r="K430" s="271">
        <f t="shared" si="154"/>
        <v>322456.042039085</v>
      </c>
      <c r="L430" s="271">
        <f>K430*0.25</f>
        <v>80614.010509771251</v>
      </c>
      <c r="M430" s="272">
        <f t="shared" si="155"/>
        <v>403070.05254885624</v>
      </c>
      <c r="N430" s="271">
        <f>M430+M434</f>
        <v>429663.37296142115</v>
      </c>
      <c r="O430" s="271">
        <f>'DGSP_chitiet (truKH)'!K430</f>
        <v>320008.99846765643</v>
      </c>
      <c r="P430" s="271">
        <f>'DGSP_chitiet (truKH)'!L430</f>
        <v>80002.249616914109</v>
      </c>
      <c r="Q430" s="306">
        <f>'DGSP_chitiet (truKH)'!M430</f>
        <v>400011.24808457051</v>
      </c>
      <c r="R430" s="271">
        <f>'DGSP_chitiet (truKH)'!N430</f>
        <v>425232.31992245285</v>
      </c>
      <c r="S430" s="271">
        <f>S411*1.15</f>
        <v>8072.3859909188031</v>
      </c>
    </row>
    <row r="431" spans="1:19" s="232" customFormat="1" ht="15" customHeight="1">
      <c r="A431" s="1005"/>
      <c r="B431" s="1014"/>
      <c r="C431" s="1005"/>
      <c r="D431" s="242">
        <v>4</v>
      </c>
      <c r="E431" s="271">
        <f t="shared" si="152"/>
        <v>338477.98116744799</v>
      </c>
      <c r="F431" s="271">
        <f t="shared" si="152"/>
        <v>36692.216987179483</v>
      </c>
      <c r="G431" s="271">
        <f t="shared" si="153"/>
        <v>2111.4682318376067</v>
      </c>
      <c r="H431" s="271">
        <f t="shared" si="153"/>
        <v>1353.2316666666666</v>
      </c>
      <c r="I431" s="271">
        <f t="shared" si="153"/>
        <v>2635.023015873016</v>
      </c>
      <c r="J431" s="271">
        <f t="shared" si="153"/>
        <v>2.3372999999999995</v>
      </c>
      <c r="K431" s="271">
        <f t="shared" si="154"/>
        <v>381272.25836900482</v>
      </c>
      <c r="L431" s="271">
        <f>K431*0.25</f>
        <v>95318.064592251205</v>
      </c>
      <c r="M431" s="272">
        <f t="shared" si="155"/>
        <v>476590.32296125602</v>
      </c>
      <c r="N431" s="271">
        <f>M431+M435</f>
        <v>508555.3913223925</v>
      </c>
      <c r="O431" s="271">
        <f>'DGSP_chitiet (truKH)'!K431</f>
        <v>378637.23535313178</v>
      </c>
      <c r="P431" s="271">
        <f>'DGSP_chitiet (truKH)'!L431</f>
        <v>94659.308838282945</v>
      </c>
      <c r="Q431" s="306">
        <f>'DGSP_chitiet (truKH)'!M431</f>
        <v>473296.54419141472</v>
      </c>
      <c r="R431" s="271">
        <f>'DGSP_chitiet (truKH)'!N431</f>
        <v>503554.86979807698</v>
      </c>
      <c r="S431" s="271">
        <f>S412*1.15</f>
        <v>9560.9014222756414</v>
      </c>
    </row>
    <row r="432" spans="1:19" s="232" customFormat="1" ht="13.5" customHeight="1">
      <c r="A432" s="1005"/>
      <c r="B432" s="1014" t="s">
        <v>192</v>
      </c>
      <c r="C432" s="1005" t="s">
        <v>21</v>
      </c>
      <c r="D432" s="242">
        <v>1</v>
      </c>
      <c r="E432" s="271">
        <f t="shared" ref="E432:F435" si="156">E413*1.1</f>
        <v>12381.810512500004</v>
      </c>
      <c r="F432" s="271">
        <f t="shared" si="156"/>
        <v>0</v>
      </c>
      <c r="G432" s="271">
        <f t="shared" si="153"/>
        <v>162.42553366417377</v>
      </c>
      <c r="H432" s="271">
        <f t="shared" si="153"/>
        <v>3270.8277777777785</v>
      </c>
      <c r="I432" s="271">
        <f t="shared" si="153"/>
        <v>818.36653519841275</v>
      </c>
      <c r="J432" s="271">
        <f t="shared" si="153"/>
        <v>669.09231666666665</v>
      </c>
      <c r="K432" s="271">
        <f t="shared" si="154"/>
        <v>17302.522675807035</v>
      </c>
      <c r="L432" s="271">
        <f>K432*0.15</f>
        <v>2595.3784013710551</v>
      </c>
      <c r="M432" s="272">
        <f t="shared" si="155"/>
        <v>19897.901077178089</v>
      </c>
      <c r="N432" s="271"/>
      <c r="O432" s="271">
        <f>'DGSP_chitiet (truKH)'!K432</f>
        <v>16484.156140608622</v>
      </c>
      <c r="P432" s="271">
        <f>'DGSP_chitiet (truKH)'!L432</f>
        <v>2472.623421091293</v>
      </c>
      <c r="Q432" s="306">
        <f>'DGSP_chitiet (truKH)'!M432</f>
        <v>18956.779561699914</v>
      </c>
      <c r="R432" s="271">
        <f>'DGSP_chitiet (truKH)'!N432</f>
        <v>0</v>
      </c>
      <c r="S432" s="271">
        <f>S413*1.1</f>
        <v>350.55096153846159</v>
      </c>
    </row>
    <row r="433" spans="1:19" s="232" customFormat="1" ht="15" customHeight="1">
      <c r="A433" s="1005"/>
      <c r="B433" s="1014"/>
      <c r="C433" s="1005"/>
      <c r="D433" s="242">
        <v>2</v>
      </c>
      <c r="E433" s="271">
        <f t="shared" si="156"/>
        <v>14509.507552222223</v>
      </c>
      <c r="F433" s="271">
        <f t="shared" si="156"/>
        <v>0</v>
      </c>
      <c r="G433" s="271">
        <f t="shared" si="153"/>
        <v>171.84301101994299</v>
      </c>
      <c r="H433" s="271">
        <f t="shared" si="153"/>
        <v>3270.8277777777785</v>
      </c>
      <c r="I433" s="271">
        <f t="shared" si="153"/>
        <v>977.94686964285711</v>
      </c>
      <c r="J433" s="271">
        <f t="shared" si="153"/>
        <v>738.37656666666658</v>
      </c>
      <c r="K433" s="271">
        <f t="shared" si="154"/>
        <v>19668.501777329464</v>
      </c>
      <c r="L433" s="271">
        <f>K433*0.15</f>
        <v>2950.2752665994194</v>
      </c>
      <c r="M433" s="272">
        <f t="shared" si="155"/>
        <v>22618.777043928883</v>
      </c>
      <c r="N433" s="271"/>
      <c r="O433" s="271">
        <f>'DGSP_chitiet (truKH)'!K433</f>
        <v>18690.554907686608</v>
      </c>
      <c r="P433" s="271">
        <f>'DGSP_chitiet (truKH)'!L433</f>
        <v>2803.583236152991</v>
      </c>
      <c r="Q433" s="306">
        <f>'DGSP_chitiet (truKH)'!M433</f>
        <v>21494.138143839598</v>
      </c>
      <c r="R433" s="271">
        <f>'DGSP_chitiet (truKH)'!N433</f>
        <v>0</v>
      </c>
      <c r="S433" s="271">
        <f>S414*1.1</f>
        <v>410.78982905982912</v>
      </c>
    </row>
    <row r="434" spans="1:19" s="232" customFormat="1" ht="15" customHeight="1">
      <c r="A434" s="1005"/>
      <c r="B434" s="1014"/>
      <c r="C434" s="1005"/>
      <c r="D434" s="242">
        <v>3</v>
      </c>
      <c r="E434" s="271">
        <f t="shared" si="156"/>
        <v>17380.743340277782</v>
      </c>
      <c r="F434" s="271">
        <f t="shared" si="156"/>
        <v>0</v>
      </c>
      <c r="G434" s="271">
        <f t="shared" si="153"/>
        <v>184.39964749430195</v>
      </c>
      <c r="H434" s="271">
        <f t="shared" si="153"/>
        <v>3270.8277777777785</v>
      </c>
      <c r="I434" s="271">
        <f t="shared" si="153"/>
        <v>1193.2596301587303</v>
      </c>
      <c r="J434" s="271">
        <f t="shared" si="153"/>
        <v>1095.3960500000001</v>
      </c>
      <c r="K434" s="271">
        <f t="shared" si="154"/>
        <v>23124.626445708593</v>
      </c>
      <c r="L434" s="271">
        <f>K434*0.15</f>
        <v>3468.6939668562886</v>
      </c>
      <c r="M434" s="272">
        <f t="shared" si="155"/>
        <v>26593.320412564881</v>
      </c>
      <c r="N434" s="271"/>
      <c r="O434" s="271">
        <f>'DGSP_chitiet (truKH)'!K434</f>
        <v>21931.366815549864</v>
      </c>
      <c r="P434" s="271">
        <f>'DGSP_chitiet (truKH)'!L434</f>
        <v>3289.7050223324795</v>
      </c>
      <c r="Q434" s="306">
        <f>'DGSP_chitiet (truKH)'!M434</f>
        <v>25221.071837882344</v>
      </c>
      <c r="R434" s="271">
        <f>'DGSP_chitiet (truKH)'!N434</f>
        <v>0</v>
      </c>
      <c r="S434" s="271">
        <f>S415*1.1</f>
        <v>492.07959401709405</v>
      </c>
    </row>
    <row r="435" spans="1:19" s="232" customFormat="1" ht="15" customHeight="1">
      <c r="A435" s="1005"/>
      <c r="B435" s="1014"/>
      <c r="C435" s="1005"/>
      <c r="D435" s="242">
        <v>4</v>
      </c>
      <c r="E435" s="271">
        <f t="shared" si="156"/>
        <v>21253.866085833335</v>
      </c>
      <c r="F435" s="271">
        <f t="shared" si="156"/>
        <v>0</v>
      </c>
      <c r="G435" s="271">
        <f t="shared" si="153"/>
        <v>209.51292044301988</v>
      </c>
      <c r="H435" s="271">
        <f t="shared" si="153"/>
        <v>3270.8277777777785</v>
      </c>
      <c r="I435" s="271">
        <f t="shared" si="153"/>
        <v>1484.1241343253971</v>
      </c>
      <c r="J435" s="271">
        <f t="shared" si="153"/>
        <v>1577.3807000000002</v>
      </c>
      <c r="K435" s="271">
        <f t="shared" si="154"/>
        <v>27795.711618379533</v>
      </c>
      <c r="L435" s="271">
        <f>K435*0.15</f>
        <v>4169.3567427569296</v>
      </c>
      <c r="M435" s="272">
        <f t="shared" si="155"/>
        <v>31965.068361136462</v>
      </c>
      <c r="N435" s="271"/>
      <c r="O435" s="271">
        <f>'DGSP_chitiet (truKH)'!K435</f>
        <v>26311.587484054136</v>
      </c>
      <c r="P435" s="271">
        <f>'DGSP_chitiet (truKH)'!L435</f>
        <v>3946.7381226081202</v>
      </c>
      <c r="Q435" s="306">
        <f>'DGSP_chitiet (truKH)'!M435</f>
        <v>30258.325606662256</v>
      </c>
      <c r="R435" s="271">
        <f>'DGSP_chitiet (truKH)'!N435</f>
        <v>0</v>
      </c>
      <c r="S435" s="271">
        <f>S416*1.1</f>
        <v>601.73455128205137</v>
      </c>
    </row>
    <row r="436" spans="1:19">
      <c r="A436" s="242">
        <v>1</v>
      </c>
      <c r="B436" s="276" t="s">
        <v>57</v>
      </c>
      <c r="C436" s="243"/>
      <c r="D436" s="243"/>
      <c r="E436" s="271"/>
      <c r="F436" s="271"/>
      <c r="G436" s="271"/>
      <c r="H436" s="271"/>
      <c r="I436" s="271"/>
      <c r="J436" s="271"/>
      <c r="K436" s="271"/>
      <c r="L436" s="271"/>
      <c r="M436" s="272">
        <v>3600</v>
      </c>
      <c r="N436" s="974" t="s">
        <v>21</v>
      </c>
      <c r="O436" s="271">
        <f>'DGSP_chitiet (truKH)'!K436</f>
        <v>0</v>
      </c>
      <c r="P436" s="271">
        <f>'DGSP_chitiet (truKH)'!L436</f>
        <v>0</v>
      </c>
      <c r="Q436" s="306">
        <f>'DGSP_chitiet (truKH)'!M436</f>
        <v>3600</v>
      </c>
      <c r="R436" s="271" t="str">
        <f>'DGSP_chitiet (truKH)'!N436</f>
        <v>ha</v>
      </c>
      <c r="S436" s="271"/>
    </row>
    <row r="437" spans="1:19">
      <c r="A437" s="969" t="s">
        <v>359</v>
      </c>
      <c r="B437" s="970" t="str">
        <f>NhanCong!B$61</f>
        <v>Công tác chuẩn bị</v>
      </c>
      <c r="C437" s="274" t="s">
        <v>317</v>
      </c>
      <c r="D437" s="274" t="s">
        <v>622</v>
      </c>
      <c r="E437" s="271">
        <f>NhanCong!AC$61</f>
        <v>20009.137500000008</v>
      </c>
      <c r="F437" s="271">
        <f>NhanCong!AC$62</f>
        <v>1250.7211538461538</v>
      </c>
      <c r="G437" s="905">
        <f>Dcu!R$102*0.4</f>
        <v>279.81665479582142</v>
      </c>
      <c r="H437" s="905">
        <f>VLieu!P$66</f>
        <v>200.97499999999999</v>
      </c>
      <c r="I437" s="905"/>
      <c r="J437" s="905"/>
      <c r="K437" s="905">
        <f>SUM(E437:J437)</f>
        <v>21740.65030864198</v>
      </c>
      <c r="L437" s="905">
        <f>K437*0.25</f>
        <v>5435.1625771604949</v>
      </c>
      <c r="M437" s="906">
        <f>K437+L437</f>
        <v>27175.812885802476</v>
      </c>
      <c r="N437" s="905"/>
      <c r="O437" s="271">
        <f>'DGSP_chitiet (truKH)'!K437</f>
        <v>21740.65030864198</v>
      </c>
      <c r="P437" s="271">
        <f>'DGSP_chitiet (truKH)'!L437</f>
        <v>5435.1625771604949</v>
      </c>
      <c r="Q437" s="306">
        <f>'DGSP_chitiet (truKH)'!M437</f>
        <v>27175.812885802476</v>
      </c>
      <c r="R437" s="271">
        <f>'DGSP_chitiet (truKH)'!N437</f>
        <v>0</v>
      </c>
      <c r="S437" s="905">
        <f>NhanCong!AD$61</f>
        <v>547.35576923076917</v>
      </c>
    </row>
    <row r="438" spans="1:19">
      <c r="A438" s="1012" t="s">
        <v>269</v>
      </c>
      <c r="B438" s="1011" t="str">
        <f>NhanCong!B$63</f>
        <v>Lập lưới khống chế đo vẽ</v>
      </c>
      <c r="C438" s="1013" t="s">
        <v>317</v>
      </c>
      <c r="D438" s="274">
        <v>1</v>
      </c>
      <c r="E438" s="271">
        <f>NhanCong!AC$63</f>
        <v>13378.064600694448</v>
      </c>
      <c r="F438" s="271"/>
      <c r="G438" s="905">
        <f>Dcu!R$82</f>
        <v>78.63112879867046</v>
      </c>
      <c r="H438" s="905">
        <f>VLieu!P$67</f>
        <v>133.98333333333332</v>
      </c>
      <c r="I438" s="905">
        <f>TBi!N$55</f>
        <v>216.31246031746031</v>
      </c>
      <c r="J438" s="905">
        <f>TBi!N$59</f>
        <v>2.3372999999999995</v>
      </c>
      <c r="K438" s="905">
        <f t="shared" ref="K438:K441" si="157">SUM(E438:J438)</f>
        <v>13809.328823143911</v>
      </c>
      <c r="L438" s="905">
        <f t="shared" ref="L438:L457" si="158">K438*0.25</f>
        <v>3452.3322057859777</v>
      </c>
      <c r="M438" s="906">
        <f t="shared" ref="M438:M457" si="159">K438+L438</f>
        <v>17261.661028929888</v>
      </c>
      <c r="N438" s="905"/>
      <c r="O438" s="271">
        <f>'DGSP_chitiet (truKH)'!K438</f>
        <v>13593.016362826451</v>
      </c>
      <c r="P438" s="271">
        <f>'DGSP_chitiet (truKH)'!L438</f>
        <v>3398.2540907066127</v>
      </c>
      <c r="Q438" s="306">
        <f>'DGSP_chitiet (truKH)'!M438</f>
        <v>16991.270453533063</v>
      </c>
      <c r="R438" s="271">
        <f>'DGSP_chitiet (truKH)'!N438</f>
        <v>0</v>
      </c>
      <c r="S438" s="905">
        <f>NhanCong!AD$63</f>
        <v>378.75667735042737</v>
      </c>
    </row>
    <row r="439" spans="1:19">
      <c r="A439" s="1012"/>
      <c r="B439" s="1011"/>
      <c r="C439" s="1013"/>
      <c r="D439" s="274">
        <v>2</v>
      </c>
      <c r="E439" s="271">
        <f>NhanCong!AC$64</f>
        <v>16051.290711805557</v>
      </c>
      <c r="F439" s="271"/>
      <c r="G439" s="905">
        <f>Dcu!R$83</f>
        <v>94.819890610161437</v>
      </c>
      <c r="H439" s="905">
        <f>VLieu!P$67</f>
        <v>133.98333333333332</v>
      </c>
      <c r="I439" s="905">
        <f>TBi!O$55</f>
        <v>259.47579365079361</v>
      </c>
      <c r="J439" s="905">
        <f>TBi!O$59</f>
        <v>2.3372999999999995</v>
      </c>
      <c r="K439" s="905">
        <f t="shared" si="157"/>
        <v>16541.907029399845</v>
      </c>
      <c r="L439" s="905">
        <f t="shared" si="158"/>
        <v>4135.4767573499612</v>
      </c>
      <c r="M439" s="906">
        <f t="shared" si="159"/>
        <v>20677.383786749808</v>
      </c>
      <c r="N439" s="905"/>
      <c r="O439" s="271">
        <f>'DGSP_chitiet (truKH)'!K439</f>
        <v>16282.431235749051</v>
      </c>
      <c r="P439" s="271">
        <f>'DGSP_chitiet (truKH)'!L439</f>
        <v>4070.6078089372627</v>
      </c>
      <c r="Q439" s="306">
        <f>'DGSP_chitiet (truKH)'!M439</f>
        <v>20353.039044686313</v>
      </c>
      <c r="R439" s="271">
        <f>'DGSP_chitiet (truKH)'!N439</f>
        <v>0</v>
      </c>
      <c r="S439" s="905">
        <f>NhanCong!AD$64</f>
        <v>454.44043803418805</v>
      </c>
    </row>
    <row r="440" spans="1:19">
      <c r="A440" s="1012"/>
      <c r="B440" s="1011"/>
      <c r="C440" s="1013"/>
      <c r="D440" s="274">
        <v>3</v>
      </c>
      <c r="E440" s="271">
        <f>NhanCong!AC$65</f>
        <v>19261.548854166675</v>
      </c>
      <c r="F440" s="271"/>
      <c r="G440" s="905">
        <f>Dcu!R$84</f>
        <v>115.63401293922126</v>
      </c>
      <c r="H440" s="905">
        <f>VLieu!P$67</f>
        <v>133.98333333333332</v>
      </c>
      <c r="I440" s="905">
        <f>TBi!P$55</f>
        <v>281.05746031746031</v>
      </c>
      <c r="J440" s="905">
        <f>TBi!P$59</f>
        <v>2.3372999999999995</v>
      </c>
      <c r="K440" s="905">
        <f t="shared" si="157"/>
        <v>19794.560960756691</v>
      </c>
      <c r="L440" s="905">
        <f t="shared" si="158"/>
        <v>4948.6402401891728</v>
      </c>
      <c r="M440" s="906">
        <f t="shared" si="159"/>
        <v>24743.201200945863</v>
      </c>
      <c r="N440" s="905"/>
      <c r="O440" s="271">
        <f>'DGSP_chitiet (truKH)'!K440</f>
        <v>19513.50350043923</v>
      </c>
      <c r="P440" s="271">
        <f>'DGSP_chitiet (truKH)'!L440</f>
        <v>4878.3758751098076</v>
      </c>
      <c r="Q440" s="306">
        <f>'DGSP_chitiet (truKH)'!M440</f>
        <v>24391.879375549037</v>
      </c>
      <c r="R440" s="271">
        <f>'DGSP_chitiet (truKH)'!N440</f>
        <v>0</v>
      </c>
      <c r="S440" s="905">
        <f>NhanCong!AD$65</f>
        <v>545.32852564102564</v>
      </c>
    </row>
    <row r="441" spans="1:19">
      <c r="A441" s="1012"/>
      <c r="B441" s="1011"/>
      <c r="C441" s="1013"/>
      <c r="D441" s="274">
        <v>4</v>
      </c>
      <c r="E441" s="271">
        <f>NhanCong!AC$66</f>
        <v>23116.245434027787</v>
      </c>
      <c r="F441" s="271"/>
      <c r="G441" s="905">
        <f>Dcu!R$85</f>
        <v>138.76081552706552</v>
      </c>
      <c r="H441" s="905">
        <f>VLieu!P$67</f>
        <v>133.98333333333332</v>
      </c>
      <c r="I441" s="905">
        <f>TBi!Q$55</f>
        <v>302.32634920634916</v>
      </c>
      <c r="J441" s="905">
        <f>TBi!Q$59</f>
        <v>2.3372999999999995</v>
      </c>
      <c r="K441" s="905">
        <f t="shared" si="157"/>
        <v>23693.653232094533</v>
      </c>
      <c r="L441" s="905">
        <f t="shared" si="158"/>
        <v>5923.4133080236334</v>
      </c>
      <c r="M441" s="906">
        <f t="shared" si="159"/>
        <v>29617.066540118169</v>
      </c>
      <c r="N441" s="905"/>
      <c r="O441" s="271">
        <f>'DGSP_chitiet (truKH)'!K441</f>
        <v>23391.326882888185</v>
      </c>
      <c r="P441" s="271">
        <f>'DGSP_chitiet (truKH)'!L441</f>
        <v>5847.8317207220462</v>
      </c>
      <c r="Q441" s="306">
        <f>'DGSP_chitiet (truKH)'!M441</f>
        <v>29239.158603610231</v>
      </c>
      <c r="R441" s="271">
        <f>'DGSP_chitiet (truKH)'!N441</f>
        <v>0</v>
      </c>
      <c r="S441" s="905">
        <f>NhanCong!AD$66</f>
        <v>654.46180555555554</v>
      </c>
    </row>
    <row r="442" spans="1:19">
      <c r="A442" s="1012" t="s">
        <v>36</v>
      </c>
      <c r="B442" s="1011" t="str">
        <f>NhanCong!B$68</f>
        <v>Xác định ranh giới thửa đất trên thực địa</v>
      </c>
      <c r="C442" s="1013" t="s">
        <v>317</v>
      </c>
      <c r="D442" s="274">
        <v>1</v>
      </c>
      <c r="E442" s="271">
        <f>NhanCong!AC$68</f>
        <v>44752.669270833343</v>
      </c>
      <c r="F442" s="271">
        <f>NhanCong!AC$69</f>
        <v>9475.1602564102577</v>
      </c>
      <c r="G442" s="905">
        <f>Dcu!R$103*0.4</f>
        <v>215.45882419278252</v>
      </c>
      <c r="H442" s="905">
        <f>VLieu!P$68</f>
        <v>334.95833333333331</v>
      </c>
      <c r="I442" s="905"/>
      <c r="J442" s="905"/>
      <c r="K442" s="905">
        <f>SUM(E442:J442)</f>
        <v>54778.246684769721</v>
      </c>
      <c r="L442" s="905">
        <f t="shared" si="158"/>
        <v>13694.56167119243</v>
      </c>
      <c r="M442" s="906">
        <f t="shared" si="159"/>
        <v>68472.808355962159</v>
      </c>
      <c r="N442" s="905"/>
      <c r="O442" s="271">
        <f>'DGSP_chitiet (truKH)'!K442</f>
        <v>54778.246684769721</v>
      </c>
      <c r="P442" s="271">
        <f>'DGSP_chitiet (truKH)'!L442</f>
        <v>13694.56167119243</v>
      </c>
      <c r="Q442" s="306">
        <f>'DGSP_chitiet (truKH)'!M442</f>
        <v>68472.808355962159</v>
      </c>
      <c r="R442" s="271">
        <f>'DGSP_chitiet (truKH)'!N442</f>
        <v>0</v>
      </c>
      <c r="S442" s="905">
        <f>NhanCong!AD$68</f>
        <v>1267.0272435897436</v>
      </c>
    </row>
    <row r="443" spans="1:19">
      <c r="A443" s="1012"/>
      <c r="B443" s="1011"/>
      <c r="C443" s="1013"/>
      <c r="D443" s="274">
        <v>2</v>
      </c>
      <c r="E443" s="271">
        <f>NhanCong!AC$70</f>
        <v>53703.203125000007</v>
      </c>
      <c r="F443" s="271">
        <f>NhanCong!AC$71</f>
        <v>11370.192307692309</v>
      </c>
      <c r="G443" s="905">
        <f>Dcu!R$104*0.4</f>
        <v>257.43132241215574</v>
      </c>
      <c r="H443" s="905">
        <f>VLieu!P$68</f>
        <v>334.95833333333331</v>
      </c>
      <c r="I443" s="905"/>
      <c r="J443" s="905"/>
      <c r="K443" s="905">
        <f t="shared" ref="K443:K457" si="160">SUM(E443:J443)</f>
        <v>65665.785088437799</v>
      </c>
      <c r="L443" s="905">
        <f t="shared" si="158"/>
        <v>16416.44627210945</v>
      </c>
      <c r="M443" s="906">
        <f t="shared" si="159"/>
        <v>82082.231360547245</v>
      </c>
      <c r="N443" s="905"/>
      <c r="O443" s="271">
        <f>'DGSP_chitiet (truKH)'!K443</f>
        <v>65665.785088437799</v>
      </c>
      <c r="P443" s="271">
        <f>'DGSP_chitiet (truKH)'!L443</f>
        <v>16416.44627210945</v>
      </c>
      <c r="Q443" s="306">
        <f>'DGSP_chitiet (truKH)'!M443</f>
        <v>82082.231360547245</v>
      </c>
      <c r="R443" s="271">
        <f>'DGSP_chitiet (truKH)'!N443</f>
        <v>0</v>
      </c>
      <c r="S443" s="905">
        <f>NhanCong!AD$70</f>
        <v>1520.4326923076922</v>
      </c>
    </row>
    <row r="444" spans="1:19">
      <c r="A444" s="1012"/>
      <c r="B444" s="1011"/>
      <c r="C444" s="1013"/>
      <c r="D444" s="274">
        <v>3</v>
      </c>
      <c r="E444" s="271">
        <f>NhanCong!AC$72</f>
        <v>64443.843750000007</v>
      </c>
      <c r="F444" s="271">
        <f>NhanCong!AC$73</f>
        <v>13644.230769230771</v>
      </c>
      <c r="G444" s="905">
        <f>Dcu!R$105*0.4</f>
        <v>279.81665479582142</v>
      </c>
      <c r="H444" s="905">
        <f>VLieu!P$68</f>
        <v>334.95833333333331</v>
      </c>
      <c r="I444" s="905"/>
      <c r="J444" s="905"/>
      <c r="K444" s="905">
        <f t="shared" si="160"/>
        <v>78702.849507359933</v>
      </c>
      <c r="L444" s="905">
        <f t="shared" si="158"/>
        <v>19675.712376839983</v>
      </c>
      <c r="M444" s="906">
        <f t="shared" si="159"/>
        <v>98378.561884199909</v>
      </c>
      <c r="N444" s="905"/>
      <c r="O444" s="271">
        <f>'DGSP_chitiet (truKH)'!K444</f>
        <v>78702.849507359933</v>
      </c>
      <c r="P444" s="271">
        <f>'DGSP_chitiet (truKH)'!L444</f>
        <v>19675.712376839983</v>
      </c>
      <c r="Q444" s="306">
        <f>'DGSP_chitiet (truKH)'!M444</f>
        <v>98378.561884199909</v>
      </c>
      <c r="R444" s="271">
        <f>'DGSP_chitiet (truKH)'!N444</f>
        <v>0</v>
      </c>
      <c r="S444" s="905">
        <f>NhanCong!AD$72</f>
        <v>1824.5192307692305</v>
      </c>
    </row>
    <row r="445" spans="1:19">
      <c r="A445" s="1012"/>
      <c r="B445" s="1011"/>
      <c r="C445" s="1013"/>
      <c r="D445" s="274">
        <v>4</v>
      </c>
      <c r="E445" s="271">
        <f>NhanCong!AC$74</f>
        <v>77332.612500000017</v>
      </c>
      <c r="F445" s="271">
        <f>NhanCong!AC$75</f>
        <v>16373.076923076924</v>
      </c>
      <c r="G445" s="905">
        <f>Dcu!R$106*0.4</f>
        <v>307.79832027540363</v>
      </c>
      <c r="H445" s="905">
        <f>VLieu!P$68</f>
        <v>334.95833333333331</v>
      </c>
      <c r="I445" s="905"/>
      <c r="J445" s="905"/>
      <c r="K445" s="905">
        <f t="shared" si="160"/>
        <v>94348.446076685665</v>
      </c>
      <c r="L445" s="905">
        <f t="shared" si="158"/>
        <v>23587.111519171416</v>
      </c>
      <c r="M445" s="906">
        <f t="shared" si="159"/>
        <v>117935.55759585708</v>
      </c>
      <c r="N445" s="905"/>
      <c r="O445" s="271">
        <f>'DGSP_chitiet (truKH)'!K445</f>
        <v>94348.446076685665</v>
      </c>
      <c r="P445" s="271">
        <f>'DGSP_chitiet (truKH)'!L445</f>
        <v>23587.111519171416</v>
      </c>
      <c r="Q445" s="306">
        <f>'DGSP_chitiet (truKH)'!M445</f>
        <v>117935.55759585708</v>
      </c>
      <c r="R445" s="271">
        <f>'DGSP_chitiet (truKH)'!N445</f>
        <v>0</v>
      </c>
      <c r="S445" s="905">
        <f>NhanCong!AD$74</f>
        <v>2189.4230769230767</v>
      </c>
    </row>
    <row r="446" spans="1:19">
      <c r="A446" s="1012" t="s">
        <v>270</v>
      </c>
      <c r="B446" s="1011" t="str">
        <f>NhanCong!B$78</f>
        <v>Đo đạc ranh giới thửa đất và các đối tượng địa lý có liên quan</v>
      </c>
      <c r="C446" s="1013" t="s">
        <v>317</v>
      </c>
      <c r="D446" s="274" t="s">
        <v>18</v>
      </c>
      <c r="E446" s="271">
        <f>NhanCong!AC$78</f>
        <v>83508.48085937502</v>
      </c>
      <c r="F446" s="271">
        <f>NhanCong!AC$79</f>
        <v>2829.9145299145298</v>
      </c>
      <c r="G446" s="905">
        <f>Dcu!R$103</f>
        <v>538.64706048195626</v>
      </c>
      <c r="H446" s="905">
        <f>VLieu!P$69</f>
        <v>334.95833333333331</v>
      </c>
      <c r="I446" s="905">
        <f>TBi!N$77</f>
        <v>1666.48</v>
      </c>
      <c r="J446" s="905"/>
      <c r="K446" s="905">
        <f t="shared" si="160"/>
        <v>88878.480783104838</v>
      </c>
      <c r="L446" s="905">
        <f t="shared" si="158"/>
        <v>22219.62019577621</v>
      </c>
      <c r="M446" s="906">
        <f t="shared" si="159"/>
        <v>111098.10097888105</v>
      </c>
      <c r="N446" s="905"/>
      <c r="O446" s="271">
        <f>'DGSP_chitiet (truKH)'!K446</f>
        <v>87212.000783104842</v>
      </c>
      <c r="P446" s="271">
        <f>'DGSP_chitiet (truKH)'!L446</f>
        <v>21803.000195776211</v>
      </c>
      <c r="Q446" s="306">
        <f>'DGSP_chitiet (truKH)'!M446</f>
        <v>109015.00097888106</v>
      </c>
      <c r="R446" s="271">
        <f>'DGSP_chitiet (truKH)'!N446</f>
        <v>0</v>
      </c>
      <c r="S446" s="905">
        <f>NhanCong!AD$78</f>
        <v>2364.2728365384614</v>
      </c>
    </row>
    <row r="447" spans="1:19">
      <c r="A447" s="1012"/>
      <c r="B447" s="1011"/>
      <c r="C447" s="1013"/>
      <c r="D447" s="274" t="s">
        <v>20</v>
      </c>
      <c r="E447" s="271">
        <f>NhanCong!AC$80</f>
        <v>100210.17703125003</v>
      </c>
      <c r="F447" s="271">
        <f>NhanCong!AC$81</f>
        <v>3395.897435897436</v>
      </c>
      <c r="G447" s="905">
        <f>Dcu!R$104</f>
        <v>643.57830603038929</v>
      </c>
      <c r="H447" s="905">
        <f>VLieu!P$69</f>
        <v>334.95833333333331</v>
      </c>
      <c r="I447" s="905">
        <f>TBi!O$77</f>
        <v>1999.2755555555555</v>
      </c>
      <c r="J447" s="905"/>
      <c r="K447" s="905">
        <f t="shared" si="160"/>
        <v>106583.88666206674</v>
      </c>
      <c r="L447" s="905">
        <f t="shared" si="158"/>
        <v>26645.971665516685</v>
      </c>
      <c r="M447" s="906">
        <f t="shared" si="159"/>
        <v>133229.85832758341</v>
      </c>
      <c r="N447" s="905"/>
      <c r="O447" s="271">
        <f>'DGSP_chitiet (truKH)'!K447</f>
        <v>104584.61110651119</v>
      </c>
      <c r="P447" s="271">
        <f>'DGSP_chitiet (truKH)'!L447</f>
        <v>26146.152776627798</v>
      </c>
      <c r="Q447" s="306">
        <f>'DGSP_chitiet (truKH)'!M447</f>
        <v>130730.76388313899</v>
      </c>
      <c r="R447" s="271">
        <f>'DGSP_chitiet (truKH)'!N447</f>
        <v>0</v>
      </c>
      <c r="S447" s="905">
        <f>NhanCong!AD$80</f>
        <v>2837.1274038461538</v>
      </c>
    </row>
    <row r="448" spans="1:19">
      <c r="A448" s="1012"/>
      <c r="B448" s="1011"/>
      <c r="C448" s="1013"/>
      <c r="D448" s="274" t="s">
        <v>35</v>
      </c>
      <c r="E448" s="271">
        <f>NhanCong!AC$82</f>
        <v>120253.40584201392</v>
      </c>
      <c r="F448" s="271">
        <f>NhanCong!AC$83</f>
        <v>4075.0769230769233</v>
      </c>
      <c r="G448" s="905">
        <f>Dcu!R$105</f>
        <v>699.54163698955358</v>
      </c>
      <c r="H448" s="905">
        <f>VLieu!P$69</f>
        <v>334.95833333333331</v>
      </c>
      <c r="I448" s="905">
        <f>TBi!P$77</f>
        <v>2165.9861111111113</v>
      </c>
      <c r="J448" s="905"/>
      <c r="K448" s="905">
        <f t="shared" si="160"/>
        <v>127528.96884652483</v>
      </c>
      <c r="L448" s="905">
        <f t="shared" si="158"/>
        <v>31882.242211631208</v>
      </c>
      <c r="M448" s="906">
        <f t="shared" si="159"/>
        <v>159411.21105815604</v>
      </c>
      <c r="N448" s="905"/>
      <c r="O448" s="271">
        <f>'DGSP_chitiet (truKH)'!K448</f>
        <v>125362.98273541372</v>
      </c>
      <c r="P448" s="271">
        <f>'DGSP_chitiet (truKH)'!L448</f>
        <v>31340.745683853431</v>
      </c>
      <c r="Q448" s="306">
        <f>'DGSP_chitiet (truKH)'!M448</f>
        <v>156703.72841926717</v>
      </c>
      <c r="R448" s="271">
        <f>'DGSP_chitiet (truKH)'!N448</f>
        <v>0</v>
      </c>
      <c r="S448" s="905">
        <f>NhanCong!AD$82</f>
        <v>3404.5866720085469</v>
      </c>
    </row>
    <row r="449" spans="1:19">
      <c r="A449" s="1012"/>
      <c r="B449" s="1011"/>
      <c r="C449" s="1013"/>
      <c r="D449" s="274" t="s">
        <v>33</v>
      </c>
      <c r="E449" s="271">
        <f>NhanCong!AC$84</f>
        <v>144300.50679687504</v>
      </c>
      <c r="F449" s="271">
        <f>NhanCong!AC$85</f>
        <v>4890.1933760683769</v>
      </c>
      <c r="G449" s="905">
        <f>Dcu!R$106</f>
        <v>769.49580068850901</v>
      </c>
      <c r="H449" s="905">
        <f>VLieu!P$69</f>
        <v>334.95833333333331</v>
      </c>
      <c r="I449" s="905">
        <f>TBi!Q$77</f>
        <v>2332.6966666666667</v>
      </c>
      <c r="J449" s="905"/>
      <c r="K449" s="905">
        <f t="shared" si="160"/>
        <v>152627.85097363192</v>
      </c>
      <c r="L449" s="905">
        <f t="shared" si="158"/>
        <v>38156.962743407981</v>
      </c>
      <c r="M449" s="906">
        <f t="shared" si="159"/>
        <v>190784.81371703991</v>
      </c>
      <c r="N449" s="905"/>
      <c r="O449" s="271">
        <f>'DGSP_chitiet (truKH)'!K449</f>
        <v>150295.15430696527</v>
      </c>
      <c r="P449" s="271">
        <f>'DGSP_chitiet (truKH)'!L449</f>
        <v>37573.788576741317</v>
      </c>
      <c r="Q449" s="306">
        <f>'DGSP_chitiet (truKH)'!M449</f>
        <v>187868.94288370659</v>
      </c>
      <c r="R449" s="271">
        <f>'DGSP_chitiet (truKH)'!N449</f>
        <v>0</v>
      </c>
      <c r="S449" s="905">
        <f>NhanCong!AD$84</f>
        <v>4085.4026442307695</v>
      </c>
    </row>
    <row r="450" spans="1:19">
      <c r="A450" s="1012" t="s">
        <v>363</v>
      </c>
      <c r="B450" s="1011" t="str">
        <f>NhanCong!B$88</f>
        <v>Đối soát, kiểm tra</v>
      </c>
      <c r="C450" s="1013" t="s">
        <v>317</v>
      </c>
      <c r="D450" s="274" t="s">
        <v>18</v>
      </c>
      <c r="E450" s="271">
        <f>NhanCong!AC$88</f>
        <v>7129.3985659722239</v>
      </c>
      <c r="F450" s="271">
        <f>NhanCong!AC$89</f>
        <v>1208.272435897436</v>
      </c>
      <c r="G450" s="905">
        <f>Dcu!R$103*0.4</f>
        <v>215.45882419278252</v>
      </c>
      <c r="H450" s="905">
        <f>VLieu!P$70</f>
        <v>174.17833333333334</v>
      </c>
      <c r="I450" s="905"/>
      <c r="J450" s="905"/>
      <c r="K450" s="905">
        <f t="shared" si="160"/>
        <v>8727.3081593957759</v>
      </c>
      <c r="L450" s="905">
        <f t="shared" si="158"/>
        <v>2181.827039848944</v>
      </c>
      <c r="M450" s="906">
        <f t="shared" si="159"/>
        <v>10909.13519924472</v>
      </c>
      <c r="N450" s="905"/>
      <c r="O450" s="271">
        <f>'DGSP_chitiet (truKH)'!K450</f>
        <v>8727.3081593957759</v>
      </c>
      <c r="P450" s="271">
        <f>'DGSP_chitiet (truKH)'!L450</f>
        <v>2181.827039848944</v>
      </c>
      <c r="Q450" s="306">
        <f>'DGSP_chitiet (truKH)'!M450</f>
        <v>10909.13519924472</v>
      </c>
      <c r="R450" s="271">
        <f>'DGSP_chitiet (truKH)'!N450</f>
        <v>0</v>
      </c>
      <c r="S450" s="905">
        <f>NhanCong!AD$88</f>
        <v>201.84588675213678</v>
      </c>
    </row>
    <row r="451" spans="1:19">
      <c r="A451" s="1012"/>
      <c r="B451" s="1011"/>
      <c r="C451" s="1013"/>
      <c r="D451" s="274" t="s">
        <v>20</v>
      </c>
      <c r="E451" s="271">
        <f>NhanCong!AC$90</f>
        <v>8555.5169600694444</v>
      </c>
      <c r="F451" s="271">
        <f>NhanCong!AC$91</f>
        <v>1449.825854700855</v>
      </c>
      <c r="G451" s="905">
        <f>Dcu!R$104*0.4</f>
        <v>257.43132241215574</v>
      </c>
      <c r="H451" s="905">
        <f>VLieu!P$70</f>
        <v>174.17833333333334</v>
      </c>
      <c r="I451" s="905"/>
      <c r="J451" s="905"/>
      <c r="K451" s="905">
        <f t="shared" si="160"/>
        <v>10436.952470515789</v>
      </c>
      <c r="L451" s="905">
        <f t="shared" si="158"/>
        <v>2609.2381176289473</v>
      </c>
      <c r="M451" s="906">
        <f t="shared" si="159"/>
        <v>13046.190588144736</v>
      </c>
      <c r="N451" s="905"/>
      <c r="O451" s="271">
        <f>'DGSP_chitiet (truKH)'!K451</f>
        <v>10436.952470515789</v>
      </c>
      <c r="P451" s="271">
        <f>'DGSP_chitiet (truKH)'!L451</f>
        <v>2609.2381176289473</v>
      </c>
      <c r="Q451" s="306">
        <f>'DGSP_chitiet (truKH)'!M451</f>
        <v>13046.190588144736</v>
      </c>
      <c r="R451" s="271">
        <f>'DGSP_chitiet (truKH)'!N451</f>
        <v>0</v>
      </c>
      <c r="S451" s="905">
        <f>NhanCong!AD$90</f>
        <v>242.22182158119656</v>
      </c>
    </row>
    <row r="452" spans="1:19">
      <c r="A452" s="1012"/>
      <c r="B452" s="1011"/>
      <c r="C452" s="1013"/>
      <c r="D452" s="274" t="s">
        <v>35</v>
      </c>
      <c r="E452" s="271">
        <f>NhanCong!AC$92</f>
        <v>10266.859032986113</v>
      </c>
      <c r="F452" s="271">
        <f>NhanCong!AC$93</f>
        <v>1739.8920940170942</v>
      </c>
      <c r="G452" s="905">
        <f>Dcu!R$105*0.4</f>
        <v>279.81665479582142</v>
      </c>
      <c r="H452" s="905">
        <f>VLieu!P$70</f>
        <v>174.17833333333334</v>
      </c>
      <c r="I452" s="905"/>
      <c r="J452" s="905"/>
      <c r="K452" s="905">
        <f t="shared" si="160"/>
        <v>12460.746115132361</v>
      </c>
      <c r="L452" s="905">
        <f t="shared" si="158"/>
        <v>3115.1865287830901</v>
      </c>
      <c r="M452" s="906">
        <f t="shared" si="159"/>
        <v>15575.93264391545</v>
      </c>
      <c r="N452" s="905"/>
      <c r="O452" s="271">
        <f>'DGSP_chitiet (truKH)'!K452</f>
        <v>12460.746115132361</v>
      </c>
      <c r="P452" s="271">
        <f>'DGSP_chitiet (truKH)'!L452</f>
        <v>3115.1865287830901</v>
      </c>
      <c r="Q452" s="306">
        <f>'DGSP_chitiet (truKH)'!M452</f>
        <v>15575.93264391545</v>
      </c>
      <c r="R452" s="271">
        <f>'DGSP_chitiet (truKH)'!N452</f>
        <v>0</v>
      </c>
      <c r="S452" s="905">
        <f>NhanCong!AD$92</f>
        <v>290.67294337606836</v>
      </c>
    </row>
    <row r="453" spans="1:19">
      <c r="A453" s="1012"/>
      <c r="B453" s="1011"/>
      <c r="C453" s="1013"/>
      <c r="D453" s="274" t="s">
        <v>33</v>
      </c>
      <c r="E453" s="271">
        <f>NhanCong!AC$94</f>
        <v>12319.514796875003</v>
      </c>
      <c r="F453" s="271">
        <f>NhanCong!AC$95</f>
        <v>2087.5673076923081</v>
      </c>
      <c r="G453" s="905">
        <f>Dcu!R$106*0.4</f>
        <v>307.79832027540363</v>
      </c>
      <c r="H453" s="905">
        <f>VLieu!P$70</f>
        <v>174.17833333333334</v>
      </c>
      <c r="I453" s="905"/>
      <c r="J453" s="905"/>
      <c r="K453" s="905">
        <f t="shared" si="160"/>
        <v>14889.058758176048</v>
      </c>
      <c r="L453" s="905">
        <f t="shared" si="158"/>
        <v>3722.2646895440121</v>
      </c>
      <c r="M453" s="906">
        <f t="shared" si="159"/>
        <v>18611.32344772006</v>
      </c>
      <c r="N453" s="905"/>
      <c r="O453" s="271">
        <f>'DGSP_chitiet (truKH)'!K453</f>
        <v>14889.058758176048</v>
      </c>
      <c r="P453" s="271">
        <f>'DGSP_chitiet (truKH)'!L453</f>
        <v>3722.2646895440121</v>
      </c>
      <c r="Q453" s="306">
        <f>'DGSP_chitiet (truKH)'!M453</f>
        <v>18611.32344772006</v>
      </c>
      <c r="R453" s="271">
        <f>'DGSP_chitiet (truKH)'!N453</f>
        <v>0</v>
      </c>
      <c r="S453" s="905">
        <f>NhanCong!AD$94</f>
        <v>348.78725961538464</v>
      </c>
    </row>
    <row r="454" spans="1:19" ht="12.75" customHeight="1">
      <c r="A454" s="1012" t="s">
        <v>364</v>
      </c>
      <c r="B454" s="1011" t="str">
        <f>NhanCong!B$98</f>
        <v>Giao nhận Phiếu kết quả đo đạc hiện trạng thửa đất</v>
      </c>
      <c r="C454" s="1013" t="s">
        <v>317</v>
      </c>
      <c r="D454" s="274" t="s">
        <v>18</v>
      </c>
      <c r="E454" s="271">
        <f>NhanCong!AC$98</f>
        <v>9982.8287586805582</v>
      </c>
      <c r="F454" s="271">
        <f>NhanCong!AC$99</f>
        <v>4227.1848290598291</v>
      </c>
      <c r="G454" s="905">
        <f>Dcu!R$103*0.4</f>
        <v>215.45882419278252</v>
      </c>
      <c r="H454" s="905">
        <f>VLieu!P$71</f>
        <v>174.17833333333334</v>
      </c>
      <c r="I454" s="905"/>
      <c r="J454" s="905"/>
      <c r="K454" s="905">
        <f t="shared" si="160"/>
        <v>14599.650745266505</v>
      </c>
      <c r="L454" s="905">
        <f t="shared" si="158"/>
        <v>3649.9126863166262</v>
      </c>
      <c r="M454" s="906">
        <f t="shared" si="159"/>
        <v>18249.56343158313</v>
      </c>
      <c r="N454" s="905"/>
      <c r="O454" s="271">
        <f>'DGSP_chitiet (truKH)'!K454</f>
        <v>14599.650745266505</v>
      </c>
      <c r="P454" s="271">
        <f>'DGSP_chitiet (truKH)'!L454</f>
        <v>3649.9126863166262</v>
      </c>
      <c r="Q454" s="306">
        <f>'DGSP_chitiet (truKH)'!M454</f>
        <v>18249.56343158313</v>
      </c>
      <c r="R454" s="271">
        <f>'DGSP_chitiet (truKH)'!N454</f>
        <v>0</v>
      </c>
      <c r="S454" s="905">
        <f>NhanCong!AD$98</f>
        <v>282.63154380341882</v>
      </c>
    </row>
    <row r="455" spans="1:19">
      <c r="A455" s="1012"/>
      <c r="B455" s="1011"/>
      <c r="C455" s="1013"/>
      <c r="D455" s="274" t="s">
        <v>20</v>
      </c>
      <c r="E455" s="271">
        <f>NhanCong!AC$100</f>
        <v>11979.394510416669</v>
      </c>
      <c r="F455" s="271">
        <f>NhanCong!AC$101</f>
        <v>5072.6217948717958</v>
      </c>
      <c r="G455" s="905">
        <f>Dcu!R$104*0.4</f>
        <v>257.43132241215574</v>
      </c>
      <c r="H455" s="905">
        <f>VLieu!P$71</f>
        <v>174.17833333333334</v>
      </c>
      <c r="I455" s="905"/>
      <c r="J455" s="905"/>
      <c r="K455" s="905">
        <f t="shared" si="160"/>
        <v>17483.625961033951</v>
      </c>
      <c r="L455" s="905">
        <f t="shared" si="158"/>
        <v>4370.9064902584878</v>
      </c>
      <c r="M455" s="906">
        <f t="shared" si="159"/>
        <v>21854.532451292438</v>
      </c>
      <c r="N455" s="905"/>
      <c r="O455" s="271">
        <f>'DGSP_chitiet (truKH)'!K455</f>
        <v>17483.625961033951</v>
      </c>
      <c r="P455" s="271">
        <f>'DGSP_chitiet (truKH)'!L455</f>
        <v>4370.9064902584878</v>
      </c>
      <c r="Q455" s="306">
        <f>'DGSP_chitiet (truKH)'!M455</f>
        <v>21854.532451292438</v>
      </c>
      <c r="R455" s="271">
        <f>'DGSP_chitiet (truKH)'!N455</f>
        <v>0</v>
      </c>
      <c r="S455" s="905">
        <f>NhanCong!AD$100</f>
        <v>339.15785256410248</v>
      </c>
    </row>
    <row r="456" spans="1:19">
      <c r="A456" s="1012"/>
      <c r="B456" s="1011"/>
      <c r="C456" s="1013"/>
      <c r="D456" s="274" t="s">
        <v>35</v>
      </c>
      <c r="E456" s="271">
        <f>NhanCong!AC$102</f>
        <v>14375.750774305558</v>
      </c>
      <c r="F456" s="271">
        <f>NhanCong!AC$103</f>
        <v>6087.348290598291</v>
      </c>
      <c r="G456" s="905">
        <f>Dcu!R$105*0.4</f>
        <v>279.81665479582142</v>
      </c>
      <c r="H456" s="905">
        <f>VLieu!P$71</f>
        <v>174.17833333333334</v>
      </c>
      <c r="I456" s="905"/>
      <c r="J456" s="905"/>
      <c r="K456" s="905">
        <f t="shared" si="160"/>
        <v>20917.094053033004</v>
      </c>
      <c r="L456" s="905">
        <f t="shared" si="158"/>
        <v>5229.2735132582511</v>
      </c>
      <c r="M456" s="906">
        <f t="shared" si="159"/>
        <v>26146.367566291257</v>
      </c>
      <c r="N456" s="905"/>
      <c r="O456" s="271">
        <f>'DGSP_chitiet (truKH)'!K456</f>
        <v>20917.094053033004</v>
      </c>
      <c r="P456" s="271">
        <f>'DGSP_chitiet (truKH)'!L456</f>
        <v>5229.2735132582511</v>
      </c>
      <c r="Q456" s="306">
        <f>'DGSP_chitiet (truKH)'!M456</f>
        <v>26146.367566291257</v>
      </c>
      <c r="R456" s="271">
        <f>'DGSP_chitiet (truKH)'!N456</f>
        <v>0</v>
      </c>
      <c r="S456" s="905">
        <f>NhanCong!AD$102</f>
        <v>407.00293803418805</v>
      </c>
    </row>
    <row r="457" spans="1:19">
      <c r="A457" s="1012"/>
      <c r="B457" s="1011"/>
      <c r="C457" s="1013"/>
      <c r="D457" s="274" t="s">
        <v>33</v>
      </c>
      <c r="E457" s="271">
        <f>NhanCong!AC$104</f>
        <v>17250.662248263892</v>
      </c>
      <c r="F457" s="271">
        <f>NhanCong!AC$105</f>
        <v>7304.7168803418808</v>
      </c>
      <c r="G457" s="905">
        <f>Dcu!R$106*0.4</f>
        <v>307.79832027540363</v>
      </c>
      <c r="H457" s="905">
        <f>VLieu!P$71</f>
        <v>174.17833333333334</v>
      </c>
      <c r="I457" s="905"/>
      <c r="J457" s="905"/>
      <c r="K457" s="905">
        <f t="shared" si="160"/>
        <v>25037.355782214512</v>
      </c>
      <c r="L457" s="905">
        <f t="shared" si="158"/>
        <v>6259.338945553628</v>
      </c>
      <c r="M457" s="906">
        <f t="shared" si="159"/>
        <v>31296.694727768139</v>
      </c>
      <c r="N457" s="905"/>
      <c r="O457" s="271">
        <f>'DGSP_chitiet (truKH)'!K457</f>
        <v>25037.355782214512</v>
      </c>
      <c r="P457" s="271">
        <f>'DGSP_chitiet (truKH)'!L457</f>
        <v>6259.338945553628</v>
      </c>
      <c r="Q457" s="306">
        <f>'DGSP_chitiet (truKH)'!M457</f>
        <v>31296.694727768139</v>
      </c>
      <c r="R457" s="271">
        <f>'DGSP_chitiet (truKH)'!N457</f>
        <v>0</v>
      </c>
      <c r="S457" s="905">
        <f>NhanCong!AD$104</f>
        <v>488.39676816239319</v>
      </c>
    </row>
    <row r="458" spans="1:19" ht="13.5" customHeight="1">
      <c r="A458" s="242">
        <v>2</v>
      </c>
      <c r="B458" s="276" t="s">
        <v>58</v>
      </c>
      <c r="C458" s="274" t="s">
        <v>43</v>
      </c>
      <c r="D458" s="274"/>
      <c r="E458" s="271">
        <f>NhanCong!AC$108</f>
        <v>0</v>
      </c>
      <c r="F458" s="271"/>
      <c r="G458" s="905"/>
      <c r="H458" s="905"/>
      <c r="I458" s="905"/>
      <c r="J458" s="905"/>
      <c r="K458" s="905">
        <f>E458+F458+G458+I458+J458</f>
        <v>0</v>
      </c>
      <c r="L458" s="905"/>
      <c r="M458" s="906"/>
      <c r="N458" s="905"/>
      <c r="O458" s="271">
        <f>'DGSP_chitiet (truKH)'!K458</f>
        <v>0</v>
      </c>
      <c r="P458" s="271">
        <f>'DGSP_chitiet (truKH)'!L458</f>
        <v>0</v>
      </c>
      <c r="Q458" s="306">
        <f>'DGSP_chitiet (truKH)'!M458</f>
        <v>0</v>
      </c>
      <c r="R458" s="271">
        <f>'DGSP_chitiet (truKH)'!N458</f>
        <v>0</v>
      </c>
      <c r="S458" s="905"/>
    </row>
    <row r="459" spans="1:19">
      <c r="A459" s="1012" t="s">
        <v>268</v>
      </c>
      <c r="B459" s="1011" t="str">
        <f>NhanCong!B$109</f>
        <v>Biên tập bản đồ địa chính</v>
      </c>
      <c r="C459" s="1013" t="s">
        <v>317</v>
      </c>
      <c r="D459" s="274" t="s">
        <v>18</v>
      </c>
      <c r="E459" s="271">
        <f>NhanCong!AC$109</f>
        <v>5522.1213666666681</v>
      </c>
      <c r="F459" s="271"/>
      <c r="G459" s="905">
        <f>Dcu!R$123</f>
        <v>40.809068541666662</v>
      </c>
      <c r="H459" s="905">
        <f>VLieu!P$90</f>
        <v>993.60555555555572</v>
      </c>
      <c r="I459" s="905">
        <f>TBi!N$122</f>
        <v>456.87427190476194</v>
      </c>
      <c r="J459" s="905">
        <f>TBi!N$128</f>
        <v>196.79694999999998</v>
      </c>
      <c r="K459" s="905">
        <f>SUM(E459:J459)</f>
        <v>7210.2072126686526</v>
      </c>
      <c r="L459" s="905">
        <f>K459*0.15</f>
        <v>1081.5310819002977</v>
      </c>
      <c r="M459" s="906">
        <f>K459+L459</f>
        <v>8291.7382945689496</v>
      </c>
      <c r="N459" s="905"/>
      <c r="O459" s="271">
        <f>'DGSP_chitiet (truKH)'!K459</f>
        <v>6753.3329407638903</v>
      </c>
      <c r="P459" s="271">
        <f>'DGSP_chitiet (truKH)'!L459</f>
        <v>1012.9999411145835</v>
      </c>
      <c r="Q459" s="306">
        <f>'DGSP_chitiet (truKH)'!M459</f>
        <v>7766.3328818784739</v>
      </c>
      <c r="R459" s="271">
        <f>'DGSP_chitiet (truKH)'!N459</f>
        <v>0</v>
      </c>
      <c r="S459" s="905">
        <f>NhanCong!AD$109</f>
        <v>156.34102564102565</v>
      </c>
    </row>
    <row r="460" spans="1:19">
      <c r="A460" s="1012"/>
      <c r="B460" s="1011"/>
      <c r="C460" s="1013"/>
      <c r="D460" s="274" t="s">
        <v>20</v>
      </c>
      <c r="E460" s="271">
        <f>NhanCong!AC$110</f>
        <v>7456.3914027777782</v>
      </c>
      <c r="F460" s="271"/>
      <c r="G460" s="905">
        <f>Dcu!R$124</f>
        <v>50.226545897435891</v>
      </c>
      <c r="H460" s="905">
        <f>VLieu!P$90</f>
        <v>993.60555555555572</v>
      </c>
      <c r="I460" s="905">
        <f>TBi!O$122</f>
        <v>616.45460634920619</v>
      </c>
      <c r="J460" s="905">
        <f>TBi!O$128</f>
        <v>266.08119999999997</v>
      </c>
      <c r="K460" s="905">
        <f>SUM(E460:J460)</f>
        <v>9382.7593105799751</v>
      </c>
      <c r="L460" s="905">
        <f>K460*0.15</f>
        <v>1407.4138965869963</v>
      </c>
      <c r="M460" s="906">
        <f>K460+L460</f>
        <v>10790.173207166972</v>
      </c>
      <c r="N460" s="905"/>
      <c r="O460" s="271">
        <f>'DGSP_chitiet (truKH)'!K460</f>
        <v>8766.3047042307699</v>
      </c>
      <c r="P460" s="271">
        <f>'DGSP_chitiet (truKH)'!L460</f>
        <v>1314.9457056346155</v>
      </c>
      <c r="Q460" s="306">
        <f>'DGSP_chitiet (truKH)'!M460</f>
        <v>10081.250409865384</v>
      </c>
      <c r="R460" s="271">
        <f>'DGSP_chitiet (truKH)'!N460</f>
        <v>0</v>
      </c>
      <c r="S460" s="905">
        <f>NhanCong!AD$110</f>
        <v>211.10363247863248</v>
      </c>
    </row>
    <row r="461" spans="1:19">
      <c r="A461" s="1012"/>
      <c r="B461" s="1011"/>
      <c r="C461" s="1013"/>
      <c r="D461" s="274" t="s">
        <v>35</v>
      </c>
      <c r="E461" s="271">
        <f>NhanCong!AC$111</f>
        <v>10066.605755555558</v>
      </c>
      <c r="F461" s="271"/>
      <c r="G461" s="905">
        <f>Dcu!R$125</f>
        <v>62.783182371794858</v>
      </c>
      <c r="H461" s="905">
        <f>VLieu!P$90</f>
        <v>993.60555555555572</v>
      </c>
      <c r="I461" s="905">
        <f>TBi!P$122</f>
        <v>831.76736686507934</v>
      </c>
      <c r="J461" s="905">
        <f>TBi!P$128</f>
        <v>623.10068333333334</v>
      </c>
      <c r="K461" s="905">
        <f>SUM(E461:J461)</f>
        <v>12577.862543681322</v>
      </c>
      <c r="L461" s="905">
        <f>K461*0.15</f>
        <v>1886.6793815521983</v>
      </c>
      <c r="M461" s="906">
        <f>K461+L461</f>
        <v>14464.54192523352</v>
      </c>
      <c r="N461" s="905"/>
      <c r="O461" s="271">
        <f>'DGSP_chitiet (truKH)'!K461</f>
        <v>11746.095176816243</v>
      </c>
      <c r="P461" s="271">
        <f>'DGSP_chitiet (truKH)'!L461</f>
        <v>1761.9142765224365</v>
      </c>
      <c r="Q461" s="306">
        <f>'DGSP_chitiet (truKH)'!M461</f>
        <v>13508.00945333868</v>
      </c>
      <c r="R461" s="271">
        <f>'DGSP_chitiet (truKH)'!N461</f>
        <v>0</v>
      </c>
      <c r="S461" s="905">
        <f>NhanCong!AD$111</f>
        <v>285.00341880341881</v>
      </c>
    </row>
    <row r="462" spans="1:19">
      <c r="A462" s="1012"/>
      <c r="B462" s="1011"/>
      <c r="C462" s="1013"/>
      <c r="D462" s="274" t="s">
        <v>33</v>
      </c>
      <c r="E462" s="271">
        <f>NhanCong!AC$112</f>
        <v>13587.626433333335</v>
      </c>
      <c r="F462" s="271"/>
      <c r="G462" s="905">
        <f>Dcu!R$126</f>
        <v>87.8964553205128</v>
      </c>
      <c r="H462" s="905">
        <f>VLieu!P$90</f>
        <v>993.60555555555572</v>
      </c>
      <c r="I462" s="905">
        <f>TBi!Q$122</f>
        <v>1122.6318710317462</v>
      </c>
      <c r="J462" s="905">
        <f>TBi!Q$128</f>
        <v>1105.0853333333334</v>
      </c>
      <c r="K462" s="905">
        <f>SUM(E462:J462)</f>
        <v>16896.845648574483</v>
      </c>
      <c r="L462" s="905">
        <f>K462*0.15</f>
        <v>2534.5268472861721</v>
      </c>
      <c r="M462" s="906">
        <f>K462+L462</f>
        <v>19431.372495860654</v>
      </c>
      <c r="N462" s="905"/>
      <c r="O462" s="271">
        <f>'DGSP_chitiet (truKH)'!K462</f>
        <v>15774.213777542736</v>
      </c>
      <c r="P462" s="271">
        <f>'DGSP_chitiet (truKH)'!L462</f>
        <v>2366.1320666314105</v>
      </c>
      <c r="Q462" s="306">
        <f>'DGSP_chitiet (truKH)'!M462</f>
        <v>18140.345844174146</v>
      </c>
      <c r="R462" s="271">
        <f>'DGSP_chitiet (truKH)'!N462</f>
        <v>0</v>
      </c>
      <c r="S462" s="905">
        <f>NhanCong!AD$112</f>
        <v>384.68974358974356</v>
      </c>
    </row>
    <row r="463" spans="1:19" ht="26">
      <c r="A463" s="969">
        <v>2.2000000000000002</v>
      </c>
      <c r="B463" s="970" t="str">
        <f>NhanCong!B$114</f>
        <v>Lập Phiếu xác nhận kết quả đo đạc hiện trạng thửa đất</v>
      </c>
      <c r="C463" s="274" t="s">
        <v>317</v>
      </c>
      <c r="D463" s="274" t="s">
        <v>15</v>
      </c>
      <c r="E463" s="271">
        <f>NhanCong!AC$114</f>
        <v>2835.5291250000005</v>
      </c>
      <c r="F463" s="271"/>
      <c r="G463" s="905">
        <f>Dcu!R$138</f>
        <v>29.461388532763532</v>
      </c>
      <c r="H463" s="905">
        <f>VLieu!P$91</f>
        <v>812.95</v>
      </c>
      <c r="I463" s="905">
        <f>TBi!N$150</f>
        <v>237.69630753968258</v>
      </c>
      <c r="J463" s="905">
        <f>TBi!N$153</f>
        <v>311.61526666666668</v>
      </c>
      <c r="K463" s="905">
        <f t="shared" ref="K463:K468" si="161">SUM(E463:J463)</f>
        <v>4227.2520877391134</v>
      </c>
      <c r="L463" s="905">
        <f t="shared" ref="L463:L468" si="162">K463*0.15</f>
        <v>634.08781316086697</v>
      </c>
      <c r="M463" s="906">
        <f t="shared" ref="M463:M468" si="163">K463+L463</f>
        <v>4861.3399008999804</v>
      </c>
      <c r="N463" s="905"/>
      <c r="O463" s="271">
        <f>'DGSP_chitiet (truKH)'!K463</f>
        <v>3989.555780199431</v>
      </c>
      <c r="P463" s="271">
        <f>'DGSP_chitiet (truKH)'!L463</f>
        <v>598.43336702991462</v>
      </c>
      <c r="Q463" s="306">
        <f>'DGSP_chitiet (truKH)'!M463</f>
        <v>4587.9891472293457</v>
      </c>
      <c r="R463" s="271">
        <f>'DGSP_chitiet (truKH)'!N463</f>
        <v>0</v>
      </c>
      <c r="S463" s="905">
        <f>NhanCong!AD$114</f>
        <v>80.278846153846146</v>
      </c>
    </row>
    <row r="464" spans="1:19" ht="26">
      <c r="A464" s="969">
        <v>2.2999999999999998</v>
      </c>
      <c r="B464" s="970" t="str">
        <f>NhanCong!B$115</f>
        <v>Công khai bản đồ địa chính, Hoàn thiện bản đồ địa chính</v>
      </c>
      <c r="C464" s="274" t="s">
        <v>317</v>
      </c>
      <c r="D464" s="274" t="s">
        <v>15</v>
      </c>
      <c r="E464" s="271">
        <f>NhanCong!AC$115</f>
        <v>2058.3841055555558</v>
      </c>
      <c r="F464" s="271"/>
      <c r="G464" s="905">
        <f>Dcu!R$130</f>
        <v>27.624600243589736</v>
      </c>
      <c r="H464" s="905">
        <f>VLieu!P$94</f>
        <v>361.31111111111113</v>
      </c>
      <c r="I464" s="905">
        <f>TBi!N$176</f>
        <v>119.49885019841271</v>
      </c>
      <c r="J464" s="905">
        <f>TBi!N$179</f>
        <v>156.71039999999999</v>
      </c>
      <c r="K464" s="905">
        <f t="shared" si="161"/>
        <v>2723.5290671086691</v>
      </c>
      <c r="L464" s="905">
        <f t="shared" si="162"/>
        <v>408.52936006630034</v>
      </c>
      <c r="M464" s="906">
        <f t="shared" si="163"/>
        <v>3132.0584271749694</v>
      </c>
      <c r="N464" s="905"/>
      <c r="O464" s="271">
        <f>'DGSP_chitiet (truKH)'!K464</f>
        <v>2604.0302169102565</v>
      </c>
      <c r="P464" s="271">
        <f>'DGSP_chitiet (truKH)'!L464</f>
        <v>390.60453253653844</v>
      </c>
      <c r="Q464" s="306">
        <f>'DGSP_chitiet (truKH)'!M464</f>
        <v>2994.634749446795</v>
      </c>
      <c r="R464" s="271">
        <f>'DGSP_chitiet (truKH)'!N464</f>
        <v>0</v>
      </c>
      <c r="S464" s="905">
        <f>NhanCong!AD$115</f>
        <v>58.276495726495718</v>
      </c>
    </row>
    <row r="465" spans="1:21">
      <c r="A465" s="969">
        <f>NhanCong!A116</f>
        <v>2.4</v>
      </c>
      <c r="B465" s="970" t="str">
        <f>NhanCong!B$116</f>
        <v>Lập sổ mục kê đất đai phạm vi khu đo</v>
      </c>
      <c r="C465" s="274" t="s">
        <v>317</v>
      </c>
      <c r="D465" s="274" t="s">
        <v>15</v>
      </c>
      <c r="E465" s="271">
        <f>NhanCong!AC$116</f>
        <v>171.85025000000005</v>
      </c>
      <c r="F465" s="271"/>
      <c r="G465" s="905">
        <f>Dcu!R$140</f>
        <v>18.834954711538458</v>
      </c>
      <c r="H465" s="905">
        <f>VLieu!P$94</f>
        <v>361.31111111111113</v>
      </c>
      <c r="I465" s="905"/>
      <c r="J465" s="905"/>
      <c r="K465" s="905">
        <f t="shared" si="161"/>
        <v>551.99631582264965</v>
      </c>
      <c r="L465" s="905">
        <f t="shared" si="162"/>
        <v>82.799447373397442</v>
      </c>
      <c r="M465" s="906">
        <f t="shared" si="163"/>
        <v>634.79576319604712</v>
      </c>
      <c r="N465" s="905"/>
      <c r="O465" s="271">
        <f>'DGSP_chitiet (truKH)'!K465</f>
        <v>551.99631582264965</v>
      </c>
      <c r="P465" s="271">
        <f>'DGSP_chitiet (truKH)'!L465</f>
        <v>82.799447373397442</v>
      </c>
      <c r="Q465" s="306">
        <f>'DGSP_chitiet (truKH)'!M465</f>
        <v>634.79576319604712</v>
      </c>
      <c r="R465" s="271">
        <f>'DGSP_chitiet (truKH)'!N465</f>
        <v>0</v>
      </c>
      <c r="S465" s="905">
        <f>NhanCong!AD$116</f>
        <v>4.8653846153846159</v>
      </c>
    </row>
    <row r="466" spans="1:21" ht="39">
      <c r="A466" s="969">
        <f>NhanCong!A117</f>
        <v>2.5</v>
      </c>
      <c r="B466" s="970" t="str">
        <f>NhanCong!B$117</f>
        <v>In sản phẩm đo đạc lập bản đồ địa chính gồm sản phẩm chính và sản phẩm trung gian</v>
      </c>
      <c r="C466" s="274" t="s">
        <v>317</v>
      </c>
      <c r="D466" s="274" t="s">
        <v>15</v>
      </c>
      <c r="E466" s="271">
        <f>NhanCong!AC$117</f>
        <v>95.472361111111127</v>
      </c>
      <c r="F466" s="271"/>
      <c r="G466" s="905">
        <f>Dcu!R$152</f>
        <v>25.581492307692304</v>
      </c>
      <c r="H466" s="905">
        <f>VLieu!P$102</f>
        <v>19.027777777777779</v>
      </c>
      <c r="I466" s="905">
        <f>TBi!N$207</f>
        <v>4.2971055555555564</v>
      </c>
      <c r="J466" s="905">
        <f>TBi!N$211</f>
        <v>3.9697</v>
      </c>
      <c r="K466" s="905">
        <f t="shared" si="161"/>
        <v>148.34843675213676</v>
      </c>
      <c r="L466" s="905">
        <f t="shared" si="162"/>
        <v>22.252265512820514</v>
      </c>
      <c r="M466" s="906">
        <f t="shared" si="163"/>
        <v>170.60070226495728</v>
      </c>
      <c r="N466" s="905"/>
      <c r="O466" s="271">
        <f>'DGSP_chitiet (truKH)'!K466</f>
        <v>144.0513311965812</v>
      </c>
      <c r="P466" s="271">
        <f>'DGSP_chitiet (truKH)'!L466</f>
        <v>21.60769967948718</v>
      </c>
      <c r="Q466" s="306">
        <f>'DGSP_chitiet (truKH)'!M466</f>
        <v>165.65903087606839</v>
      </c>
      <c r="R466" s="271">
        <f>'DGSP_chitiet (truKH)'!N466</f>
        <v>0</v>
      </c>
      <c r="S466" s="905">
        <f>NhanCong!AD$117</f>
        <v>2.7029914529914527</v>
      </c>
    </row>
    <row r="467" spans="1:21">
      <c r="A467" s="969">
        <f>NhanCong!A118</f>
        <v>2.6</v>
      </c>
      <c r="B467" s="970" t="str">
        <f>NhanCong!B$118</f>
        <v>Trình ký xác nhận hồ sơ</v>
      </c>
      <c r="C467" s="274" t="s">
        <v>317</v>
      </c>
      <c r="D467" s="274" t="s">
        <v>15</v>
      </c>
      <c r="E467" s="271">
        <f>NhanCong!AC$118</f>
        <v>190.94472222222225</v>
      </c>
      <c r="F467" s="271"/>
      <c r="G467" s="905">
        <f>Dcu!R$140</f>
        <v>18.834954711538458</v>
      </c>
      <c r="H467" s="905">
        <f>VLieu!P$94</f>
        <v>361.31111111111113</v>
      </c>
      <c r="I467" s="905"/>
      <c r="J467" s="905"/>
      <c r="K467" s="905">
        <f t="shared" si="161"/>
        <v>571.09078804487183</v>
      </c>
      <c r="L467" s="905">
        <f t="shared" si="162"/>
        <v>85.663618206730774</v>
      </c>
      <c r="M467" s="906">
        <f t="shared" si="163"/>
        <v>656.75440625160263</v>
      </c>
      <c r="N467" s="905"/>
      <c r="O467" s="271">
        <f>'DGSP_chitiet (truKH)'!K467</f>
        <v>571.09078804487183</v>
      </c>
      <c r="P467" s="271">
        <f>'DGSP_chitiet (truKH)'!L467</f>
        <v>85.663618206730774</v>
      </c>
      <c r="Q467" s="306">
        <f>'DGSP_chitiet (truKH)'!M467</f>
        <v>656.75440625160263</v>
      </c>
      <c r="R467" s="271">
        <f>'DGSP_chitiet (truKH)'!N467</f>
        <v>0</v>
      </c>
      <c r="S467" s="905">
        <f>NhanCong!AD$118</f>
        <v>5.4059829059829054</v>
      </c>
    </row>
    <row r="468" spans="1:21" ht="26">
      <c r="A468" s="969">
        <f>NhanCong!A119</f>
        <v>2.7</v>
      </c>
      <c r="B468" s="970" t="str">
        <f>NhanCong!B$119</f>
        <v>Giao nộp sản phẩm đo đạc lập bản đồ địa chính</v>
      </c>
      <c r="C468" s="274" t="s">
        <v>317</v>
      </c>
      <c r="D468" s="274" t="s">
        <v>15</v>
      </c>
      <c r="E468" s="271">
        <f>NhanCong!AC$119</f>
        <v>381.88944444444451</v>
      </c>
      <c r="F468" s="271"/>
      <c r="G468" s="905">
        <f>Dcu!R$154</f>
        <v>1.2790746153846153</v>
      </c>
      <c r="H468" s="905">
        <f>VLieu!P$94</f>
        <v>361.31111111111113</v>
      </c>
      <c r="I468" s="905"/>
      <c r="J468" s="905"/>
      <c r="K468" s="905">
        <f t="shared" si="161"/>
        <v>744.47963017094025</v>
      </c>
      <c r="L468" s="905">
        <f t="shared" si="162"/>
        <v>111.67194452564104</v>
      </c>
      <c r="M468" s="906">
        <f t="shared" si="163"/>
        <v>856.15157469658129</v>
      </c>
      <c r="N468" s="905"/>
      <c r="O468" s="271">
        <f>'DGSP_chitiet (truKH)'!K468</f>
        <v>744.47963017094025</v>
      </c>
      <c r="P468" s="271">
        <f>'DGSP_chitiet (truKH)'!L468</f>
        <v>111.67194452564104</v>
      </c>
      <c r="Q468" s="306">
        <f>'DGSP_chitiet (truKH)'!M468</f>
        <v>856.15157469658129</v>
      </c>
      <c r="R468" s="271">
        <f>'DGSP_chitiet (truKH)'!N468</f>
        <v>0</v>
      </c>
      <c r="S468" s="905">
        <f>NhanCong!AD$119</f>
        <v>10.811965811965811</v>
      </c>
    </row>
    <row r="469" spans="1:21">
      <c r="A469" s="242" t="str">
        <f>L_CViec!A31</f>
        <v>III</v>
      </c>
      <c r="B469" s="965" t="str">
        <f>L_CViec!B31</f>
        <v>SỐ HOÁ VÀ CHUYỂN HỆ TOẠ ĐỘ BẢN ĐỒ ĐỊA CHÍNH:</v>
      </c>
      <c r="C469" s="243"/>
      <c r="D469" s="243"/>
      <c r="E469" s="271"/>
      <c r="F469" s="271"/>
      <c r="G469" s="271"/>
      <c r="H469" s="271"/>
      <c r="I469" s="271"/>
      <c r="J469" s="271"/>
      <c r="K469" s="271"/>
      <c r="L469" s="271"/>
      <c r="M469" s="272"/>
      <c r="N469" s="271"/>
      <c r="O469" s="271">
        <f>'DGSP_chitiet (truKH)'!K469</f>
        <v>0</v>
      </c>
      <c r="P469" s="271">
        <f>'DGSP_chitiet (truKH)'!L469</f>
        <v>0</v>
      </c>
      <c r="Q469" s="306">
        <f>'DGSP_chitiet (truKH)'!M469</f>
        <v>0</v>
      </c>
      <c r="R469" s="271">
        <f>'DGSP_chitiet (truKH)'!N469</f>
        <v>0</v>
      </c>
      <c r="S469" s="271"/>
    </row>
    <row r="470" spans="1:21">
      <c r="A470" s="242">
        <v>1</v>
      </c>
      <c r="B470" s="276" t="s">
        <v>207</v>
      </c>
      <c r="C470" s="275"/>
      <c r="D470" s="275"/>
      <c r="E470" s="271"/>
      <c r="F470" s="271"/>
      <c r="G470" s="271"/>
      <c r="H470" s="271"/>
      <c r="I470" s="271"/>
      <c r="J470" s="271"/>
      <c r="K470" s="271"/>
      <c r="L470" s="271"/>
      <c r="M470" s="971">
        <v>6.25</v>
      </c>
      <c r="N470" s="972" t="s">
        <v>21</v>
      </c>
      <c r="O470" s="271">
        <f>'DGSP_chitiet (truKH)'!K470</f>
        <v>0</v>
      </c>
      <c r="P470" s="271">
        <f>'DGSP_chitiet (truKH)'!L470</f>
        <v>0</v>
      </c>
      <c r="Q470" s="306">
        <f>'DGSP_chitiet (truKH)'!M470</f>
        <v>6.25</v>
      </c>
      <c r="R470" s="271" t="str">
        <f>'DGSP_chitiet (truKH)'!N470</f>
        <v>ha</v>
      </c>
      <c r="S470" s="271"/>
    </row>
    <row r="471" spans="1:21">
      <c r="A471" s="242" t="s">
        <v>27</v>
      </c>
      <c r="B471" s="276" t="s">
        <v>203</v>
      </c>
      <c r="C471" s="275"/>
      <c r="D471" s="275"/>
      <c r="E471" s="271"/>
      <c r="F471" s="271"/>
      <c r="G471" s="271"/>
      <c r="H471" s="271"/>
      <c r="I471" s="271"/>
      <c r="J471" s="271"/>
      <c r="K471" s="271"/>
      <c r="L471" s="271"/>
      <c r="M471" s="971"/>
      <c r="N471" s="271"/>
      <c r="O471" s="271">
        <f>'DGSP_chitiet (truKH)'!K471</f>
        <v>0</v>
      </c>
      <c r="P471" s="271">
        <f>'DGSP_chitiet (truKH)'!L471</f>
        <v>0</v>
      </c>
      <c r="Q471" s="306">
        <f>'DGSP_chitiet (truKH)'!M471</f>
        <v>0</v>
      </c>
      <c r="R471" s="271">
        <f>'DGSP_chitiet (truKH)'!N471</f>
        <v>0</v>
      </c>
      <c r="S471" s="271"/>
    </row>
    <row r="472" spans="1:21">
      <c r="A472" s="243"/>
      <c r="B472" s="229"/>
      <c r="C472" s="275" t="s">
        <v>317</v>
      </c>
      <c r="D472" s="274" t="s">
        <v>18</v>
      </c>
      <c r="E472" s="271">
        <f>(NhanCong!I$126+NhanCong!I$127+NhanCong!I$132+NhanCong!I$133)</f>
        <v>277710.00400000002</v>
      </c>
      <c r="F472" s="271"/>
      <c r="G472" s="905">
        <f>Dcu!M$178</f>
        <v>4048.1521859829049</v>
      </c>
      <c r="H472" s="905">
        <f>VLieu!K$117</f>
        <v>16368</v>
      </c>
      <c r="I472" s="905">
        <f>TBi!N$218</f>
        <v>24369.507314285715</v>
      </c>
      <c r="J472" s="905">
        <f>TBi!N$226</f>
        <v>7942.3680000000004</v>
      </c>
      <c r="K472" s="905">
        <f>SUM(E472:J472)</f>
        <v>330438.03150026867</v>
      </c>
      <c r="L472" s="905">
        <f>K472*0.15</f>
        <v>49565.704725040297</v>
      </c>
      <c r="M472" s="906">
        <f>K472+L472</f>
        <v>380003.73622530897</v>
      </c>
      <c r="N472" s="905"/>
      <c r="O472" s="271">
        <f>'DGSP_chitiet (truKH)'!K472</f>
        <v>306068.52418598294</v>
      </c>
      <c r="P472" s="271">
        <f>'DGSP_chitiet (truKH)'!L472</f>
        <v>45910.278627897438</v>
      </c>
      <c r="Q472" s="306">
        <f>'DGSP_chitiet (truKH)'!M472</f>
        <v>351978.80281388038</v>
      </c>
      <c r="R472" s="271">
        <f>'DGSP_chitiet (truKH)'!N472</f>
        <v>0</v>
      </c>
      <c r="S472" s="905">
        <f>(NhanCong!J$126+NhanCong!J$127+NhanCong!J$132+NhanCong!J$133)</f>
        <v>7862.461538461539</v>
      </c>
      <c r="T472" s="237"/>
      <c r="U472" s="238"/>
    </row>
    <row r="473" spans="1:21">
      <c r="A473" s="243"/>
      <c r="B473" s="229"/>
      <c r="C473" s="274"/>
      <c r="D473" s="274" t="s">
        <v>20</v>
      </c>
      <c r="E473" s="271">
        <f>(NhanCong!I$126+NhanCong!I$128+NhanCong!I$132+NhanCong!I$133)</f>
        <v>306305.8856000001</v>
      </c>
      <c r="F473" s="271"/>
      <c r="G473" s="905">
        <f>Dcu!M$179</f>
        <v>4634.0689497435887</v>
      </c>
      <c r="H473" s="905">
        <f>VLieu!K$117</f>
        <v>16368</v>
      </c>
      <c r="I473" s="905">
        <f>TBi!O$218</f>
        <v>28786.519657142861</v>
      </c>
      <c r="J473" s="905">
        <f>TBi!O$226</f>
        <v>9010.848</v>
      </c>
      <c r="K473" s="905">
        <f>SUM(E473:J473)</f>
        <v>365105.32220688654</v>
      </c>
      <c r="L473" s="905">
        <f>K473*0.15</f>
        <v>54765.79833103298</v>
      </c>
      <c r="M473" s="906">
        <f>K473+L473</f>
        <v>419871.12053791952</v>
      </c>
      <c r="N473" s="905"/>
      <c r="O473" s="271">
        <f>'DGSP_chitiet (truKH)'!K473</f>
        <v>336318.80254974368</v>
      </c>
      <c r="P473" s="271">
        <f>'DGSP_chitiet (truKH)'!L473</f>
        <v>50447.820382461548</v>
      </c>
      <c r="Q473" s="306">
        <f>'DGSP_chitiet (truKH)'!M473</f>
        <v>386766.62293220521</v>
      </c>
      <c r="R473" s="271">
        <f>'DGSP_chitiet (truKH)'!N473</f>
        <v>0</v>
      </c>
      <c r="S473" s="905">
        <f>(NhanCong!J$126+NhanCong!J$128+NhanCong!J$132+NhanCong!J$133)</f>
        <v>8672.0615384615376</v>
      </c>
      <c r="T473" s="237"/>
      <c r="U473" s="238"/>
    </row>
    <row r="474" spans="1:21">
      <c r="A474" s="243"/>
      <c r="B474" s="229"/>
      <c r="C474" s="274"/>
      <c r="D474" s="274" t="s">
        <v>35</v>
      </c>
      <c r="E474" s="271">
        <f>(NhanCong!I$126+NhanCong!I$129+NhanCong!I$132+NhanCong!I$133)</f>
        <v>339851.05440000002</v>
      </c>
      <c r="F474" s="271"/>
      <c r="G474" s="905">
        <f>Dcu!M$180</f>
        <v>5326.5160341880328</v>
      </c>
      <c r="H474" s="905">
        <f>VLieu!K$117</f>
        <v>16368</v>
      </c>
      <c r="I474" s="905">
        <f>TBi!P$218</f>
        <v>34112.717828571433</v>
      </c>
      <c r="J474" s="905">
        <f>TBi!P$226</f>
        <v>10364.256000000001</v>
      </c>
      <c r="K474" s="905">
        <f>SUM(E474:J474)</f>
        <v>406022.5442627595</v>
      </c>
      <c r="L474" s="905">
        <f>K474*0.15</f>
        <v>60903.381639413921</v>
      </c>
      <c r="M474" s="906">
        <f>K474+L474</f>
        <v>466925.92590217345</v>
      </c>
      <c r="N474" s="905"/>
      <c r="O474" s="271">
        <f>'DGSP_chitiet (truKH)'!K474</f>
        <v>371909.82643418806</v>
      </c>
      <c r="P474" s="271">
        <f>'DGSP_chitiet (truKH)'!L474</f>
        <v>55786.473965128207</v>
      </c>
      <c r="Q474" s="306">
        <f>'DGSP_chitiet (truKH)'!M474</f>
        <v>427696.30039931624</v>
      </c>
      <c r="R474" s="271">
        <f>'DGSP_chitiet (truKH)'!N474</f>
        <v>0</v>
      </c>
      <c r="S474" s="905">
        <f>(NhanCong!J$126+NhanCong!J$129+NhanCong!J$132+NhanCong!J$133)</f>
        <v>9621.7846153846149</v>
      </c>
      <c r="T474" s="237"/>
      <c r="U474" s="238"/>
    </row>
    <row r="475" spans="1:21">
      <c r="A475" s="243"/>
      <c r="B475" s="229"/>
      <c r="C475" s="274"/>
      <c r="D475" s="274" t="s">
        <v>33</v>
      </c>
      <c r="E475" s="271">
        <f>(NhanCong!I$126+NhanCong!I$130+NhanCong!I$132+NhanCong!I$133)</f>
        <v>378345.51040000003</v>
      </c>
      <c r="F475" s="271"/>
      <c r="G475" s="905">
        <f>Dcu!M$181</f>
        <v>6125.4934393162375</v>
      </c>
      <c r="H475" s="905">
        <f>VLieu!K$117</f>
        <v>16368</v>
      </c>
      <c r="I475" s="905">
        <f>TBi!Q$218</f>
        <v>40348.101828571424</v>
      </c>
      <c r="J475" s="905">
        <f>TBi!Q$226</f>
        <v>11966.976000000001</v>
      </c>
      <c r="K475" s="905">
        <f>SUM(E475:J475)</f>
        <v>453154.08166788769</v>
      </c>
      <c r="L475" s="905">
        <f>K475*0.15</f>
        <v>67973.112250183156</v>
      </c>
      <c r="M475" s="906">
        <f>K475+L475</f>
        <v>521127.19391807087</v>
      </c>
      <c r="N475" s="905"/>
      <c r="O475" s="271">
        <f>'DGSP_chitiet (truKH)'!K475</f>
        <v>412805.97983931628</v>
      </c>
      <c r="P475" s="271">
        <f>'DGSP_chitiet (truKH)'!L475</f>
        <v>61920.896975897442</v>
      </c>
      <c r="Q475" s="306">
        <f>'DGSP_chitiet (truKH)'!M475</f>
        <v>474726.87681521371</v>
      </c>
      <c r="R475" s="271">
        <f>'DGSP_chitiet (truKH)'!N475</f>
        <v>0</v>
      </c>
      <c r="S475" s="905">
        <f>(NhanCong!J$126+NhanCong!J$130+NhanCong!J$132+NhanCong!J$133)</f>
        <v>10711.630769230767</v>
      </c>
      <c r="T475" s="237"/>
      <c r="U475" s="238"/>
    </row>
    <row r="476" spans="1:21">
      <c r="A476" s="243"/>
      <c r="B476" s="229"/>
      <c r="C476" s="274"/>
      <c r="D476" s="274" t="s">
        <v>13</v>
      </c>
      <c r="E476" s="271">
        <f>(NhanCong!I$126+NhanCong!I$131+NhanCong!I$132+NhanCong!I$133)</f>
        <v>422339.17440000008</v>
      </c>
      <c r="F476" s="271"/>
      <c r="G476" s="905">
        <f>Dcu!M$182</f>
        <v>7031.0011651282039</v>
      </c>
      <c r="H476" s="905">
        <f>VLieu!K$117</f>
        <v>16368</v>
      </c>
      <c r="I476" s="905">
        <f>TBi!R$218</f>
        <v>47852.558971428574</v>
      </c>
      <c r="J476" s="905">
        <f>TBi!R$226</f>
        <v>13854.624</v>
      </c>
      <c r="K476" s="905">
        <f>SUM(E476:J476)</f>
        <v>507445.35853655689</v>
      </c>
      <c r="L476" s="905">
        <f>K476*0.15</f>
        <v>76116.803780483533</v>
      </c>
      <c r="M476" s="906">
        <f>K476+L476</f>
        <v>583562.16231704038</v>
      </c>
      <c r="N476" s="905"/>
      <c r="O476" s="271">
        <f>'DGSP_chitiet (truKH)'!K476</f>
        <v>459592.79956512828</v>
      </c>
      <c r="P476" s="271">
        <f>'DGSP_chitiet (truKH)'!L476</f>
        <v>68938.919934769234</v>
      </c>
      <c r="Q476" s="306">
        <f>'DGSP_chitiet (truKH)'!M476</f>
        <v>528531.71949989756</v>
      </c>
      <c r="R476" s="271">
        <f>'DGSP_chitiet (truKH)'!N476</f>
        <v>0</v>
      </c>
      <c r="S476" s="905">
        <f>(NhanCong!J$126+NhanCong!J$131+NhanCong!J$132+NhanCong!J$133)</f>
        <v>11957.16923076923</v>
      </c>
      <c r="T476" s="237"/>
      <c r="U476" s="238"/>
    </row>
    <row r="477" spans="1:21">
      <c r="A477" s="242" t="s">
        <v>28</v>
      </c>
      <c r="B477" s="276" t="s">
        <v>204</v>
      </c>
      <c r="C477" s="275"/>
      <c r="D477" s="275"/>
      <c r="E477" s="271"/>
      <c r="F477" s="271"/>
      <c r="G477" s="271"/>
      <c r="H477" s="271"/>
      <c r="I477" s="271"/>
      <c r="J477" s="271"/>
      <c r="K477" s="271"/>
      <c r="L477" s="271"/>
      <c r="M477" s="272">
        <v>25</v>
      </c>
      <c r="N477" s="972" t="s">
        <v>21</v>
      </c>
      <c r="O477" s="271">
        <f>'DGSP_chitiet (truKH)'!K477</f>
        <v>0</v>
      </c>
      <c r="P477" s="271">
        <f>'DGSP_chitiet (truKH)'!L477</f>
        <v>0</v>
      </c>
      <c r="Q477" s="306">
        <f>'DGSP_chitiet (truKH)'!M477</f>
        <v>25</v>
      </c>
      <c r="R477" s="271" t="str">
        <f>'DGSP_chitiet (truKH)'!N477</f>
        <v>ha</v>
      </c>
      <c r="S477" s="271"/>
      <c r="T477" s="237"/>
      <c r="U477" s="238"/>
    </row>
    <row r="478" spans="1:21">
      <c r="A478" s="243"/>
      <c r="B478" s="229"/>
      <c r="C478" s="275" t="s">
        <v>317</v>
      </c>
      <c r="D478" s="274" t="s">
        <v>18</v>
      </c>
      <c r="E478" s="271">
        <f>(NhanCong!M$126+NhanCong!M$127+NhanCong!M$132+NhanCong!M$133)</f>
        <v>116858.17000000004</v>
      </c>
      <c r="F478" s="271"/>
      <c r="G478" s="905">
        <f>Dcu!N$178</f>
        <v>1784.5250543589741</v>
      </c>
      <c r="H478" s="905">
        <f>VLieu!L$117</f>
        <v>4092</v>
      </c>
      <c r="I478" s="905">
        <f>TBi!N$227</f>
        <v>12750.124542857142</v>
      </c>
      <c r="J478" s="905">
        <f>TBi!N$235</f>
        <v>3668.4480000000003</v>
      </c>
      <c r="K478" s="905">
        <f>SUM(E478:J478)</f>
        <v>139153.26759721615</v>
      </c>
      <c r="L478" s="905">
        <f>K478*0.15</f>
        <v>20872.990139582424</v>
      </c>
      <c r="M478" s="906">
        <f>K478+L478</f>
        <v>160026.25773679858</v>
      </c>
      <c r="N478" s="980"/>
      <c r="O478" s="271">
        <f>'DGSP_chitiet (truKH)'!K478</f>
        <v>126403.14305435902</v>
      </c>
      <c r="P478" s="271">
        <f>'DGSP_chitiet (truKH)'!L478</f>
        <v>18960.471458153854</v>
      </c>
      <c r="Q478" s="306">
        <f>'DGSP_chitiet (truKH)'!M478</f>
        <v>145363.61451251287</v>
      </c>
      <c r="R478" s="271">
        <f>'DGSP_chitiet (truKH)'!N478</f>
        <v>0</v>
      </c>
      <c r="S478" s="905">
        <f>(NhanCong!N$126+NhanCong!N$127+NhanCong!N$132+NhanCong!N$133)</f>
        <v>3308.4615384615381</v>
      </c>
      <c r="T478" s="237"/>
      <c r="U478" s="238"/>
    </row>
    <row r="479" spans="1:21">
      <c r="A479" s="243"/>
      <c r="B479" s="229"/>
      <c r="C479" s="274"/>
      <c r="D479" s="274" t="s">
        <v>20</v>
      </c>
      <c r="E479" s="271">
        <f>(NhanCong!M$126+NhanCong!M$128+NhanCong!M$132+NhanCong!M$133)</f>
        <v>130606.19000000003</v>
      </c>
      <c r="F479" s="271"/>
      <c r="G479" s="905">
        <f>Dcu!N$179</f>
        <v>2042.811575384615</v>
      </c>
      <c r="H479" s="905">
        <f>VLieu!L$117</f>
        <v>4092</v>
      </c>
      <c r="I479" s="905">
        <f>TBi!O$227</f>
        <v>13543.004828571427</v>
      </c>
      <c r="J479" s="905">
        <f>TBi!O$235</f>
        <v>3864.3359999999998</v>
      </c>
      <c r="K479" s="905">
        <f>SUM(E479:J479)</f>
        <v>154148.34240395608</v>
      </c>
      <c r="L479" s="905">
        <f>K479*0.15</f>
        <v>23122.251360593411</v>
      </c>
      <c r="M479" s="906">
        <f>K479+L479</f>
        <v>177270.5937645495</v>
      </c>
      <c r="N479" s="980"/>
      <c r="O479" s="271">
        <f>'DGSP_chitiet (truKH)'!K479</f>
        <v>140605.33757538465</v>
      </c>
      <c r="P479" s="271">
        <f>'DGSP_chitiet (truKH)'!L479</f>
        <v>21090.800636307697</v>
      </c>
      <c r="Q479" s="306">
        <f>'DGSP_chitiet (truKH)'!M479</f>
        <v>161696.13821169233</v>
      </c>
      <c r="R479" s="271">
        <f>'DGSP_chitiet (truKH)'!N479</f>
        <v>0</v>
      </c>
      <c r="S479" s="905">
        <f>(NhanCong!N$126+NhanCong!N$128+NhanCong!N$132+NhanCong!N$133)</f>
        <v>3697.6923076923072</v>
      </c>
      <c r="T479" s="237"/>
      <c r="U479" s="238"/>
    </row>
    <row r="480" spans="1:21">
      <c r="A480" s="243"/>
      <c r="B480" s="229"/>
      <c r="C480" s="274"/>
      <c r="D480" s="274" t="s">
        <v>35</v>
      </c>
      <c r="E480" s="271">
        <f>(NhanCong!M$126+NhanCong!M$129+NhanCong!M$132+NhanCong!M$133)</f>
        <v>146416.41300000003</v>
      </c>
      <c r="F480" s="271"/>
      <c r="G480" s="905">
        <f>Dcu!N$180</f>
        <v>2348.0592820512816</v>
      </c>
      <c r="H480" s="905">
        <f>VLieu!L$117</f>
        <v>4092</v>
      </c>
      <c r="I480" s="905">
        <f>TBi!P$227</f>
        <v>15413.223628571428</v>
      </c>
      <c r="J480" s="905">
        <f>TBi!P$235</f>
        <v>4336.2480000000005</v>
      </c>
      <c r="K480" s="905">
        <f>SUM(E480:J480)</f>
        <v>172605.94391062274</v>
      </c>
      <c r="L480" s="905">
        <f>K480*0.15</f>
        <v>25890.89158659341</v>
      </c>
      <c r="M480" s="906">
        <f>K480+L480</f>
        <v>198496.83549721615</v>
      </c>
      <c r="N480" s="980"/>
      <c r="O480" s="271">
        <f>'DGSP_chitiet (truKH)'!K480</f>
        <v>157192.7202820513</v>
      </c>
      <c r="P480" s="271">
        <f>'DGSP_chitiet (truKH)'!L480</f>
        <v>23578.908042307696</v>
      </c>
      <c r="Q480" s="306">
        <f>'DGSP_chitiet (truKH)'!M480</f>
        <v>180771.62832435902</v>
      </c>
      <c r="R480" s="271">
        <f>'DGSP_chitiet (truKH)'!N480</f>
        <v>0</v>
      </c>
      <c r="S480" s="905">
        <f>(NhanCong!N$126+NhanCong!N$129+NhanCong!N$132+NhanCong!N$133)</f>
        <v>4145.3076923076924</v>
      </c>
      <c r="T480" s="237"/>
      <c r="U480" s="238"/>
    </row>
    <row r="481" spans="1:21">
      <c r="A481" s="243"/>
      <c r="B481" s="229"/>
      <c r="C481" s="274"/>
      <c r="D481" s="274" t="s">
        <v>33</v>
      </c>
      <c r="E481" s="271">
        <f>(NhanCong!M$126+NhanCong!M$130+NhanCong!M$132+NhanCong!M$133)</f>
        <v>164563.79940000005</v>
      </c>
      <c r="F481" s="271"/>
      <c r="G481" s="905">
        <f>Dcu!N$181</f>
        <v>2700.2681743589737</v>
      </c>
      <c r="H481" s="905">
        <f>VLieu!L$117</f>
        <v>4092</v>
      </c>
      <c r="I481" s="905">
        <f>TBi!Q$227</f>
        <v>17934.0936</v>
      </c>
      <c r="J481" s="905">
        <f>TBi!Q$235</f>
        <v>4977.3359999999993</v>
      </c>
      <c r="K481" s="905">
        <f>SUM(E481:J481)</f>
        <v>194267.49717435901</v>
      </c>
      <c r="L481" s="905">
        <f>K481*0.15</f>
        <v>29140.124576153852</v>
      </c>
      <c r="M481" s="906">
        <f>K481+L481</f>
        <v>223407.62175051286</v>
      </c>
      <c r="N481" s="980"/>
      <c r="O481" s="271">
        <f>'DGSP_chitiet (truKH)'!K481</f>
        <v>176333.40357435902</v>
      </c>
      <c r="P481" s="271">
        <f>'DGSP_chitiet (truKH)'!L481</f>
        <v>26450.010536153852</v>
      </c>
      <c r="Q481" s="306">
        <f>'DGSP_chitiet (truKH)'!M481</f>
        <v>202783.41411051288</v>
      </c>
      <c r="R481" s="271">
        <f>'DGSP_chitiet (truKH)'!N481</f>
        <v>0</v>
      </c>
      <c r="S481" s="905">
        <f>(NhanCong!N$126+NhanCong!N$130+NhanCong!N$132+NhanCong!N$133)</f>
        <v>4659.0923076923082</v>
      </c>
      <c r="T481" s="237"/>
      <c r="U481" s="238"/>
    </row>
    <row r="482" spans="1:21">
      <c r="A482" s="243"/>
      <c r="B482" s="229"/>
      <c r="C482" s="274"/>
      <c r="D482" s="274" t="s">
        <v>13</v>
      </c>
      <c r="E482" s="271">
        <f>(NhanCong!M$126+NhanCong!M$131+NhanCong!M$132+NhanCong!M$133)</f>
        <v>185460.78980000006</v>
      </c>
      <c r="F482" s="271"/>
      <c r="G482" s="905">
        <f>Dcu!N$182</f>
        <v>3099.438252307692</v>
      </c>
      <c r="H482" s="905">
        <f>VLieu!L$117</f>
        <v>4092</v>
      </c>
      <c r="I482" s="905">
        <f>TBi!R$227</f>
        <v>26065.619971428569</v>
      </c>
      <c r="J482" s="905">
        <f>TBi!R$235</f>
        <v>7034.16</v>
      </c>
      <c r="K482" s="905">
        <f>SUM(E482:J482)</f>
        <v>225752.0080237363</v>
      </c>
      <c r="L482" s="905">
        <f>K482*0.15</f>
        <v>33862.801203560441</v>
      </c>
      <c r="M482" s="906">
        <f>K482+L482</f>
        <v>259614.80922729673</v>
      </c>
      <c r="N482" s="980"/>
      <c r="O482" s="271">
        <f>'DGSP_chitiet (truKH)'!K482</f>
        <v>199686.38805230774</v>
      </c>
      <c r="P482" s="271">
        <f>'DGSP_chitiet (truKH)'!L482</f>
        <v>29952.958207846161</v>
      </c>
      <c r="Q482" s="306">
        <f>'DGSP_chitiet (truKH)'!M482</f>
        <v>229639.34626015389</v>
      </c>
      <c r="R482" s="271">
        <f>'DGSP_chitiet (truKH)'!N482</f>
        <v>0</v>
      </c>
      <c r="S482" s="905">
        <f>(NhanCong!N$126+NhanCong!N$131+NhanCong!N$132+NhanCong!N$133)</f>
        <v>5250.7230769230773</v>
      </c>
      <c r="T482" s="237"/>
      <c r="U482" s="238"/>
    </row>
    <row r="483" spans="1:21">
      <c r="A483" s="242" t="s">
        <v>29</v>
      </c>
      <c r="B483" s="276" t="s">
        <v>205</v>
      </c>
      <c r="C483" s="275"/>
      <c r="D483" s="275"/>
      <c r="E483" s="271"/>
      <c r="F483" s="271"/>
      <c r="G483" s="271"/>
      <c r="H483" s="271"/>
      <c r="I483" s="271"/>
      <c r="J483" s="271"/>
      <c r="K483" s="271"/>
      <c r="L483" s="271"/>
      <c r="M483" s="272">
        <v>100</v>
      </c>
      <c r="N483" s="972" t="s">
        <v>21</v>
      </c>
      <c r="O483" s="271">
        <f>'DGSP_chitiet (truKH)'!K483</f>
        <v>0</v>
      </c>
      <c r="P483" s="271">
        <f>'DGSP_chitiet (truKH)'!L483</f>
        <v>0</v>
      </c>
      <c r="Q483" s="306">
        <f>'DGSP_chitiet (truKH)'!M483</f>
        <v>100</v>
      </c>
      <c r="R483" s="271" t="str">
        <f>'DGSP_chitiet (truKH)'!N483</f>
        <v>ha</v>
      </c>
      <c r="S483" s="271"/>
      <c r="T483" s="237"/>
      <c r="U483" s="238"/>
    </row>
    <row r="484" spans="1:21">
      <c r="A484" s="243"/>
      <c r="B484" s="229"/>
      <c r="C484" s="275" t="s">
        <v>317</v>
      </c>
      <c r="D484" s="274" t="s">
        <v>18</v>
      </c>
      <c r="E484" s="271">
        <f>(NhanCong!Q$126+NhanCong!Q$127+NhanCong!Q$132+NhanCong!Q$133)</f>
        <v>51726.925250000008</v>
      </c>
      <c r="F484" s="271"/>
      <c r="G484" s="905">
        <f>Dcu!O$178</f>
        <v>595.83065914529925</v>
      </c>
      <c r="H484" s="905">
        <f>VLieu!M$117</f>
        <v>1101</v>
      </c>
      <c r="I484" s="905">
        <f>TBi!N$236</f>
        <v>3876.912864285714</v>
      </c>
      <c r="J484" s="905">
        <f>TBi!N$244</f>
        <v>1241.4402</v>
      </c>
      <c r="K484" s="905">
        <f>SUM(E484:J484)</f>
        <v>58542.108973431023</v>
      </c>
      <c r="L484" s="905">
        <f>K484*0.15</f>
        <v>8781.3163460146534</v>
      </c>
      <c r="M484" s="906">
        <f>K484+L484</f>
        <v>67323.425319445669</v>
      </c>
      <c r="N484" s="980"/>
      <c r="O484" s="271">
        <f>'DGSP_chitiet (truKH)'!K484</f>
        <v>54665.196109145305</v>
      </c>
      <c r="P484" s="271">
        <f>'DGSP_chitiet (truKH)'!L484</f>
        <v>8199.7794163717954</v>
      </c>
      <c r="Q484" s="306">
        <f>'DGSP_chitiet (truKH)'!M484</f>
        <v>62864.975525517104</v>
      </c>
      <c r="R484" s="271">
        <f>'DGSP_chitiet (truKH)'!N484</f>
        <v>0</v>
      </c>
      <c r="S484" s="905">
        <f>(NhanCong!R$126+NhanCong!R$127+NhanCong!R$132+NhanCong!R$133)</f>
        <v>1464.4807692307691</v>
      </c>
      <c r="T484" s="237"/>
      <c r="U484" s="238"/>
    </row>
    <row r="485" spans="1:21">
      <c r="A485" s="243"/>
      <c r="B485" s="229"/>
      <c r="C485" s="274"/>
      <c r="D485" s="274" t="s">
        <v>20</v>
      </c>
      <c r="E485" s="271">
        <f>(NhanCong!Q$126+NhanCong!Q$128+NhanCong!Q$132+NhanCong!Q$133)</f>
        <v>58291.604800000008</v>
      </c>
      <c r="F485" s="271"/>
      <c r="G485" s="905">
        <f>Dcu!O$179</f>
        <v>682.06930717948728</v>
      </c>
      <c r="H485" s="905">
        <f>VLieu!M$117</f>
        <v>1101</v>
      </c>
      <c r="I485" s="905">
        <f>TBi!O$236</f>
        <v>4789.8023142857146</v>
      </c>
      <c r="J485" s="905">
        <f>TBi!O$244</f>
        <v>1540.1694</v>
      </c>
      <c r="K485" s="905">
        <f>SUM(E485:J485)</f>
        <v>66404.645821465208</v>
      </c>
      <c r="L485" s="905">
        <f>K485*0.15</f>
        <v>9960.6968732197802</v>
      </c>
      <c r="M485" s="906">
        <f>K485+L485</f>
        <v>76365.342694684994</v>
      </c>
      <c r="N485" s="980"/>
      <c r="O485" s="271">
        <f>'DGSP_chitiet (truKH)'!K485</f>
        <v>61614.843507179496</v>
      </c>
      <c r="P485" s="271">
        <f>'DGSP_chitiet (truKH)'!L485</f>
        <v>9242.2265260769236</v>
      </c>
      <c r="Q485" s="306">
        <f>'DGSP_chitiet (truKH)'!M485</f>
        <v>70857.070033256416</v>
      </c>
      <c r="R485" s="271">
        <f>'DGSP_chitiet (truKH)'!N485</f>
        <v>0</v>
      </c>
      <c r="S485" s="905">
        <f>(NhanCong!R$126+NhanCong!R$128+NhanCong!R$132+NhanCong!R$133)</f>
        <v>1650.3384615384614</v>
      </c>
      <c r="T485" s="237"/>
      <c r="U485" s="238"/>
    </row>
    <row r="486" spans="1:21">
      <c r="A486" s="243"/>
      <c r="B486" s="229"/>
      <c r="C486" s="274"/>
      <c r="D486" s="274" t="s">
        <v>35</v>
      </c>
      <c r="E486" s="271">
        <f>(NhanCong!Q$126+NhanCong!Q$129+NhanCong!Q$132+NhanCong!Q$133)</f>
        <v>65818.645750000011</v>
      </c>
      <c r="F486" s="271"/>
      <c r="G486" s="905">
        <f>Dcu!O$180</f>
        <v>783.98770940170948</v>
      </c>
      <c r="H486" s="905">
        <f>VLieu!M$117</f>
        <v>1101</v>
      </c>
      <c r="I486" s="905">
        <f>TBi!P$236</f>
        <v>6322.0746857142849</v>
      </c>
      <c r="J486" s="905">
        <f>TBi!P$244</f>
        <v>2031.8928000000001</v>
      </c>
      <c r="K486" s="905">
        <f>SUM(E486:J486)</f>
        <v>76057.600945116006</v>
      </c>
      <c r="L486" s="905">
        <f>K486*0.15</f>
        <v>11408.640141767401</v>
      </c>
      <c r="M486" s="906">
        <f>K486+L486</f>
        <v>87466.241086883412</v>
      </c>
      <c r="N486" s="980"/>
      <c r="O486" s="271">
        <f>'DGSP_chitiet (truKH)'!K486</f>
        <v>69735.526259401726</v>
      </c>
      <c r="P486" s="271">
        <f>'DGSP_chitiet (truKH)'!L486</f>
        <v>10460.328938910259</v>
      </c>
      <c r="Q486" s="306">
        <f>'DGSP_chitiet (truKH)'!M486</f>
        <v>80195.855198311983</v>
      </c>
      <c r="R486" s="271">
        <f>'DGSP_chitiet (truKH)'!N486</f>
        <v>0</v>
      </c>
      <c r="S486" s="905">
        <f>(NhanCong!R$126+NhanCong!R$129+NhanCong!R$132+NhanCong!R$133)</f>
        <v>1863.4423076923078</v>
      </c>
      <c r="T486" s="237"/>
      <c r="U486" s="238"/>
    </row>
    <row r="487" spans="1:21">
      <c r="A487" s="243"/>
      <c r="B487" s="229"/>
      <c r="C487" s="274"/>
      <c r="D487" s="274" t="s">
        <v>33</v>
      </c>
      <c r="E487" s="271">
        <f>(NhanCong!Q$126+NhanCong!Q$130+NhanCong!Q$132+NhanCong!Q$133)</f>
        <v>74479.898350000018</v>
      </c>
      <c r="F487" s="271"/>
      <c r="G487" s="905">
        <f>Dcu!O$181</f>
        <v>901.58586581196585</v>
      </c>
      <c r="H487" s="905">
        <f>VLieu!M$117</f>
        <v>1101</v>
      </c>
      <c r="I487" s="905">
        <f>TBi!Q$236</f>
        <v>7354.7002928571428</v>
      </c>
      <c r="J487" s="905">
        <f>TBi!Q$244</f>
        <v>2353.5498000000002</v>
      </c>
      <c r="K487" s="905">
        <f>SUM(E487:J487)</f>
        <v>86190.734308669125</v>
      </c>
      <c r="L487" s="905">
        <f>K487*0.15</f>
        <v>12928.610146300369</v>
      </c>
      <c r="M487" s="906">
        <f>K487+L487</f>
        <v>99119.344454969498</v>
      </c>
      <c r="N487" s="980"/>
      <c r="O487" s="271">
        <f>'DGSP_chitiet (truKH)'!K487</f>
        <v>78836.03401581198</v>
      </c>
      <c r="P487" s="271">
        <f>'DGSP_chitiet (truKH)'!L487</f>
        <v>11825.405102371797</v>
      </c>
      <c r="Q487" s="306">
        <f>'DGSP_chitiet (truKH)'!M487</f>
        <v>90661.439118183771</v>
      </c>
      <c r="R487" s="271">
        <f>'DGSP_chitiet (truKH)'!N487</f>
        <v>0</v>
      </c>
      <c r="S487" s="905">
        <f>(NhanCong!R$126+NhanCong!R$130+NhanCong!R$132+NhanCong!R$133)</f>
        <v>2108.6576923076923</v>
      </c>
      <c r="T487" s="237"/>
      <c r="U487" s="238"/>
    </row>
    <row r="488" spans="1:21">
      <c r="A488" s="243"/>
      <c r="B488" s="229"/>
      <c r="C488" s="274"/>
      <c r="D488" s="274" t="s">
        <v>13</v>
      </c>
      <c r="E488" s="271">
        <f>(NhanCong!Q$126+NhanCong!Q$131+NhanCong!Q$132+NhanCong!Q$133)</f>
        <v>84447.212850000011</v>
      </c>
      <c r="F488" s="271"/>
      <c r="G488" s="905">
        <f>Dcu!O$182</f>
        <v>1034.8637764102566</v>
      </c>
      <c r="H488" s="905">
        <f>VLieu!M$117</f>
        <v>1101</v>
      </c>
      <c r="I488" s="905">
        <f>TBi!R$236</f>
        <v>9142.9525428571433</v>
      </c>
      <c r="J488" s="905">
        <f>TBi!R$244</f>
        <v>2912.7209999999995</v>
      </c>
      <c r="K488" s="905">
        <f>SUM(E488:J488)</f>
        <v>98638.750169267427</v>
      </c>
      <c r="L488" s="905">
        <f>K488*0.15</f>
        <v>14795.812525390113</v>
      </c>
      <c r="M488" s="906">
        <f>K488+L488</f>
        <v>113434.56269465754</v>
      </c>
      <c r="N488" s="980"/>
      <c r="O488" s="271">
        <f>'DGSP_chitiet (truKH)'!K488</f>
        <v>89495.797626410276</v>
      </c>
      <c r="P488" s="271">
        <f>'DGSP_chitiet (truKH)'!L488</f>
        <v>13424.369643961541</v>
      </c>
      <c r="Q488" s="306">
        <f>'DGSP_chitiet (truKH)'!M488</f>
        <v>102920.16727037182</v>
      </c>
      <c r="R488" s="271">
        <f>'DGSP_chitiet (truKH)'!N488</f>
        <v>0</v>
      </c>
      <c r="S488" s="905">
        <f>(NhanCong!R$126+NhanCong!R$131+NhanCong!R$132+NhanCong!R$133)</f>
        <v>2390.85</v>
      </c>
      <c r="T488" s="237"/>
      <c r="U488" s="238"/>
    </row>
    <row r="489" spans="1:21">
      <c r="A489" s="242" t="s">
        <v>30</v>
      </c>
      <c r="B489" s="276" t="s">
        <v>206</v>
      </c>
      <c r="C489" s="275"/>
      <c r="D489" s="275"/>
      <c r="E489" s="271"/>
      <c r="F489" s="271"/>
      <c r="G489" s="271"/>
      <c r="H489" s="271"/>
      <c r="I489" s="271"/>
      <c r="J489" s="271"/>
      <c r="K489" s="271"/>
      <c r="L489" s="271"/>
      <c r="M489" s="272">
        <v>900</v>
      </c>
      <c r="N489" s="972" t="s">
        <v>21</v>
      </c>
      <c r="O489" s="271">
        <f>'DGSP_chitiet (truKH)'!K489</f>
        <v>0</v>
      </c>
      <c r="P489" s="271">
        <f>'DGSP_chitiet (truKH)'!L489</f>
        <v>0</v>
      </c>
      <c r="Q489" s="306">
        <f>'DGSP_chitiet (truKH)'!M489</f>
        <v>900</v>
      </c>
      <c r="R489" s="271" t="str">
        <f>'DGSP_chitiet (truKH)'!N489</f>
        <v>ha</v>
      </c>
      <c r="S489" s="271"/>
      <c r="T489" s="237"/>
      <c r="U489" s="238"/>
    </row>
    <row r="490" spans="1:21">
      <c r="A490" s="243"/>
      <c r="B490" s="229"/>
      <c r="C490" s="275" t="s">
        <v>317</v>
      </c>
      <c r="D490" s="274" t="s">
        <v>18</v>
      </c>
      <c r="E490" s="271">
        <f>(NhanCong!U$126+NhanCong!U$127+NhanCong!U$132+NhanCong!U$133)</f>
        <v>9967.3145000000022</v>
      </c>
      <c r="F490" s="271"/>
      <c r="G490" s="905">
        <f>Dcu!P$178</f>
        <v>104.53232886989554</v>
      </c>
      <c r="H490" s="905">
        <f>VLieu!N$117</f>
        <v>122.33333333333333</v>
      </c>
      <c r="I490" s="905">
        <f>TBi!N$245</f>
        <v>745.40651428571425</v>
      </c>
      <c r="J490" s="905">
        <f>TBi!N$253</f>
        <v>237.04426666666666</v>
      </c>
      <c r="K490" s="905">
        <f>SUM(E490:J490)</f>
        <v>11176.630943155611</v>
      </c>
      <c r="L490" s="905">
        <f>K490*0.15</f>
        <v>1676.4946414733415</v>
      </c>
      <c r="M490" s="906">
        <f>K490+L490</f>
        <v>12853.125584628953</v>
      </c>
      <c r="N490" s="905"/>
      <c r="O490" s="271">
        <f>'DGSP_chitiet (truKH)'!K490</f>
        <v>10431.224428869897</v>
      </c>
      <c r="P490" s="271">
        <f>'DGSP_chitiet (truKH)'!L490</f>
        <v>1564.6836643304844</v>
      </c>
      <c r="Q490" s="306">
        <f>'DGSP_chitiet (truKH)'!M490</f>
        <v>11995.908093200382</v>
      </c>
      <c r="R490" s="271">
        <f>'DGSP_chitiet (truKH)'!N490</f>
        <v>0</v>
      </c>
      <c r="S490" s="905">
        <f>(NhanCong!V$126+NhanCong!V$127+NhanCong!V$132+NhanCong!V$133)</f>
        <v>282.19230769230762</v>
      </c>
      <c r="T490" s="237"/>
      <c r="U490" s="238"/>
    </row>
    <row r="491" spans="1:21">
      <c r="A491" s="243"/>
      <c r="B491" s="229"/>
      <c r="C491" s="274"/>
      <c r="D491" s="274" t="s">
        <v>20</v>
      </c>
      <c r="E491" s="271">
        <f>(NhanCong!U$126+NhanCong!U$128+NhanCong!U$132+NhanCong!U$133)</f>
        <v>11296.28976666667</v>
      </c>
      <c r="F491" s="271"/>
      <c r="G491" s="905">
        <f>Dcu!P$179</f>
        <v>119.66200804843304</v>
      </c>
      <c r="H491" s="905">
        <f>VLieu!N$117</f>
        <v>122.33333333333333</v>
      </c>
      <c r="I491" s="905">
        <f>TBi!O$245</f>
        <v>980.23466190476177</v>
      </c>
      <c r="J491" s="905">
        <f>TBi!O$253</f>
        <v>313.12399999999997</v>
      </c>
      <c r="K491" s="905">
        <f>SUM(E491:J491)</f>
        <v>12831.6437699532</v>
      </c>
      <c r="L491" s="905">
        <f>K491*0.15</f>
        <v>1924.7465654929799</v>
      </c>
      <c r="M491" s="906">
        <f>K491+L491</f>
        <v>14756.39033544618</v>
      </c>
      <c r="N491" s="905"/>
      <c r="O491" s="271">
        <f>'DGSP_chitiet (truKH)'!K491</f>
        <v>11851.409108048438</v>
      </c>
      <c r="P491" s="271">
        <f>'DGSP_chitiet (truKH)'!L491</f>
        <v>1777.7113662072657</v>
      </c>
      <c r="Q491" s="306">
        <f>'DGSP_chitiet (truKH)'!M491</f>
        <v>13629.120474255704</v>
      </c>
      <c r="R491" s="271">
        <f>'DGSP_chitiet (truKH)'!N491</f>
        <v>0</v>
      </c>
      <c r="S491" s="905">
        <f>(NhanCong!V$126+NhanCong!V$128+NhanCong!V$132+NhanCong!V$133)</f>
        <v>319.8179487179487</v>
      </c>
      <c r="T491" s="237"/>
      <c r="U491" s="238"/>
    </row>
    <row r="492" spans="1:21">
      <c r="A492" s="243"/>
      <c r="B492" s="229"/>
      <c r="C492" s="274"/>
      <c r="D492" s="274" t="s">
        <v>35</v>
      </c>
      <c r="E492" s="271">
        <f>(NhanCong!U$126+NhanCong!U$129+NhanCong!U$132+NhanCong!U$133)</f>
        <v>12827.666438888891</v>
      </c>
      <c r="F492" s="271"/>
      <c r="G492" s="905">
        <f>Dcu!P$180</f>
        <v>137.54253798670464</v>
      </c>
      <c r="H492" s="905">
        <f>VLieu!N$117</f>
        <v>122.33333333333333</v>
      </c>
      <c r="I492" s="905">
        <f>TBi!P$245</f>
        <v>1171.2626928571428</v>
      </c>
      <c r="J492" s="905">
        <f>TBi!P$253</f>
        <v>373.02813333333336</v>
      </c>
      <c r="K492" s="905">
        <f>SUM(E492:J492)</f>
        <v>14631.833136399406</v>
      </c>
      <c r="L492" s="905">
        <f>K492*0.15</f>
        <v>2194.7749704599109</v>
      </c>
      <c r="M492" s="906">
        <f>K492+L492</f>
        <v>16826.608106859316</v>
      </c>
      <c r="N492" s="905"/>
      <c r="O492" s="271">
        <f>'DGSP_chitiet (truKH)'!K492</f>
        <v>13460.570443542263</v>
      </c>
      <c r="P492" s="271">
        <f>'DGSP_chitiet (truKH)'!L492</f>
        <v>2019.0855665313393</v>
      </c>
      <c r="Q492" s="306">
        <f>'DGSP_chitiet (truKH)'!M492</f>
        <v>15479.656010073602</v>
      </c>
      <c r="R492" s="271">
        <f>'DGSP_chitiet (truKH)'!N492</f>
        <v>0</v>
      </c>
      <c r="S492" s="905">
        <f>(NhanCong!V$126+NhanCong!V$129+NhanCong!V$132+NhanCong!V$133)</f>
        <v>363.17393162393154</v>
      </c>
      <c r="T492" s="237"/>
      <c r="U492" s="238"/>
    </row>
    <row r="493" spans="1:21">
      <c r="A493" s="243"/>
      <c r="B493" s="229"/>
      <c r="C493" s="274"/>
      <c r="D493" s="274" t="s">
        <v>33</v>
      </c>
      <c r="E493" s="271">
        <f>(NhanCong!U$126+NhanCong!U$130+NhanCong!U$132+NhanCong!U$133)</f>
        <v>14588.17677777778</v>
      </c>
      <c r="F493" s="271"/>
      <c r="G493" s="905">
        <f>Dcu!P$181</f>
        <v>158.17391868471032</v>
      </c>
      <c r="H493" s="905">
        <f>VLieu!N$117</f>
        <v>122.33333333333333</v>
      </c>
      <c r="I493" s="905">
        <f>TBi!Q$245</f>
        <v>1401.003676984127</v>
      </c>
      <c r="J493" s="905">
        <f>TBi!Q$253</f>
        <v>444.80426666666671</v>
      </c>
      <c r="K493" s="905">
        <f>SUM(E493:J493)</f>
        <v>16714.491973446617</v>
      </c>
      <c r="L493" s="905">
        <f>K493*0.15</f>
        <v>2507.1737960169926</v>
      </c>
      <c r="M493" s="906">
        <f>K493+L493</f>
        <v>19221.665769463609</v>
      </c>
      <c r="N493" s="905"/>
      <c r="O493" s="271">
        <f>'DGSP_chitiet (truKH)'!K493</f>
        <v>15313.48829646249</v>
      </c>
      <c r="P493" s="271">
        <f>'DGSP_chitiet (truKH)'!L493</f>
        <v>2297.0232444693734</v>
      </c>
      <c r="Q493" s="306">
        <f>'DGSP_chitiet (truKH)'!M493</f>
        <v>17610.511540931864</v>
      </c>
      <c r="R493" s="271">
        <f>'DGSP_chitiet (truKH)'!N493</f>
        <v>0</v>
      </c>
      <c r="S493" s="905">
        <f>(NhanCong!V$126+NhanCong!V$130+NhanCong!V$132+NhanCong!V$133)</f>
        <v>413.01709401709394</v>
      </c>
      <c r="T493" s="237"/>
      <c r="U493" s="238"/>
    </row>
    <row r="494" spans="1:21">
      <c r="A494" s="242">
        <v>2</v>
      </c>
      <c r="B494" s="276" t="str">
        <f>NhanCong!B134</f>
        <v>Chuyển đổi bản đồi số dạng vector từ hệ HN-72 sang hệ VN-2000</v>
      </c>
      <c r="C494" s="275"/>
      <c r="D494" s="275"/>
      <c r="E494" s="271"/>
      <c r="F494" s="271"/>
      <c r="G494" s="271"/>
      <c r="H494" s="271"/>
      <c r="I494" s="271"/>
      <c r="J494" s="271"/>
      <c r="K494" s="271"/>
      <c r="L494" s="271"/>
      <c r="M494" s="971"/>
      <c r="N494" s="972"/>
      <c r="O494" s="271">
        <f>'DGSP_chitiet (truKH)'!K494</f>
        <v>0</v>
      </c>
      <c r="P494" s="271">
        <f>'DGSP_chitiet (truKH)'!L494</f>
        <v>0</v>
      </c>
      <c r="Q494" s="306">
        <f>'DGSP_chitiet (truKH)'!M494</f>
        <v>0</v>
      </c>
      <c r="R494" s="271">
        <f>'DGSP_chitiet (truKH)'!N494</f>
        <v>0</v>
      </c>
      <c r="S494" s="271"/>
    </row>
    <row r="495" spans="1:21">
      <c r="A495" s="242" t="s">
        <v>27</v>
      </c>
      <c r="B495" s="276" t="s">
        <v>203</v>
      </c>
      <c r="C495" s="275"/>
      <c r="D495" s="275"/>
      <c r="E495" s="271"/>
      <c r="F495" s="271"/>
      <c r="G495" s="271"/>
      <c r="H495" s="271"/>
      <c r="I495" s="271"/>
      <c r="J495" s="271"/>
      <c r="K495" s="271"/>
      <c r="L495" s="271"/>
      <c r="M495" s="971">
        <v>6.25</v>
      </c>
      <c r="N495" s="972" t="s">
        <v>21</v>
      </c>
      <c r="O495" s="271">
        <f>'DGSP_chitiet (truKH)'!K495</f>
        <v>0</v>
      </c>
      <c r="P495" s="271">
        <f>'DGSP_chitiet (truKH)'!L495</f>
        <v>0</v>
      </c>
      <c r="Q495" s="306">
        <f>'DGSP_chitiet (truKH)'!M495</f>
        <v>6.25</v>
      </c>
      <c r="R495" s="271" t="str">
        <f>'DGSP_chitiet (truKH)'!N495</f>
        <v>ha</v>
      </c>
      <c r="S495" s="271"/>
    </row>
    <row r="496" spans="1:21">
      <c r="A496" s="243"/>
      <c r="B496" s="229"/>
      <c r="C496" s="275" t="s">
        <v>317</v>
      </c>
      <c r="D496" s="274" t="s">
        <v>18</v>
      </c>
      <c r="E496" s="271">
        <f>(NhanCong!I$135+NhanCong!I$137+NhanCong!I$142+NhanCong!I$143+NhanCong!I$144)/M$495</f>
        <v>318542.58480000007</v>
      </c>
      <c r="F496" s="271"/>
      <c r="G496" s="905">
        <f>Dcu!Q$178*0.65/M$495</f>
        <v>2414.3856711111116</v>
      </c>
      <c r="H496" s="905">
        <f>VLieu!O$120/M$495</f>
        <v>9441.5999999999985</v>
      </c>
      <c r="I496" s="905">
        <f>TBi!N$256/M$495</f>
        <v>14625.994399999998</v>
      </c>
      <c r="J496" s="905">
        <f>TBi!N$263/M$495</f>
        <v>4013.9232000000002</v>
      </c>
      <c r="K496" s="905">
        <f>SUM(E496:J496)</f>
        <v>349038.48807111121</v>
      </c>
      <c r="L496" s="905">
        <f>K496*0.15</f>
        <v>52355.773210666681</v>
      </c>
      <c r="M496" s="906">
        <f>K496+L496</f>
        <v>401394.26128177787</v>
      </c>
      <c r="N496" s="980"/>
      <c r="O496" s="271">
        <f>'DGSP_chitiet (truKH)'!K496</f>
        <v>334412.49367111118</v>
      </c>
      <c r="P496" s="271">
        <f>'DGSP_chitiet (truKH)'!L496</f>
        <v>50161.874050666673</v>
      </c>
      <c r="Q496" s="306">
        <f>'DGSP_chitiet (truKH)'!M496</f>
        <v>384574.36772177787</v>
      </c>
      <c r="R496" s="271">
        <f>'DGSP_chitiet (truKH)'!N496</f>
        <v>0</v>
      </c>
      <c r="S496" s="271">
        <f>(NhanCong!J$135+NhanCong!J$137+NhanCong!J$142+NhanCong!J$143+NhanCong!J$144)/M$495</f>
        <v>9045.7230769230755</v>
      </c>
    </row>
    <row r="497" spans="1:19">
      <c r="A497" s="243"/>
      <c r="B497" s="229"/>
      <c r="C497" s="274"/>
      <c r="D497" s="274" t="s">
        <v>20</v>
      </c>
      <c r="E497" s="271">
        <f>(NhanCong!I$135+NhanCong!I$138+NhanCong!I$142+NhanCong!I$143+NhanCong!I$144)/M$495</f>
        <v>336140.05040000007</v>
      </c>
      <c r="F497" s="271"/>
      <c r="G497" s="905">
        <f>Dcu!Q$179*0.65/M$495</f>
        <v>2716.1838800000005</v>
      </c>
      <c r="H497" s="905">
        <f>VLieu!O$120/M$495</f>
        <v>9441.5999999999985</v>
      </c>
      <c r="I497" s="905">
        <f>TBi!O$256/M$495</f>
        <v>16108.060685714285</v>
      </c>
      <c r="J497" s="905">
        <f>TBi!O$263/M$495</f>
        <v>4473.3696</v>
      </c>
      <c r="K497" s="905">
        <f>SUM(E497:J497)</f>
        <v>368879.26456571434</v>
      </c>
      <c r="L497" s="905">
        <f>K497*0.15</f>
        <v>55331.889684857153</v>
      </c>
      <c r="M497" s="906">
        <f>K497+L497</f>
        <v>424211.1542505715</v>
      </c>
      <c r="N497" s="980"/>
      <c r="O497" s="271">
        <f>'DGSP_chitiet (truKH)'!K497</f>
        <v>352771.20388000004</v>
      </c>
      <c r="P497" s="271">
        <f>'DGSP_chitiet (truKH)'!L497</f>
        <v>52915.680582000008</v>
      </c>
      <c r="Q497" s="306">
        <f>'DGSP_chitiet (truKH)'!M497</f>
        <v>405686.88446200005</v>
      </c>
      <c r="R497" s="271">
        <f>'DGSP_chitiet (truKH)'!N497</f>
        <v>0</v>
      </c>
      <c r="S497" s="271">
        <f>(NhanCong!J$135+NhanCong!J$138+NhanCong!J$142+NhanCong!J$143+NhanCong!J$144)/M$495</f>
        <v>9543.9384615384606</v>
      </c>
    </row>
    <row r="498" spans="1:19">
      <c r="A498" s="243"/>
      <c r="B498" s="229"/>
      <c r="C498" s="274"/>
      <c r="D498" s="274" t="s">
        <v>35</v>
      </c>
      <c r="E498" s="271">
        <f>(NhanCong!I$135+NhanCong!I$139+NhanCong!I$142+NhanCong!I$143+NhanCong!I$144)/M$495</f>
        <v>353737.51600000006</v>
      </c>
      <c r="F498" s="271"/>
      <c r="G498" s="905">
        <f>Dcu!Q$180*0.65/M$495</f>
        <v>3017.9820888888894</v>
      </c>
      <c r="H498" s="905">
        <f>VLieu!O$120/M$495</f>
        <v>9441.5999999999985</v>
      </c>
      <c r="I498" s="905">
        <f>TBi!P$256/M$495</f>
        <v>17777.897599999997</v>
      </c>
      <c r="J498" s="905">
        <f>TBi!P$263/M$495</f>
        <v>4886.5151999999998</v>
      </c>
      <c r="K498" s="905">
        <f>SUM(E498:J498)</f>
        <v>388861.51088888897</v>
      </c>
      <c r="L498" s="905">
        <f>K498*0.15</f>
        <v>58329.226633333346</v>
      </c>
      <c r="M498" s="906">
        <f>K498+L498</f>
        <v>447190.73752222233</v>
      </c>
      <c r="N498" s="980"/>
      <c r="O498" s="271">
        <f>'DGSP_chitiet (truKH)'!K498</f>
        <v>371083.61328888894</v>
      </c>
      <c r="P498" s="271">
        <f>'DGSP_chitiet (truKH)'!L498</f>
        <v>55662.54199333334</v>
      </c>
      <c r="Q498" s="306">
        <f>'DGSP_chitiet (truKH)'!M498</f>
        <v>426746.15528222226</v>
      </c>
      <c r="R498" s="271">
        <f>'DGSP_chitiet (truKH)'!N498</f>
        <v>0</v>
      </c>
      <c r="S498" s="271">
        <f>(NhanCong!J$135+NhanCong!J$139+NhanCong!J$142+NhanCong!J$143+NhanCong!J$144)/M$495</f>
        <v>10042.153846153846</v>
      </c>
    </row>
    <row r="499" spans="1:19">
      <c r="A499" s="243"/>
      <c r="B499" s="229"/>
      <c r="C499" s="274"/>
      <c r="D499" s="274" t="s">
        <v>33</v>
      </c>
      <c r="E499" s="271">
        <f>(NhanCong!I$135+NhanCong!I$140+NhanCong!I$142+NhanCong!I$143+NhanCong!I$144)/M$495</f>
        <v>371334.98160000006</v>
      </c>
      <c r="F499" s="271"/>
      <c r="G499" s="905">
        <f>Dcu!Q$181*0.65/M$495</f>
        <v>3319.7802977777783</v>
      </c>
      <c r="H499" s="905">
        <f>VLieu!O$120/M$495</f>
        <v>9441.5999999999985</v>
      </c>
      <c r="I499" s="905">
        <f>TBi!Q$256/M$495</f>
        <v>19451.698514285716</v>
      </c>
      <c r="J499" s="905">
        <f>TBi!Q$263/M$495</f>
        <v>5363.7695999999996</v>
      </c>
      <c r="K499" s="905">
        <f>SUM(E499:J499)</f>
        <v>408911.83001206355</v>
      </c>
      <c r="L499" s="905">
        <f>K499*0.15</f>
        <v>61336.77450180953</v>
      </c>
      <c r="M499" s="906">
        <f>K499+L499</f>
        <v>470248.60451387311</v>
      </c>
      <c r="N499" s="980"/>
      <c r="O499" s="271">
        <f>'DGSP_chitiet (truKH)'!K499</f>
        <v>389460.13149777782</v>
      </c>
      <c r="P499" s="271">
        <f>'DGSP_chitiet (truKH)'!L499</f>
        <v>58419.019724666672</v>
      </c>
      <c r="Q499" s="306">
        <f>'DGSP_chitiet (truKH)'!M499</f>
        <v>447879.15122244449</v>
      </c>
      <c r="R499" s="271">
        <f>'DGSP_chitiet (truKH)'!N499</f>
        <v>0</v>
      </c>
      <c r="S499" s="271">
        <f>(NhanCong!J$135+NhanCong!J$140+NhanCong!J$142+NhanCong!J$143+NhanCong!J$144)/M$495</f>
        <v>10540.369230769231</v>
      </c>
    </row>
    <row r="500" spans="1:19">
      <c r="A500" s="243"/>
      <c r="B500" s="229"/>
      <c r="C500" s="274"/>
      <c r="D500" s="274" t="s">
        <v>13</v>
      </c>
      <c r="E500" s="271">
        <f>(NhanCong!I$135+NhanCong!I$141+NhanCong!I$142+NhanCong!I$143+NhanCong!I$144)/M$495</f>
        <v>397731.18000000005</v>
      </c>
      <c r="F500" s="271"/>
      <c r="G500" s="905">
        <f>Dcu!Q$182*0.65/M$495</f>
        <v>3923.3767155555565</v>
      </c>
      <c r="H500" s="905">
        <f>VLieu!O$120/M$495</f>
        <v>9441.5999999999985</v>
      </c>
      <c r="I500" s="905">
        <f>TBi!R$256/M$495</f>
        <v>20360.884342857142</v>
      </c>
      <c r="J500" s="905">
        <f>TBi!R$263/M$495</f>
        <v>5613.0816000000004</v>
      </c>
      <c r="K500" s="905">
        <f>SUM(E500:J500)</f>
        <v>437070.12265841273</v>
      </c>
      <c r="L500" s="905">
        <f>K500*0.15</f>
        <v>65560.518398761909</v>
      </c>
      <c r="M500" s="906">
        <f>K500+L500</f>
        <v>502630.64105717465</v>
      </c>
      <c r="N500" s="980"/>
      <c r="O500" s="271">
        <f>'DGSP_chitiet (truKH)'!K500</f>
        <v>416709.23831555556</v>
      </c>
      <c r="P500" s="271">
        <f>'DGSP_chitiet (truKH)'!L500</f>
        <v>62506.385747333334</v>
      </c>
      <c r="Q500" s="306">
        <f>'DGSP_chitiet (truKH)'!M500</f>
        <v>479215.62406288891</v>
      </c>
      <c r="R500" s="271">
        <f>'DGSP_chitiet (truKH)'!N500</f>
        <v>0</v>
      </c>
      <c r="S500" s="271">
        <f>(NhanCong!J$135+NhanCong!J$141+NhanCong!J$142+NhanCong!J$143+NhanCong!J$144)/M$495</f>
        <v>11287.692307692307</v>
      </c>
    </row>
    <row r="501" spans="1:19">
      <c r="A501" s="242" t="s">
        <v>28</v>
      </c>
      <c r="B501" s="276" t="s">
        <v>204</v>
      </c>
      <c r="C501" s="275"/>
      <c r="D501" s="275"/>
      <c r="E501" s="271"/>
      <c r="F501" s="271"/>
      <c r="G501" s="271"/>
      <c r="H501" s="271"/>
      <c r="I501" s="271"/>
      <c r="J501" s="271"/>
      <c r="K501" s="271"/>
      <c r="L501" s="271"/>
      <c r="M501" s="272">
        <v>25</v>
      </c>
      <c r="N501" s="972" t="s">
        <v>21</v>
      </c>
      <c r="O501" s="271">
        <f>'DGSP_chitiet (truKH)'!K501</f>
        <v>0</v>
      </c>
      <c r="P501" s="271">
        <f>'DGSP_chitiet (truKH)'!L501</f>
        <v>0</v>
      </c>
      <c r="Q501" s="306">
        <f>'DGSP_chitiet (truKH)'!M501</f>
        <v>25</v>
      </c>
      <c r="R501" s="271" t="str">
        <f>'DGSP_chitiet (truKH)'!N501</f>
        <v>ha</v>
      </c>
      <c r="S501" s="271"/>
    </row>
    <row r="502" spans="1:19">
      <c r="A502" s="243"/>
      <c r="B502" s="229"/>
      <c r="C502" s="275" t="s">
        <v>317</v>
      </c>
      <c r="D502" s="274" t="s">
        <v>18</v>
      </c>
      <c r="E502" s="271">
        <f>(NhanCong!M$135+NhanCong!M$137+NhanCong!M$142+NhanCong!M$143+NhanCong!M$144)/M$501</f>
        <v>93933.587000000014</v>
      </c>
      <c r="F502" s="271"/>
      <c r="G502" s="905">
        <f>Dcu!Q$178*0.8/M$501</f>
        <v>742.88789880341892</v>
      </c>
      <c r="H502" s="905">
        <f>VLieu!O$120/M$501</f>
        <v>2360.3999999999996</v>
      </c>
      <c r="I502" s="905">
        <f>TBi!N$264/M$501</f>
        <v>4592.1512000000002</v>
      </c>
      <c r="J502" s="905">
        <f>TBi!N$271/M$501</f>
        <v>1180.6704</v>
      </c>
      <c r="K502" s="905">
        <f>SUM(E502:J502)</f>
        <v>102809.69649880342</v>
      </c>
      <c r="L502" s="905">
        <f>K502*0.15</f>
        <v>15421.454474820512</v>
      </c>
      <c r="M502" s="906">
        <f>K502+L502</f>
        <v>118231.15097362392</v>
      </c>
      <c r="N502" s="905"/>
      <c r="O502" s="271">
        <f>'DGSP_chitiet (truKH)'!K502</f>
        <v>98217.545298803423</v>
      </c>
      <c r="P502" s="271">
        <f>'DGSP_chitiet (truKH)'!L502</f>
        <v>14732.631794820512</v>
      </c>
      <c r="Q502" s="306">
        <f>'DGSP_chitiet (truKH)'!M502</f>
        <v>112950.17709362393</v>
      </c>
      <c r="R502" s="271">
        <f>'DGSP_chitiet (truKH)'!N502</f>
        <v>0</v>
      </c>
      <c r="S502" s="271">
        <f>(NhanCong!N$135+NhanCong!N$137+NhanCong!N$142+NhanCong!N$143+NhanCong!N$144)/M$501</f>
        <v>2666.2307692307695</v>
      </c>
    </row>
    <row r="503" spans="1:19">
      <c r="A503" s="243"/>
      <c r="B503" s="229"/>
      <c r="C503" s="274"/>
      <c r="D503" s="274" t="s">
        <v>20</v>
      </c>
      <c r="E503" s="271">
        <f>(NhanCong!M$135+NhanCong!M$138+NhanCong!M$142+NhanCong!M$143+NhanCong!M$144)/M$501</f>
        <v>99432.794999999998</v>
      </c>
      <c r="F503" s="271"/>
      <c r="G503" s="905">
        <f>Dcu!Q$179*0.8/M$501</f>
        <v>835.74888615384634</v>
      </c>
      <c r="H503" s="905">
        <f>VLieu!O$120/M$501</f>
        <v>2360.3999999999996</v>
      </c>
      <c r="I503" s="905">
        <f>TBi!O$264/M$501</f>
        <v>5009.6104285714282</v>
      </c>
      <c r="J503" s="905">
        <f>TBi!O$271/M$501</f>
        <v>1234.0944</v>
      </c>
      <c r="K503" s="905">
        <f>SUM(E503:J503)</f>
        <v>108872.64871472526</v>
      </c>
      <c r="L503" s="905">
        <f>K503*0.15</f>
        <v>16330.897307208788</v>
      </c>
      <c r="M503" s="906">
        <f>K503+L503</f>
        <v>125203.54602193405</v>
      </c>
      <c r="N503" s="905"/>
      <c r="O503" s="271">
        <f>'DGSP_chitiet (truKH)'!K503</f>
        <v>103863.03828615384</v>
      </c>
      <c r="P503" s="271">
        <f>'DGSP_chitiet (truKH)'!L503</f>
        <v>15579.455742923075</v>
      </c>
      <c r="Q503" s="306">
        <f>'DGSP_chitiet (truKH)'!M503</f>
        <v>119442.49402907692</v>
      </c>
      <c r="R503" s="271">
        <f>'DGSP_chitiet (truKH)'!N503</f>
        <v>0</v>
      </c>
      <c r="S503" s="271">
        <f>(NhanCong!N$135+NhanCong!N$138+NhanCong!N$142+NhanCong!N$143+NhanCong!N$144)/M$501</f>
        <v>2821.9230769230767</v>
      </c>
    </row>
    <row r="504" spans="1:19">
      <c r="A504" s="243"/>
      <c r="B504" s="229"/>
      <c r="C504" s="274"/>
      <c r="D504" s="274" t="s">
        <v>35</v>
      </c>
      <c r="E504" s="271">
        <f>(NhanCong!M$135+NhanCong!M$139+NhanCong!M$142+NhanCong!M$143+NhanCong!M$144)/M$501</f>
        <v>104932.00300000001</v>
      </c>
      <c r="F504" s="271"/>
      <c r="G504" s="905">
        <f>Dcu!Q$180*0.8/M$501</f>
        <v>928.60987350427376</v>
      </c>
      <c r="H504" s="905">
        <f>VLieu!O$120/M$501</f>
        <v>2360.3999999999996</v>
      </c>
      <c r="I504" s="905">
        <f>TBi!P$264/M$501</f>
        <v>5548.2796857142857</v>
      </c>
      <c r="J504" s="905">
        <f>TBi!P$271/M$501</f>
        <v>1419.2976000000001</v>
      </c>
      <c r="K504" s="905">
        <f>SUM(E504:J504)</f>
        <v>115188.59015921857</v>
      </c>
      <c r="L504" s="905">
        <f>K504*0.15</f>
        <v>17278.288523882784</v>
      </c>
      <c r="M504" s="906">
        <f>K504+L504</f>
        <v>132466.87868310136</v>
      </c>
      <c r="N504" s="905"/>
      <c r="O504" s="271">
        <f>'DGSP_chitiet (truKH)'!K504</f>
        <v>109640.31047350429</v>
      </c>
      <c r="P504" s="271">
        <f>'DGSP_chitiet (truKH)'!L504</f>
        <v>16446.046571025643</v>
      </c>
      <c r="Q504" s="306">
        <f>'DGSP_chitiet (truKH)'!M504</f>
        <v>126086.35704452993</v>
      </c>
      <c r="R504" s="271">
        <f>'DGSP_chitiet (truKH)'!N504</f>
        <v>0</v>
      </c>
      <c r="S504" s="271">
        <f>(NhanCong!N$135+NhanCong!N$139+NhanCong!N$142+NhanCong!N$143+NhanCong!N$144)/M$501</f>
        <v>2977.6153846153843</v>
      </c>
    </row>
    <row r="505" spans="1:19">
      <c r="A505" s="243"/>
      <c r="B505" s="229"/>
      <c r="C505" s="274"/>
      <c r="D505" s="274" t="s">
        <v>33</v>
      </c>
      <c r="E505" s="271">
        <f>(NhanCong!M$135+NhanCong!M$140+NhanCong!M$142+NhanCong!M$143+NhanCong!M$144)/M$501</f>
        <v>110431.21100000001</v>
      </c>
      <c r="F505" s="271"/>
      <c r="G505" s="905">
        <f>Dcu!Q$181*0.8/M$501</f>
        <v>1021.4708608547011</v>
      </c>
      <c r="H505" s="905">
        <f>VLieu!O$120/M$501</f>
        <v>2360.3999999999996</v>
      </c>
      <c r="I505" s="905">
        <f>TBi!Q$264/M$501</f>
        <v>6086.9489428571424</v>
      </c>
      <c r="J505" s="905">
        <f>TBi!Q$271/M$501</f>
        <v>1555.5287999999998</v>
      </c>
      <c r="K505" s="905">
        <f>SUM(E505:J505)</f>
        <v>121455.55960371185</v>
      </c>
      <c r="L505" s="905">
        <f>K505*0.15</f>
        <v>18218.333940556779</v>
      </c>
      <c r="M505" s="906">
        <f>K505+L505</f>
        <v>139673.89354426862</v>
      </c>
      <c r="N505" s="905"/>
      <c r="O505" s="271">
        <f>'DGSP_chitiet (truKH)'!K505</f>
        <v>115368.61066085471</v>
      </c>
      <c r="P505" s="271">
        <f>'DGSP_chitiet (truKH)'!L505</f>
        <v>17305.291599128206</v>
      </c>
      <c r="Q505" s="306">
        <f>'DGSP_chitiet (truKH)'!M505</f>
        <v>132673.90225998292</v>
      </c>
      <c r="R505" s="271">
        <f>'DGSP_chitiet (truKH)'!N505</f>
        <v>0</v>
      </c>
      <c r="S505" s="271">
        <f>(NhanCong!N$135+NhanCong!N$140+NhanCong!N$142+NhanCong!N$143+NhanCong!N$144)/M$501</f>
        <v>3133.3076923076919</v>
      </c>
    </row>
    <row r="506" spans="1:19">
      <c r="A506" s="243"/>
      <c r="B506" s="229"/>
      <c r="C506" s="274"/>
      <c r="D506" s="274" t="s">
        <v>13</v>
      </c>
      <c r="E506" s="271">
        <f>(NhanCong!M$135+NhanCong!M$141+NhanCong!M$142+NhanCong!M$143+NhanCong!M$144)/M$501</f>
        <v>118680.02299999997</v>
      </c>
      <c r="F506" s="271"/>
      <c r="G506" s="905">
        <f>Dcu!Q$182*0.8/M$501</f>
        <v>1207.1928355555558</v>
      </c>
      <c r="H506" s="905">
        <f>VLieu!O$120/M$501</f>
        <v>2360.3999999999996</v>
      </c>
      <c r="I506" s="905">
        <f>TBi!R$264/M$501</f>
        <v>6357.2745714285711</v>
      </c>
      <c r="J506" s="905">
        <f>TBi!R$271/M$501</f>
        <v>1640.1168000000002</v>
      </c>
      <c r="K506" s="905">
        <f>SUM(E506:J506)</f>
        <v>130245.0072069841</v>
      </c>
      <c r="L506" s="905">
        <f>K506*0.15</f>
        <v>19536.751081047612</v>
      </c>
      <c r="M506" s="906">
        <f>K506+L506</f>
        <v>149781.75828803171</v>
      </c>
      <c r="N506" s="905"/>
      <c r="O506" s="271">
        <f>'DGSP_chitiet (truKH)'!K506</f>
        <v>123887.73263555553</v>
      </c>
      <c r="P506" s="271">
        <f>'DGSP_chitiet (truKH)'!L506</f>
        <v>18583.159895333327</v>
      </c>
      <c r="Q506" s="306">
        <f>'DGSP_chitiet (truKH)'!M506</f>
        <v>142470.89253088884</v>
      </c>
      <c r="R506" s="271">
        <f>'DGSP_chitiet (truKH)'!N506</f>
        <v>0</v>
      </c>
      <c r="S506" s="271">
        <f>(NhanCong!N$135+NhanCong!N$141+NhanCong!N$142+NhanCong!N$143+NhanCong!N$144)/M$501</f>
        <v>3366.8461538461534</v>
      </c>
    </row>
    <row r="507" spans="1:19">
      <c r="A507" s="242" t="s">
        <v>29</v>
      </c>
      <c r="B507" s="276" t="s">
        <v>205</v>
      </c>
      <c r="C507" s="275"/>
      <c r="D507" s="275"/>
      <c r="E507" s="271"/>
      <c r="F507" s="271"/>
      <c r="G507" s="271"/>
      <c r="H507" s="271"/>
      <c r="I507" s="271"/>
      <c r="J507" s="271"/>
      <c r="K507" s="271"/>
      <c r="L507" s="271"/>
      <c r="M507" s="272">
        <v>100</v>
      </c>
      <c r="N507" s="972" t="s">
        <v>21</v>
      </c>
      <c r="O507" s="271">
        <f>'DGSP_chitiet (truKH)'!K507</f>
        <v>0</v>
      </c>
      <c r="P507" s="271">
        <f>'DGSP_chitiet (truKH)'!L507</f>
        <v>0</v>
      </c>
      <c r="Q507" s="306">
        <f>'DGSP_chitiet (truKH)'!M507</f>
        <v>100</v>
      </c>
      <c r="R507" s="271" t="str">
        <f>'DGSP_chitiet (truKH)'!N507</f>
        <v>ha</v>
      </c>
      <c r="S507" s="271"/>
    </row>
    <row r="508" spans="1:19">
      <c r="A508" s="243"/>
      <c r="B508" s="229"/>
      <c r="C508" s="275" t="s">
        <v>317</v>
      </c>
      <c r="D508" s="274" t="s">
        <v>18</v>
      </c>
      <c r="E508" s="271">
        <f>(NhanCong!Q$135+NhanCong!Q$137+NhanCong!Q$142+NhanCong!Q$143+NhanCong!Q$144)/M$507</f>
        <v>28192.093600000004</v>
      </c>
      <c r="F508" s="271"/>
      <c r="G508" s="905">
        <f>Dcu!Q178/M$507</f>
        <v>232.15246837606844</v>
      </c>
      <c r="H508" s="905">
        <f>VLieu!O$117/M$507</f>
        <v>843</v>
      </c>
      <c r="I508" s="905">
        <f>TBi!N$272/M$507</f>
        <v>1433.3917285714283</v>
      </c>
      <c r="J508" s="905">
        <f>TBi!N$279/M$507</f>
        <v>367.29</v>
      </c>
      <c r="K508" s="905">
        <f>SUM(E508:J508)</f>
        <v>31067.927796947501</v>
      </c>
      <c r="L508" s="905">
        <f>K508*0.15</f>
        <v>4660.1891695421245</v>
      </c>
      <c r="M508" s="906">
        <f>K508+L508</f>
        <v>35728.116966489622</v>
      </c>
      <c r="N508" s="980"/>
      <c r="O508" s="271">
        <f>'DGSP_chitiet (truKH)'!K508</f>
        <v>29634.536068376074</v>
      </c>
      <c r="P508" s="271">
        <f>'DGSP_chitiet (truKH)'!L508</f>
        <v>4445.1804102564111</v>
      </c>
      <c r="Q508" s="306">
        <f>'DGSP_chitiet (truKH)'!M508</f>
        <v>34079.716478632487</v>
      </c>
      <c r="R508" s="271">
        <f>'DGSP_chitiet (truKH)'!N508</f>
        <v>0</v>
      </c>
      <c r="S508" s="271">
        <f>(NhanCong!R$135+NhanCong!R$137+NhanCong!R$142+NhanCong!R$143+NhanCong!R$144)/M$507</f>
        <v>799.86923076923063</v>
      </c>
    </row>
    <row r="509" spans="1:19">
      <c r="A509" s="243"/>
      <c r="B509" s="229"/>
      <c r="C509" s="274"/>
      <c r="D509" s="274" t="s">
        <v>20</v>
      </c>
      <c r="E509" s="271">
        <f>(NhanCong!Q$135+NhanCong!Q$138+NhanCong!Q$142+NhanCong!Q$143+NhanCong!Q$144)/M$507</f>
        <v>29910.596100000002</v>
      </c>
      <c r="F509" s="271"/>
      <c r="G509" s="905">
        <f>Dcu!Q179/M$507</f>
        <v>261.17152692307695</v>
      </c>
      <c r="H509" s="905">
        <f>VLieu!O$117/M$507</f>
        <v>843</v>
      </c>
      <c r="I509" s="905">
        <f>TBi!O$272/M$507</f>
        <v>1568.0590428571429</v>
      </c>
      <c r="J509" s="905">
        <f>TBi!O$279/M$507</f>
        <v>400.68</v>
      </c>
      <c r="K509" s="905">
        <f>SUM(E509:J509)</f>
        <v>32983.506669780218</v>
      </c>
      <c r="L509" s="905">
        <f>K509*0.15</f>
        <v>4947.5260004670326</v>
      </c>
      <c r="M509" s="906">
        <f>K509+L509</f>
        <v>37931.032670247252</v>
      </c>
      <c r="N509" s="980"/>
      <c r="O509" s="271">
        <f>'DGSP_chitiet (truKH)'!K509</f>
        <v>31415.44762692308</v>
      </c>
      <c r="P509" s="271">
        <f>'DGSP_chitiet (truKH)'!L509</f>
        <v>4712.3171440384622</v>
      </c>
      <c r="Q509" s="306">
        <f>'DGSP_chitiet (truKH)'!M509</f>
        <v>36127.764770961541</v>
      </c>
      <c r="R509" s="271">
        <f>'DGSP_chitiet (truKH)'!N509</f>
        <v>0</v>
      </c>
      <c r="S509" s="271">
        <f>(NhanCong!R$135+NhanCong!R$138+NhanCong!R$142+NhanCong!R$143+NhanCong!R$144)/M$507</f>
        <v>848.52307692307693</v>
      </c>
    </row>
    <row r="510" spans="1:19">
      <c r="A510" s="243"/>
      <c r="B510" s="229"/>
      <c r="C510" s="274"/>
      <c r="D510" s="274" t="s">
        <v>35</v>
      </c>
      <c r="E510" s="271">
        <f>(NhanCong!Q$135+NhanCong!Q$139+NhanCong!Q$142+NhanCong!Q$143+NhanCong!Q$144)/M$507</f>
        <v>31629.098600000005</v>
      </c>
      <c r="F510" s="271"/>
      <c r="G510" s="905">
        <f>Dcu!Q180/M$507</f>
        <v>290.19058547008552</v>
      </c>
      <c r="H510" s="905">
        <f>VLieu!O$117/M$507</f>
        <v>843</v>
      </c>
      <c r="I510" s="905">
        <f>TBi!P$272/M$507</f>
        <v>1734.5027357142858</v>
      </c>
      <c r="J510" s="905">
        <f>TBi!P$279/M$507</f>
        <v>442.97399999999993</v>
      </c>
      <c r="K510" s="905">
        <f>SUM(E510:J510)</f>
        <v>34939.765921184378</v>
      </c>
      <c r="L510" s="905">
        <f>K510*0.15</f>
        <v>5240.9648881776566</v>
      </c>
      <c r="M510" s="906">
        <f>K510+L510</f>
        <v>40180.730809362038</v>
      </c>
      <c r="N510" s="980"/>
      <c r="O510" s="271">
        <f>'DGSP_chitiet (truKH)'!K510</f>
        <v>33205.263185470089</v>
      </c>
      <c r="P510" s="271">
        <f>'DGSP_chitiet (truKH)'!L510</f>
        <v>4980.7894778205127</v>
      </c>
      <c r="Q510" s="306">
        <f>'DGSP_chitiet (truKH)'!M510</f>
        <v>38186.052663290604</v>
      </c>
      <c r="R510" s="271">
        <f>'DGSP_chitiet (truKH)'!N510</f>
        <v>0</v>
      </c>
      <c r="S510" s="271">
        <f>(NhanCong!R$135+NhanCong!R$139+NhanCong!R$142+NhanCong!R$143+NhanCong!R$144)/M$507</f>
        <v>897.17692307692312</v>
      </c>
    </row>
    <row r="511" spans="1:19">
      <c r="A511" s="243"/>
      <c r="B511" s="229"/>
      <c r="C511" s="274"/>
      <c r="D511" s="274" t="s">
        <v>33</v>
      </c>
      <c r="E511" s="271">
        <f>(NhanCong!Q$135+NhanCong!Q$140+NhanCong!Q$142+NhanCong!Q$143+NhanCong!Q$144)/M$507</f>
        <v>33347.6011</v>
      </c>
      <c r="F511" s="271"/>
      <c r="G511" s="905">
        <f>Dcu!Q181/M$507</f>
        <v>319.20964401709409</v>
      </c>
      <c r="H511" s="905">
        <f>VLieu!O$117/M$507</f>
        <v>843</v>
      </c>
      <c r="I511" s="905">
        <f>TBi!Q$272/M$507</f>
        <v>1900.9464285714284</v>
      </c>
      <c r="J511" s="905">
        <f>TBi!Q$279/M$507</f>
        <v>485.26800000000003</v>
      </c>
      <c r="K511" s="905">
        <f>SUM(E511:J511)</f>
        <v>36896.025172588517</v>
      </c>
      <c r="L511" s="905">
        <f>K511*0.15</f>
        <v>5534.4037758882778</v>
      </c>
      <c r="M511" s="906">
        <f>K511+L511</f>
        <v>42430.428948476794</v>
      </c>
      <c r="N511" s="980"/>
      <c r="O511" s="271">
        <f>'DGSP_chitiet (truKH)'!K511</f>
        <v>34995.078744017097</v>
      </c>
      <c r="P511" s="271">
        <f>'DGSP_chitiet (truKH)'!L511</f>
        <v>5249.2618116025642</v>
      </c>
      <c r="Q511" s="306">
        <f>'DGSP_chitiet (truKH)'!M511</f>
        <v>40244.340555619659</v>
      </c>
      <c r="R511" s="271">
        <f>'DGSP_chitiet (truKH)'!N511</f>
        <v>0</v>
      </c>
      <c r="S511" s="271">
        <f>(NhanCong!R$135+NhanCong!R$140+NhanCong!R$142+NhanCong!R$143+NhanCong!R$144)/M$507</f>
        <v>945.83076923076942</v>
      </c>
    </row>
    <row r="512" spans="1:19">
      <c r="A512" s="243"/>
      <c r="B512" s="229"/>
      <c r="C512" s="274"/>
      <c r="D512" s="274" t="s">
        <v>13</v>
      </c>
      <c r="E512" s="271">
        <f>(NhanCong!Q$135+NhanCong!Q$141+NhanCong!Q$142+NhanCong!Q$143+NhanCong!Q$144)/M$507</f>
        <v>35925.354850000003</v>
      </c>
      <c r="F512" s="271"/>
      <c r="G512" s="905">
        <f>Dcu!Q182/M$507</f>
        <v>377.24776111111117</v>
      </c>
      <c r="H512" s="905">
        <f>VLieu!O$117/M$507</f>
        <v>843</v>
      </c>
      <c r="I512" s="905">
        <f>TBi!R$272/M$507</f>
        <v>1988.3208000000002</v>
      </c>
      <c r="J512" s="905">
        <f>TBi!R$279/M$507</f>
        <v>513.09300000000007</v>
      </c>
      <c r="K512" s="905">
        <f>SUM(E512:J512)</f>
        <v>39647.016411111115</v>
      </c>
      <c r="L512" s="905">
        <f>K512*0.15</f>
        <v>5947.0524616666671</v>
      </c>
      <c r="M512" s="906">
        <f>K512+L512</f>
        <v>45594.068872777782</v>
      </c>
      <c r="N512" s="980"/>
      <c r="O512" s="271">
        <f>'DGSP_chitiet (truKH)'!K512</f>
        <v>37658.695611111114</v>
      </c>
      <c r="P512" s="271">
        <f>'DGSP_chitiet (truKH)'!L512</f>
        <v>5648.8043416666669</v>
      </c>
      <c r="Q512" s="306">
        <f>'DGSP_chitiet (truKH)'!M512</f>
        <v>43307.499952777784</v>
      </c>
      <c r="R512" s="271">
        <f>'DGSP_chitiet (truKH)'!N512</f>
        <v>0</v>
      </c>
      <c r="S512" s="271">
        <f>(NhanCong!R$135+NhanCong!R$141+NhanCong!R$142+NhanCong!R$143+NhanCong!R$144)/M$507</f>
        <v>1018.8115384615385</v>
      </c>
    </row>
    <row r="513" spans="1:21">
      <c r="A513" s="242" t="s">
        <v>30</v>
      </c>
      <c r="B513" s="276" t="s">
        <v>206</v>
      </c>
      <c r="C513" s="275"/>
      <c r="D513" s="275"/>
      <c r="E513" s="271"/>
      <c r="F513" s="271"/>
      <c r="G513" s="271"/>
      <c r="H513" s="271"/>
      <c r="I513" s="271"/>
      <c r="J513" s="271"/>
      <c r="K513" s="271"/>
      <c r="L513" s="271"/>
      <c r="M513" s="272">
        <v>900</v>
      </c>
      <c r="N513" s="972" t="s">
        <v>21</v>
      </c>
      <c r="O513" s="271">
        <f>'DGSP_chitiet (truKH)'!K513</f>
        <v>0</v>
      </c>
      <c r="P513" s="271">
        <f>'DGSP_chitiet (truKH)'!L513</f>
        <v>0</v>
      </c>
      <c r="Q513" s="306">
        <f>'DGSP_chitiet (truKH)'!M513</f>
        <v>900</v>
      </c>
      <c r="R513" s="271" t="str">
        <f>'DGSP_chitiet (truKH)'!N513</f>
        <v>ha</v>
      </c>
      <c r="S513" s="271"/>
    </row>
    <row r="514" spans="1:21">
      <c r="A514" s="243"/>
      <c r="B514" s="229"/>
      <c r="C514" s="275" t="s">
        <v>317</v>
      </c>
      <c r="D514" s="274" t="s">
        <v>18</v>
      </c>
      <c r="E514" s="271">
        <f>(NhanCong!U$135+NhanCong!U$137+NhanCong!U$142+NhanCong!U$143+NhanCong!U$144)/M$513</f>
        <v>4159.7374500000005</v>
      </c>
      <c r="F514" s="271"/>
      <c r="G514" s="905">
        <f>Dcu!R178/M$513</f>
        <v>41.845118547008546</v>
      </c>
      <c r="H514" s="905">
        <f>VLieu!P$117/M$513</f>
        <v>94</v>
      </c>
      <c r="I514" s="905">
        <f>TBi!N$280/M$513</f>
        <v>212.84151746031745</v>
      </c>
      <c r="J514" s="905">
        <f>TBi!N$287/M$513</f>
        <v>56.639333333333326</v>
      </c>
      <c r="K514" s="905">
        <f>SUM(E514:J514)</f>
        <v>4565.0634193406604</v>
      </c>
      <c r="L514" s="905">
        <f>K514*0.15</f>
        <v>684.75951290109901</v>
      </c>
      <c r="M514" s="906">
        <f>K514+L514</f>
        <v>5249.8229322417592</v>
      </c>
      <c r="N514" s="980"/>
      <c r="O514" s="271">
        <f>'DGSP_chitiet (truKH)'!K514</f>
        <v>4352.2219018803426</v>
      </c>
      <c r="P514" s="271">
        <f>'DGSP_chitiet (truKH)'!L514</f>
        <v>652.83328528205141</v>
      </c>
      <c r="Q514" s="306">
        <f>'DGSP_chitiet (truKH)'!M514</f>
        <v>5005.0551871623938</v>
      </c>
      <c r="R514" s="271">
        <f>'DGSP_chitiet (truKH)'!N514</f>
        <v>0</v>
      </c>
      <c r="S514" s="271">
        <f>(NhanCong!V$135+NhanCong!V$137+NhanCong!V$142+NhanCong!V$143+NhanCong!V$144)/M$513</f>
        <v>117.958547008547</v>
      </c>
    </row>
    <row r="515" spans="1:21">
      <c r="A515" s="243"/>
      <c r="B515" s="229"/>
      <c r="C515" s="274"/>
      <c r="D515" s="274" t="s">
        <v>20</v>
      </c>
      <c r="E515" s="271">
        <f>(NhanCong!U$135+NhanCong!U$138+NhanCong!U$142+NhanCong!U$143+NhanCong!U$144)/M$513</f>
        <v>4350.682172222223</v>
      </c>
      <c r="F515" s="271"/>
      <c r="G515" s="905">
        <f>Dcu!R179/M$513</f>
        <v>46.494576163342828</v>
      </c>
      <c r="H515" s="905">
        <f>VLieu!P$117/M$513</f>
        <v>94</v>
      </c>
      <c r="I515" s="905">
        <f>TBi!O$280/M$513</f>
        <v>240.62396746031746</v>
      </c>
      <c r="J515" s="905">
        <f>TBi!O$287/M$513</f>
        <v>64.306666666666672</v>
      </c>
      <c r="K515" s="905">
        <f>SUM(E515:J515)</f>
        <v>4796.1073825125495</v>
      </c>
      <c r="L515" s="905">
        <f>K515*0.15</f>
        <v>719.41610737688245</v>
      </c>
      <c r="M515" s="906">
        <f>K515+L515</f>
        <v>5515.5234898894323</v>
      </c>
      <c r="N515" s="980"/>
      <c r="O515" s="271">
        <f>'DGSP_chitiet (truKH)'!K515</f>
        <v>4555.483415052232</v>
      </c>
      <c r="P515" s="271">
        <f>'DGSP_chitiet (truKH)'!L515</f>
        <v>683.32251225783477</v>
      </c>
      <c r="Q515" s="306">
        <f>'DGSP_chitiet (truKH)'!M515</f>
        <v>5238.8059273100671</v>
      </c>
      <c r="R515" s="271">
        <f>'DGSP_chitiet (truKH)'!N515</f>
        <v>0</v>
      </c>
      <c r="S515" s="271">
        <f>(NhanCong!V$135+NhanCong!V$138+NhanCong!V$142+NhanCong!V$143+NhanCong!V$144)/M$513</f>
        <v>123.36452991452991</v>
      </c>
    </row>
    <row r="516" spans="1:21">
      <c r="A516" s="243"/>
      <c r="B516" s="229"/>
      <c r="C516" s="274"/>
      <c r="D516" s="274" t="s">
        <v>35</v>
      </c>
      <c r="E516" s="271">
        <f>(NhanCong!U$135+NhanCong!U$139+NhanCong!U$142+NhanCong!U$143+NhanCong!U$144)/M$513</f>
        <v>4541.6268944444455</v>
      </c>
      <c r="F516" s="271"/>
      <c r="G516" s="905">
        <f>Dcu!R180/M$513</f>
        <v>46.494576163342828</v>
      </c>
      <c r="H516" s="905">
        <f>VLieu!P$117/M$513</f>
        <v>94</v>
      </c>
      <c r="I516" s="905">
        <f>TBi!P$280/M$513</f>
        <v>259.11771111111113</v>
      </c>
      <c r="J516" s="905">
        <f>TBi!P$287/M$513</f>
        <v>69.006</v>
      </c>
      <c r="K516" s="905">
        <f>SUM(E516:J516)</f>
        <v>5010.2451817188994</v>
      </c>
      <c r="L516" s="905">
        <f>K516*0.15</f>
        <v>751.53677725783484</v>
      </c>
      <c r="M516" s="906">
        <f>K516+L516</f>
        <v>5761.7819589767341</v>
      </c>
      <c r="N516" s="980"/>
      <c r="O516" s="271">
        <f>'DGSP_chitiet (truKH)'!K516</f>
        <v>4751.1274706077884</v>
      </c>
      <c r="P516" s="271">
        <f>'DGSP_chitiet (truKH)'!L516</f>
        <v>712.66912059116828</v>
      </c>
      <c r="Q516" s="306">
        <f>'DGSP_chitiet (truKH)'!M516</f>
        <v>5463.7965911989568</v>
      </c>
      <c r="R516" s="271">
        <f>'DGSP_chitiet (truKH)'!N516</f>
        <v>0</v>
      </c>
      <c r="S516" s="271">
        <f>(NhanCong!V$135+NhanCong!V$139+NhanCong!V$142+NhanCong!V$143+NhanCong!V$144)/M$513</f>
        <v>128.77051282051283</v>
      </c>
    </row>
    <row r="517" spans="1:21">
      <c r="A517" s="243"/>
      <c r="B517" s="229"/>
      <c r="C517" s="274"/>
      <c r="D517" s="274" t="s">
        <v>33</v>
      </c>
      <c r="E517" s="271">
        <f>(NhanCong!U$135+NhanCong!U$140+NhanCong!U$142+NhanCong!U$143+NhanCong!U$144)/M$513</f>
        <v>4732.571616666668</v>
      </c>
      <c r="F517" s="271"/>
      <c r="G517" s="905">
        <f>Dcu!R181/M$513</f>
        <v>51.144033779677123</v>
      </c>
      <c r="H517" s="905">
        <f>VLieu!P$117/M$513</f>
        <v>94</v>
      </c>
      <c r="I517" s="905">
        <f>TBi!Q$280/M$513</f>
        <v>277.61145476190478</v>
      </c>
      <c r="J517" s="905">
        <f>TBi!Q$287/M$513</f>
        <v>73.705333333333343</v>
      </c>
      <c r="K517" s="905">
        <f>SUM(E517:J517)</f>
        <v>5229.0324385415834</v>
      </c>
      <c r="L517" s="905">
        <f>K517*0.15</f>
        <v>784.35486578123744</v>
      </c>
      <c r="M517" s="906">
        <f>K517+L517</f>
        <v>6013.3873043228205</v>
      </c>
      <c r="N517" s="980"/>
      <c r="O517" s="271">
        <f>'DGSP_chitiet (truKH)'!K517</f>
        <v>4951.4209837796789</v>
      </c>
      <c r="P517" s="271">
        <f>'DGSP_chitiet (truKH)'!L517</f>
        <v>742.71314756695176</v>
      </c>
      <c r="Q517" s="306">
        <f>'DGSP_chitiet (truKH)'!M517</f>
        <v>5694.134131346631</v>
      </c>
      <c r="R517" s="271">
        <f>'DGSP_chitiet (truKH)'!N517</f>
        <v>0</v>
      </c>
      <c r="S517" s="271">
        <f>(NhanCong!V$135+NhanCong!V$140+NhanCong!V$142+NhanCong!V$143+NhanCong!V$144)/M$513</f>
        <v>134.17649572649572</v>
      </c>
    </row>
    <row r="518" spans="1:21">
      <c r="A518" s="242" t="str">
        <f>L_CViec!A44</f>
        <v>IV</v>
      </c>
      <c r="B518" s="965" t="str">
        <f>L_CViec!B44</f>
        <v>ĐO ĐẠC CHỈNH LÝ BẢN ĐỒ ĐỊA CHÍNH:</v>
      </c>
      <c r="C518" s="243"/>
      <c r="D518" s="243"/>
      <c r="E518" s="243"/>
      <c r="F518" s="271"/>
      <c r="G518" s="271"/>
      <c r="H518" s="271"/>
      <c r="I518" s="271"/>
      <c r="J518" s="271"/>
      <c r="K518" s="271"/>
      <c r="L518" s="271"/>
      <c r="M518" s="272"/>
      <c r="N518" s="271"/>
      <c r="O518" s="271">
        <f>'DGSP_chitiet (truKH)'!K518</f>
        <v>0</v>
      </c>
      <c r="P518" s="271">
        <f>'DGSP_chitiet (truKH)'!L518</f>
        <v>0</v>
      </c>
      <c r="Q518" s="306">
        <f>'DGSP_chitiet (truKH)'!M518</f>
        <v>0</v>
      </c>
      <c r="R518" s="271">
        <f>'DGSP_chitiet (truKH)'!N518</f>
        <v>0</v>
      </c>
      <c r="S518" s="271"/>
    </row>
    <row r="519" spans="1:21">
      <c r="A519" s="242" t="s">
        <v>27</v>
      </c>
      <c r="B519" s="276" t="s">
        <v>202</v>
      </c>
      <c r="C519" s="981" t="s">
        <v>349</v>
      </c>
      <c r="D519" s="275"/>
      <c r="E519" s="271"/>
      <c r="F519" s="271"/>
      <c r="G519" s="271"/>
      <c r="H519" s="271"/>
      <c r="I519" s="271"/>
      <c r="J519" s="271"/>
      <c r="K519" s="271"/>
      <c r="L519" s="271"/>
      <c r="M519" s="272">
        <v>1</v>
      </c>
      <c r="N519" s="271" t="s">
        <v>49</v>
      </c>
      <c r="O519" s="271">
        <f>'DGSP_chitiet (truKH)'!K519</f>
        <v>0</v>
      </c>
      <c r="P519" s="271">
        <f>'DGSP_chitiet (truKH)'!L519</f>
        <v>0</v>
      </c>
      <c r="Q519" s="306">
        <f>'DGSP_chitiet (truKH)'!M519</f>
        <v>1</v>
      </c>
      <c r="R519" s="271" t="str">
        <f>'DGSP_chitiet (truKH)'!N519</f>
        <v>thửa</v>
      </c>
      <c r="S519" s="271"/>
    </row>
    <row r="520" spans="1:21" s="232" customFormat="1" ht="12.75" customHeight="1">
      <c r="A520" s="1005"/>
      <c r="B520" s="1014" t="s">
        <v>190</v>
      </c>
      <c r="C520" s="242">
        <f>HeSoKK!B30</f>
        <v>67</v>
      </c>
      <c r="D520" s="242">
        <v>1</v>
      </c>
      <c r="E520" s="271">
        <f>E562/C520+(E566+E570)/100</f>
        <v>590048.55532182846</v>
      </c>
      <c r="F520" s="271">
        <f>F562/C520+(F566+F570)/100</f>
        <v>30399.34615384616</v>
      </c>
      <c r="G520" s="271">
        <f>G562/C520+(G566+G570)/100</f>
        <v>3772.6312150784543</v>
      </c>
      <c r="H520" s="271">
        <f>H562/C520+(H566+H570)/100</f>
        <v>63041.162574626862</v>
      </c>
      <c r="I520" s="271">
        <f>I562/C520+(I566+I570)/100</f>
        <v>8320.9685714285697</v>
      </c>
      <c r="J520" s="271">
        <f>J562/C520+(J566+J570)/100</f>
        <v>85.701000000000008</v>
      </c>
      <c r="K520" s="271">
        <f t="shared" ref="K520:K527" si="164">SUM(E520:J520)</f>
        <v>695668.36483680841</v>
      </c>
      <c r="L520" s="271">
        <f>K520*0.25</f>
        <v>173917.0912092021</v>
      </c>
      <c r="M520" s="272">
        <f t="shared" ref="M520:M527" si="165">K520+L520</f>
        <v>869585.45604601048</v>
      </c>
      <c r="N520" s="271">
        <f>M520+M524</f>
        <v>976626.50091866043</v>
      </c>
      <c r="O520" s="271">
        <f>'DGSP_chitiet (truKH)'!K520</f>
        <v>687347.39626537985</v>
      </c>
      <c r="P520" s="271">
        <f>'DGSP_chitiet (truKH)'!L520</f>
        <v>171836.84906634496</v>
      </c>
      <c r="Q520" s="306">
        <f>'DGSP_chitiet (truKH)'!M520</f>
        <v>859184.24533172487</v>
      </c>
      <c r="R520" s="271">
        <f>'DGSP_chitiet (truKH)'!N520</f>
        <v>965398.0901315629</v>
      </c>
      <c r="S520" s="271">
        <f>S562/C520+(S566+S570)/100</f>
        <v>16780.221369115956</v>
      </c>
      <c r="U520" s="239"/>
    </row>
    <row r="521" spans="1:21" s="232" customFormat="1" ht="12.75" customHeight="1">
      <c r="A521" s="1005"/>
      <c r="B521" s="1014"/>
      <c r="C521" s="242">
        <f>HeSoKK!D30</f>
        <v>82</v>
      </c>
      <c r="D521" s="242">
        <v>2</v>
      </c>
      <c r="E521" s="271">
        <f>E563/C521+(E567+E571)/100</f>
        <v>705394.64153963432</v>
      </c>
      <c r="F521" s="271">
        <f>F563/C521+(F567+F571)/100</f>
        <v>36493.769230769227</v>
      </c>
      <c r="G521" s="271">
        <f>G563/C521+(G567+G571)/100</f>
        <v>4647.9799054096311</v>
      </c>
      <c r="H521" s="271">
        <f>H563/C521+(H567+H571)/100</f>
        <v>51991.836036585366</v>
      </c>
      <c r="I521" s="271">
        <f>I563/C521+(I567+I571)/100</f>
        <v>10397.507142857145</v>
      </c>
      <c r="J521" s="271">
        <f>J563/C521+(J567+J571)/100</f>
        <v>107.73840000000001</v>
      </c>
      <c r="K521" s="271">
        <f t="shared" si="164"/>
        <v>809033.47225525579</v>
      </c>
      <c r="L521" s="271">
        <f>K521*0.25</f>
        <v>202258.36806381395</v>
      </c>
      <c r="M521" s="272">
        <f t="shared" si="165"/>
        <v>1011291.8403190698</v>
      </c>
      <c r="N521" s="271">
        <f>M521+M525</f>
        <v>1124399.5895739868</v>
      </c>
      <c r="O521" s="271">
        <f>'DGSP_chitiet (truKH)'!K521</f>
        <v>798635.96511239861</v>
      </c>
      <c r="P521" s="271">
        <f>'DGSP_chitiet (truKH)'!L521</f>
        <v>199658.99127809965</v>
      </c>
      <c r="Q521" s="306">
        <f>'DGSP_chitiet (truKH)'!M521</f>
        <v>998294.95639049821</v>
      </c>
      <c r="R521" s="271">
        <f>'DGSP_chitiet (truKH)'!N521</f>
        <v>1110593.3233043526</v>
      </c>
      <c r="S521" s="271">
        <f>S563/C521+(S567+S571)/100</f>
        <v>20050.428001876175</v>
      </c>
      <c r="U521" s="239"/>
    </row>
    <row r="522" spans="1:21" s="232" customFormat="1" ht="12.75" customHeight="1">
      <c r="A522" s="1005"/>
      <c r="B522" s="1014"/>
      <c r="C522" s="242">
        <f>HeSoKK!F30</f>
        <v>97</v>
      </c>
      <c r="D522" s="242">
        <v>3</v>
      </c>
      <c r="E522" s="271">
        <f>E564/C522+(E568+E572)/100</f>
        <v>849584.65795103123</v>
      </c>
      <c r="F522" s="271">
        <f>F564/C522+(F568+F572)/100</f>
        <v>43788.884615384617</v>
      </c>
      <c r="G522" s="271">
        <f>G564/C522+(G568+G572)/100</f>
        <v>6134.8569103004675</v>
      </c>
      <c r="H522" s="271">
        <f>H564/C522+(H568+H572)/100</f>
        <v>44359.826984536077</v>
      </c>
      <c r="I522" s="271">
        <f>I564/C522+(I568+I572)/100</f>
        <v>13865.087142857143</v>
      </c>
      <c r="J522" s="271">
        <f>J564/C522+(J568+J572)/100</f>
        <v>143.7996</v>
      </c>
      <c r="K522" s="271">
        <f t="shared" si="164"/>
        <v>957877.1132041096</v>
      </c>
      <c r="L522" s="271">
        <f>K522*0.25</f>
        <v>239469.2783010274</v>
      </c>
      <c r="M522" s="272">
        <f t="shared" si="165"/>
        <v>1197346.3915051371</v>
      </c>
      <c r="N522" s="271">
        <f>M522+M526</f>
        <v>1317742.5736754015</v>
      </c>
      <c r="O522" s="271">
        <f>'DGSP_chitiet (truKH)'!K522</f>
        <v>944012.02606125246</v>
      </c>
      <c r="P522" s="271">
        <f>'DGSP_chitiet (truKH)'!L522</f>
        <v>236003.00651531311</v>
      </c>
      <c r="Q522" s="306">
        <f>'DGSP_chitiet (truKH)'!M522</f>
        <v>1180015.0325765656</v>
      </c>
      <c r="R522" s="271">
        <f>'DGSP_chitiet (truKH)'!N522</f>
        <v>1299580.216821484</v>
      </c>
      <c r="S522" s="271">
        <f>S564/C522+(S568+S572)/100</f>
        <v>24140.583862014279</v>
      </c>
      <c r="U522" s="239"/>
    </row>
    <row r="523" spans="1:21" s="232" customFormat="1" ht="12.75" customHeight="1">
      <c r="A523" s="1005"/>
      <c r="B523" s="1014"/>
      <c r="C523" s="982">
        <f>HeSoKK!H30</f>
        <v>112.5</v>
      </c>
      <c r="D523" s="242">
        <v>4</v>
      </c>
      <c r="E523" s="271">
        <f>E565/C523+(E569+E573)/100</f>
        <v>1016055.4564722223</v>
      </c>
      <c r="F523" s="271">
        <f>F565/C523+(F569+F573)/100</f>
        <v>52539.384615384617</v>
      </c>
      <c r="G523" s="271">
        <f>G565/C523+(G569+G573)/100</f>
        <v>7305.3849287749299</v>
      </c>
      <c r="H523" s="271">
        <f>H565/C523+(H569+H573)/100</f>
        <v>38611.510833333334</v>
      </c>
      <c r="I523" s="271">
        <f>I565/C523+(I569+I573)/100</f>
        <v>16640.16</v>
      </c>
      <c r="J523" s="271">
        <f>J565/C523+(J569+J573)/100</f>
        <v>170.95680000000002</v>
      </c>
      <c r="K523" s="271">
        <f t="shared" si="164"/>
        <v>1131322.8536497152</v>
      </c>
      <c r="L523" s="271">
        <f>K523*0.25</f>
        <v>282830.7134124288</v>
      </c>
      <c r="M523" s="272">
        <f t="shared" si="165"/>
        <v>1414153.5670621439</v>
      </c>
      <c r="N523" s="271">
        <f>M523+M527</f>
        <v>1542551.6053231319</v>
      </c>
      <c r="O523" s="271">
        <f>'DGSP_chitiet (truKH)'!K523</f>
        <v>1114682.6936497153</v>
      </c>
      <c r="P523" s="271">
        <f>'DGSP_chitiet (truKH)'!L523</f>
        <v>278670.67341242882</v>
      </c>
      <c r="Q523" s="306">
        <f>'DGSP_chitiet (truKH)'!M523</f>
        <v>1393353.367062144</v>
      </c>
      <c r="R523" s="271">
        <f>'DGSP_chitiet (truKH)'!N523</f>
        <v>1520895.2939879715</v>
      </c>
      <c r="S523" s="271">
        <f>S565/C523+(S569+S573)/100</f>
        <v>28864.164529914524</v>
      </c>
      <c r="U523" s="239"/>
    </row>
    <row r="524" spans="1:21" s="232" customFormat="1" ht="12.75" customHeight="1">
      <c r="A524" s="1005"/>
      <c r="B524" s="1014" t="s">
        <v>192</v>
      </c>
      <c r="C524" s="982">
        <f>C520</f>
        <v>67</v>
      </c>
      <c r="D524" s="242">
        <v>1</v>
      </c>
      <c r="E524" s="271">
        <f>(E575+E586+E587+E588)/C524+(E580+E584+E585)/100</f>
        <v>69203.595244776137</v>
      </c>
      <c r="F524" s="271">
        <f>(F575+F586+F587+F588)/C524+(F580+F584+F585)/100</f>
        <v>0</v>
      </c>
      <c r="G524" s="271">
        <f>(G575+G586+G587+G588)/C524+(G580+G584+G585)/100</f>
        <v>980.17701647179479</v>
      </c>
      <c r="H524" s="271">
        <f>(H575+H586+H587+H588)/C524+(H580+H584+H585)/100</f>
        <v>20885.298507462685</v>
      </c>
      <c r="I524" s="271">
        <f>(I575+I586+I587+I588)/C524+(I580+I584+I585)/100</f>
        <v>719.30441114072482</v>
      </c>
      <c r="J524" s="271">
        <f>(J575+J586+J587+J588)/C524+(J580+J584+J585)/100</f>
        <v>1290.7942746268654</v>
      </c>
      <c r="K524" s="271">
        <f t="shared" si="164"/>
        <v>93079.169454478193</v>
      </c>
      <c r="L524" s="271">
        <f>K524*0.15</f>
        <v>13961.875418171729</v>
      </c>
      <c r="M524" s="272">
        <f t="shared" si="165"/>
        <v>107041.04487264992</v>
      </c>
      <c r="N524" s="271"/>
      <c r="O524" s="271">
        <f>'DGSP_chitiet (truKH)'!K524</f>
        <v>92359.865043337471</v>
      </c>
      <c r="P524" s="271">
        <f>'DGSP_chitiet (truKH)'!L524</f>
        <v>13853.979756500621</v>
      </c>
      <c r="Q524" s="306">
        <f>'DGSP_chitiet (truKH)'!M524</f>
        <v>106213.84479983809</v>
      </c>
      <c r="R524" s="271">
        <f>'DGSP_chitiet (truKH)'!N524</f>
        <v>0</v>
      </c>
      <c r="S524" s="271">
        <f>(S575+S586+S587+S588)/C524+(S580+S584+S585)/100</f>
        <v>1819.9152698048222</v>
      </c>
      <c r="T524" s="239"/>
    </row>
    <row r="525" spans="1:21" s="232" customFormat="1" ht="12.75" customHeight="1">
      <c r="A525" s="1005"/>
      <c r="B525" s="1014"/>
      <c r="C525" s="982">
        <f>C521</f>
        <v>82</v>
      </c>
      <c r="D525" s="242">
        <v>2</v>
      </c>
      <c r="E525" s="271">
        <f>(E576+E586+E587+E588)/C525+(E581+E584+E585)/100</f>
        <v>75744.614187804895</v>
      </c>
      <c r="F525" s="271">
        <f>(F576+F586+F587+F588)/C525+(F581+F584+F585)/100</f>
        <v>0</v>
      </c>
      <c r="G525" s="271">
        <f>(G576+G586+G587+G588)/C525+(G581+G584+G585)/100</f>
        <v>1012.6313625244424</v>
      </c>
      <c r="H525" s="271">
        <f>(H576+H586+H587+H588)/C525+(H581+H584+H585)/100</f>
        <v>19578.414634146342</v>
      </c>
      <c r="I525" s="271">
        <f>(I576+I586+I587+I588)/C525+(I581+I584+I585)/100</f>
        <v>703.81073135888505</v>
      </c>
      <c r="J525" s="271">
        <f>(J576+J586+J587+J588)/C525+(J581+J584+J585)/100</f>
        <v>1315.0936536585366</v>
      </c>
      <c r="K525" s="271">
        <f t="shared" si="164"/>
        <v>98354.564569493101</v>
      </c>
      <c r="L525" s="271">
        <f>K525*0.15</f>
        <v>14753.184685423965</v>
      </c>
      <c r="M525" s="272">
        <f t="shared" si="165"/>
        <v>113107.74925491707</v>
      </c>
      <c r="N525" s="271"/>
      <c r="O525" s="271">
        <f>'DGSP_chitiet (truKH)'!K525</f>
        <v>97650.753838134216</v>
      </c>
      <c r="P525" s="271">
        <f>'DGSP_chitiet (truKH)'!L525</f>
        <v>14647.613075720132</v>
      </c>
      <c r="Q525" s="306">
        <f>'DGSP_chitiet (truKH)'!M525</f>
        <v>112298.36691385435</v>
      </c>
      <c r="R525" s="271">
        <f>'DGSP_chitiet (truKH)'!N525</f>
        <v>0</v>
      </c>
      <c r="S525" s="271">
        <f>(S576+S586+S587+S588)/C525+(S581+S584+S585)/100</f>
        <v>1977.339774859287</v>
      </c>
      <c r="T525" s="239"/>
    </row>
    <row r="526" spans="1:21" s="232" customFormat="1" ht="12.75" customHeight="1">
      <c r="A526" s="1005"/>
      <c r="B526" s="1014"/>
      <c r="C526" s="242">
        <f>C522</f>
        <v>97</v>
      </c>
      <c r="D526" s="242">
        <v>3</v>
      </c>
      <c r="E526" s="271">
        <f>(E577+E586+E587+E588)/C526+(E582+E584+E585)/100</f>
        <v>82785.450294845374</v>
      </c>
      <c r="F526" s="271">
        <f>(F577+F586+F587+F588)/C526+(F582+F584+F585)/100</f>
        <v>0</v>
      </c>
      <c r="G526" s="271">
        <f>(G577+G586+G587+G588)/C526+(G582+G584+G585)/100</f>
        <v>1095.4611478895056</v>
      </c>
      <c r="H526" s="271">
        <f>(H577+H586+H587+H588)/C526+(H582+H584+H585)/100</f>
        <v>18675.721649484534</v>
      </c>
      <c r="I526" s="271">
        <f>(I577+I586+I587+I588)/C526+(I582+I584+I585)/100</f>
        <v>722.60689160530183</v>
      </c>
      <c r="J526" s="271">
        <f>(J577+J586+J587+J588)/C526+(J582+J584+J585)/100</f>
        <v>1413.0923381443301</v>
      </c>
      <c r="K526" s="271">
        <f t="shared" si="164"/>
        <v>104692.33232196905</v>
      </c>
      <c r="L526" s="271">
        <f>K526*0.15</f>
        <v>15703.849848295356</v>
      </c>
      <c r="M526" s="272">
        <f t="shared" si="165"/>
        <v>120396.18217026441</v>
      </c>
      <c r="N526" s="271"/>
      <c r="O526" s="271">
        <f>'DGSP_chitiet (truKH)'!K526</f>
        <v>103969.72543036375</v>
      </c>
      <c r="P526" s="271">
        <f>'DGSP_chitiet (truKH)'!L526</f>
        <v>15595.45881455456</v>
      </c>
      <c r="Q526" s="306">
        <f>'DGSP_chitiet (truKH)'!M526</f>
        <v>119565.1842449183</v>
      </c>
      <c r="R526" s="271">
        <f>'DGSP_chitiet (truKH)'!N526</f>
        <v>0</v>
      </c>
      <c r="S526" s="271">
        <f>(S577+S586+S587+S588)/C526+(S582+S584+S585)/100</f>
        <v>2148.9149881046787</v>
      </c>
      <c r="T526" s="239"/>
    </row>
    <row r="527" spans="1:21" s="232" customFormat="1" ht="12.75" customHeight="1">
      <c r="A527" s="1005"/>
      <c r="B527" s="1014"/>
      <c r="C527" s="242">
        <f>C523</f>
        <v>112.5</v>
      </c>
      <c r="D527" s="242">
        <v>4</v>
      </c>
      <c r="E527" s="271">
        <f>(E578+E586+E587+E588)/C527+(E583+E584+E585)/100</f>
        <v>90251.839470222229</v>
      </c>
      <c r="F527" s="271">
        <f>(F578+F586+F587+F588)/C527+(F583+F584+F585)/100</f>
        <v>0</v>
      </c>
      <c r="G527" s="271">
        <f>(G578+G586+G587+G588)/C527+(G583+G584+G585)/100</f>
        <v>1163.331156874264</v>
      </c>
      <c r="H527" s="271">
        <f>(H578+H586+H587+H588)/C527+(H583+H584+H585)/100</f>
        <v>17995.826666666668</v>
      </c>
      <c r="I527" s="271">
        <f>(I578+I586+I587+I588)/C527+(I583+I584+I585)/100</f>
        <v>744.44463926984122</v>
      </c>
      <c r="J527" s="271">
        <f>(J578+J586+J587+J588)/C527+(J583+J584+J585)/100</f>
        <v>1495.02612</v>
      </c>
      <c r="K527" s="271">
        <f t="shared" si="164"/>
        <v>111650.46805303299</v>
      </c>
      <c r="L527" s="271">
        <f>K527*0.15</f>
        <v>16747.570207954948</v>
      </c>
      <c r="M527" s="272">
        <f t="shared" si="165"/>
        <v>128398.03826098795</v>
      </c>
      <c r="N527" s="271"/>
      <c r="O527" s="271">
        <f>'DGSP_chitiet (truKH)'!K527</f>
        <v>110906.02341376315</v>
      </c>
      <c r="P527" s="271">
        <f>'DGSP_chitiet (truKH)'!L527</f>
        <v>16635.903512064473</v>
      </c>
      <c r="Q527" s="306">
        <f>'DGSP_chitiet (truKH)'!M527</f>
        <v>127541.92692582762</v>
      </c>
      <c r="R527" s="271">
        <f>'DGSP_chitiet (truKH)'!N527</f>
        <v>0</v>
      </c>
      <c r="S527" s="271">
        <f>(S578+S586+S587+S588)/C527+(S583+S584+S585)/100</f>
        <v>2331.9939829059826</v>
      </c>
      <c r="T527" s="239"/>
    </row>
    <row r="528" spans="1:21" s="232" customFormat="1" ht="12.75" customHeight="1">
      <c r="A528" s="242"/>
      <c r="B528" s="277" t="s">
        <v>332</v>
      </c>
      <c r="C528" s="242"/>
      <c r="D528" s="242"/>
      <c r="E528" s="271"/>
      <c r="F528" s="271"/>
      <c r="G528" s="271"/>
      <c r="H528" s="271"/>
      <c r="I528" s="271"/>
      <c r="J528" s="271"/>
      <c r="K528" s="271"/>
      <c r="L528" s="271"/>
      <c r="M528" s="272"/>
      <c r="N528" s="271"/>
      <c r="O528" s="271">
        <f>'DGSP_chitiet (truKH)'!K528</f>
        <v>0</v>
      </c>
      <c r="P528" s="271">
        <f>'DGSP_chitiet (truKH)'!L528</f>
        <v>0</v>
      </c>
      <c r="Q528" s="306">
        <f>'DGSP_chitiet (truKH)'!M528</f>
        <v>0</v>
      </c>
      <c r="R528" s="271">
        <f>'DGSP_chitiet (truKH)'!N528</f>
        <v>0</v>
      </c>
      <c r="S528" s="271"/>
    </row>
    <row r="529" spans="1:19" s="232" customFormat="1" ht="13.5">
      <c r="A529" s="242" t="s">
        <v>323</v>
      </c>
      <c r="B529" s="277" t="s">
        <v>333</v>
      </c>
      <c r="C529" s="242"/>
      <c r="D529" s="242"/>
      <c r="E529" s="271"/>
      <c r="F529" s="271"/>
      <c r="G529" s="271"/>
      <c r="H529" s="271"/>
      <c r="I529" s="271"/>
      <c r="J529" s="271"/>
      <c r="K529" s="271"/>
      <c r="L529" s="271"/>
      <c r="M529" s="272"/>
      <c r="N529" s="271"/>
      <c r="O529" s="271">
        <f>'DGSP_chitiet (truKH)'!K529</f>
        <v>0</v>
      </c>
      <c r="P529" s="271">
        <f>'DGSP_chitiet (truKH)'!L529</f>
        <v>0</v>
      </c>
      <c r="Q529" s="306">
        <f>'DGSP_chitiet (truKH)'!M529</f>
        <v>0</v>
      </c>
      <c r="R529" s="271">
        <f>'DGSP_chitiet (truKH)'!N529</f>
        <v>0</v>
      </c>
      <c r="S529" s="271"/>
    </row>
    <row r="530" spans="1:19" s="232" customFormat="1">
      <c r="A530" s="1005"/>
      <c r="B530" s="1006" t="s">
        <v>330</v>
      </c>
      <c r="C530" s="1005" t="s">
        <v>49</v>
      </c>
      <c r="D530" s="242">
        <v>1</v>
      </c>
      <c r="E530" s="271">
        <f t="shared" ref="E530:J533" si="166">E520-E566/100</f>
        <v>548589.68250932847</v>
      </c>
      <c r="F530" s="271">
        <f t="shared" si="166"/>
        <v>30399.34615384616</v>
      </c>
      <c r="G530" s="271">
        <f t="shared" si="166"/>
        <v>3146.8730740528131</v>
      </c>
      <c r="H530" s="271">
        <f t="shared" si="166"/>
        <v>62915.53507462686</v>
      </c>
      <c r="I530" s="271">
        <f t="shared" si="166"/>
        <v>7736.2628571428559</v>
      </c>
      <c r="J530" s="271">
        <f t="shared" si="166"/>
        <v>77.910000000000011</v>
      </c>
      <c r="K530" s="271">
        <f t="shared" ref="K530:K537" si="167">SUM(E530:J530)</f>
        <v>652865.60966899723</v>
      </c>
      <c r="L530" s="271">
        <f>K530*0.25</f>
        <v>163216.40241724931</v>
      </c>
      <c r="M530" s="272">
        <f t="shared" ref="M530:M537" si="168">K530+L530</f>
        <v>816082.01208624651</v>
      </c>
      <c r="N530" s="271">
        <f>M530+M534</f>
        <v>923123.05695889646</v>
      </c>
      <c r="O530" s="271">
        <f>'DGSP_chitiet (truKH)'!K530</f>
        <v>645129.3468118544</v>
      </c>
      <c r="P530" s="271">
        <f>'DGSP_chitiet (truKH)'!L530</f>
        <v>161282.3367029636</v>
      </c>
      <c r="Q530" s="306">
        <f>'DGSP_chitiet (truKH)'!M530</f>
        <v>806411.68351481797</v>
      </c>
      <c r="R530" s="271">
        <f>'DGSP_chitiet (truKH)'!N530</f>
        <v>912625.52831465611</v>
      </c>
      <c r="S530" s="271">
        <f>S520-S566/100</f>
        <v>15606.447330654417</v>
      </c>
    </row>
    <row r="531" spans="1:19" s="232" customFormat="1" ht="15" customHeight="1">
      <c r="A531" s="1005"/>
      <c r="B531" s="1014"/>
      <c r="C531" s="1005"/>
      <c r="D531" s="242">
        <v>2</v>
      </c>
      <c r="E531" s="271">
        <f t="shared" si="166"/>
        <v>653409.94091463427</v>
      </c>
      <c r="F531" s="271">
        <f t="shared" si="166"/>
        <v>36493.769230769227</v>
      </c>
      <c r="G531" s="271">
        <f t="shared" si="166"/>
        <v>3865.7822291275797</v>
      </c>
      <c r="H531" s="271">
        <f t="shared" si="166"/>
        <v>51866.208536585364</v>
      </c>
      <c r="I531" s="271">
        <f t="shared" si="166"/>
        <v>9666.9700000000012</v>
      </c>
      <c r="J531" s="271">
        <f t="shared" si="166"/>
        <v>97.944000000000017</v>
      </c>
      <c r="K531" s="271">
        <f t="shared" si="167"/>
        <v>755400.61491111643</v>
      </c>
      <c r="L531" s="271">
        <f>K531*0.25</f>
        <v>188850.15372777911</v>
      </c>
      <c r="M531" s="272">
        <f t="shared" si="168"/>
        <v>944250.76863889559</v>
      </c>
      <c r="N531" s="271">
        <f>M531+M535</f>
        <v>1057358.5178938126</v>
      </c>
      <c r="O531" s="271">
        <f>'DGSP_chitiet (truKH)'!K531</f>
        <v>745733.64491111645</v>
      </c>
      <c r="P531" s="271">
        <f>'DGSP_chitiet (truKH)'!L531</f>
        <v>186433.41122777911</v>
      </c>
      <c r="Q531" s="306">
        <f>'DGSP_chitiet (truKH)'!M531</f>
        <v>932167.05613889557</v>
      </c>
      <c r="R531" s="271">
        <f>'DGSP_chitiet (truKH)'!N531</f>
        <v>1044465.4230527499</v>
      </c>
      <c r="S531" s="271">
        <f>S521-S567/100</f>
        <v>18578.649155722327</v>
      </c>
    </row>
    <row r="532" spans="1:19" s="232" customFormat="1" ht="15" customHeight="1">
      <c r="A532" s="1005"/>
      <c r="B532" s="1014"/>
      <c r="C532" s="1005"/>
      <c r="D532" s="242">
        <v>3</v>
      </c>
      <c r="E532" s="271">
        <f t="shared" si="166"/>
        <v>780414.93232603115</v>
      </c>
      <c r="F532" s="271">
        <f t="shared" si="166"/>
        <v>43788.884615384617</v>
      </c>
      <c r="G532" s="271">
        <f t="shared" si="166"/>
        <v>5091.9266752577323</v>
      </c>
      <c r="H532" s="271">
        <f t="shared" si="166"/>
        <v>44234.199484536075</v>
      </c>
      <c r="I532" s="271">
        <f t="shared" si="166"/>
        <v>12893.081428571428</v>
      </c>
      <c r="J532" s="271">
        <f t="shared" si="166"/>
        <v>131.334</v>
      </c>
      <c r="K532" s="271">
        <f t="shared" si="167"/>
        <v>886554.35852978099</v>
      </c>
      <c r="L532" s="271">
        <f>K532*0.25</f>
        <v>221638.58963244525</v>
      </c>
      <c r="M532" s="272">
        <f t="shared" si="168"/>
        <v>1108192.9481622262</v>
      </c>
      <c r="N532" s="271">
        <f>M532+M536</f>
        <v>1228589.1303324907</v>
      </c>
      <c r="O532" s="271">
        <f>'DGSP_chitiet (truKH)'!K532</f>
        <v>873661.27710120962</v>
      </c>
      <c r="P532" s="271">
        <f>'DGSP_chitiet (truKH)'!L532</f>
        <v>218415.31927530241</v>
      </c>
      <c r="Q532" s="306">
        <f>'DGSP_chitiet (truKH)'!M532</f>
        <v>1092076.596376512</v>
      </c>
      <c r="R532" s="271">
        <f>'DGSP_chitiet (truKH)'!N532</f>
        <v>1211641.7806214304</v>
      </c>
      <c r="S532" s="271">
        <f>S522-S568/100</f>
        <v>22182.26655432197</v>
      </c>
    </row>
    <row r="533" spans="1:19" s="232" customFormat="1" ht="15" customHeight="1">
      <c r="A533" s="1005"/>
      <c r="B533" s="1014"/>
      <c r="C533" s="1005"/>
      <c r="D533" s="242">
        <v>4</v>
      </c>
      <c r="E533" s="271">
        <f t="shared" si="166"/>
        <v>933137.71084722236</v>
      </c>
      <c r="F533" s="271">
        <f t="shared" si="166"/>
        <v>52539.384615384617</v>
      </c>
      <c r="G533" s="271">
        <f t="shared" si="166"/>
        <v>6053.8686467236475</v>
      </c>
      <c r="H533" s="271">
        <f t="shared" si="166"/>
        <v>38485.883333333331</v>
      </c>
      <c r="I533" s="271">
        <f t="shared" si="166"/>
        <v>15471.835714285715</v>
      </c>
      <c r="J533" s="271">
        <f t="shared" si="166"/>
        <v>155.82000000000002</v>
      </c>
      <c r="K533" s="271">
        <f t="shared" si="167"/>
        <v>1045844.5031569496</v>
      </c>
      <c r="L533" s="271">
        <f>K533*0.25</f>
        <v>261461.12578923741</v>
      </c>
      <c r="M533" s="272">
        <f t="shared" si="168"/>
        <v>1307305.628946187</v>
      </c>
      <c r="N533" s="271">
        <f>M533+M537</f>
        <v>1435703.6672071749</v>
      </c>
      <c r="O533" s="271">
        <f>'DGSP_chitiet (truKH)'!K533</f>
        <v>1030372.6674426639</v>
      </c>
      <c r="P533" s="271">
        <f>'DGSP_chitiet (truKH)'!L533</f>
        <v>257593.16686066598</v>
      </c>
      <c r="Q533" s="306">
        <f>'DGSP_chitiet (truKH)'!M533</f>
        <v>1287965.8343033299</v>
      </c>
      <c r="R533" s="271">
        <f>'DGSP_chitiet (truKH)'!N533</f>
        <v>1415507.7612291574</v>
      </c>
      <c r="S533" s="271">
        <f>S523-S569/100</f>
        <v>26516.616452991446</v>
      </c>
    </row>
    <row r="534" spans="1:19" s="232" customFormat="1" ht="12.75" customHeight="1">
      <c r="A534" s="1005"/>
      <c r="B534" s="1006" t="s">
        <v>331</v>
      </c>
      <c r="C534" s="1005" t="s">
        <v>49</v>
      </c>
      <c r="D534" s="242">
        <v>1</v>
      </c>
      <c r="E534" s="271">
        <f t="shared" ref="E534:J537" si="169">E524</f>
        <v>69203.595244776137</v>
      </c>
      <c r="F534" s="271">
        <f t="shared" si="169"/>
        <v>0</v>
      </c>
      <c r="G534" s="271">
        <f t="shared" si="169"/>
        <v>980.17701647179479</v>
      </c>
      <c r="H534" s="271">
        <f t="shared" si="169"/>
        <v>20885.298507462685</v>
      </c>
      <c r="I534" s="271">
        <f t="shared" si="169"/>
        <v>719.30441114072482</v>
      </c>
      <c r="J534" s="271">
        <f t="shared" si="169"/>
        <v>1290.7942746268654</v>
      </c>
      <c r="K534" s="271">
        <f t="shared" si="167"/>
        <v>93079.169454478193</v>
      </c>
      <c r="L534" s="271">
        <f>K534*0.15</f>
        <v>13961.875418171729</v>
      </c>
      <c r="M534" s="272">
        <f t="shared" si="168"/>
        <v>107041.04487264992</v>
      </c>
      <c r="N534" s="271"/>
      <c r="O534" s="271">
        <f>'DGSP_chitiet (truKH)'!K534</f>
        <v>92359.865043337471</v>
      </c>
      <c r="P534" s="271">
        <f>'DGSP_chitiet (truKH)'!L534</f>
        <v>13853.979756500621</v>
      </c>
      <c r="Q534" s="306">
        <f>'DGSP_chitiet (truKH)'!M534</f>
        <v>106213.84479983809</v>
      </c>
      <c r="R534" s="271">
        <f>'DGSP_chitiet (truKH)'!N534</f>
        <v>0</v>
      </c>
      <c r="S534" s="271">
        <f>S524</f>
        <v>1819.9152698048222</v>
      </c>
    </row>
    <row r="535" spans="1:19" s="232" customFormat="1" ht="12.75" customHeight="1">
      <c r="A535" s="1005"/>
      <c r="B535" s="1014"/>
      <c r="C535" s="1005"/>
      <c r="D535" s="242">
        <v>2</v>
      </c>
      <c r="E535" s="271">
        <f t="shared" si="169"/>
        <v>75744.614187804895</v>
      </c>
      <c r="F535" s="271">
        <f t="shared" si="169"/>
        <v>0</v>
      </c>
      <c r="G535" s="271">
        <f t="shared" si="169"/>
        <v>1012.6313625244424</v>
      </c>
      <c r="H535" s="271">
        <f t="shared" si="169"/>
        <v>19578.414634146342</v>
      </c>
      <c r="I535" s="271">
        <f t="shared" si="169"/>
        <v>703.81073135888505</v>
      </c>
      <c r="J535" s="271">
        <f t="shared" si="169"/>
        <v>1315.0936536585366</v>
      </c>
      <c r="K535" s="271">
        <f t="shared" si="167"/>
        <v>98354.564569493101</v>
      </c>
      <c r="L535" s="271">
        <f>K535*0.15</f>
        <v>14753.184685423965</v>
      </c>
      <c r="M535" s="272">
        <f t="shared" si="168"/>
        <v>113107.74925491707</v>
      </c>
      <c r="N535" s="271"/>
      <c r="O535" s="271">
        <f>'DGSP_chitiet (truKH)'!K535</f>
        <v>97650.753838134216</v>
      </c>
      <c r="P535" s="271">
        <f>'DGSP_chitiet (truKH)'!L535</f>
        <v>14647.613075720132</v>
      </c>
      <c r="Q535" s="306">
        <f>'DGSP_chitiet (truKH)'!M535</f>
        <v>112298.36691385435</v>
      </c>
      <c r="R535" s="271">
        <f>'DGSP_chitiet (truKH)'!N535</f>
        <v>0</v>
      </c>
      <c r="S535" s="271">
        <f>S525</f>
        <v>1977.339774859287</v>
      </c>
    </row>
    <row r="536" spans="1:19" s="232" customFormat="1" ht="12.75" customHeight="1">
      <c r="A536" s="1005"/>
      <c r="B536" s="1014"/>
      <c r="C536" s="1005"/>
      <c r="D536" s="242">
        <v>3</v>
      </c>
      <c r="E536" s="271">
        <f t="shared" si="169"/>
        <v>82785.450294845374</v>
      </c>
      <c r="F536" s="271">
        <f t="shared" si="169"/>
        <v>0</v>
      </c>
      <c r="G536" s="271">
        <f t="shared" si="169"/>
        <v>1095.4611478895056</v>
      </c>
      <c r="H536" s="271">
        <f t="shared" si="169"/>
        <v>18675.721649484534</v>
      </c>
      <c r="I536" s="271">
        <f t="shared" si="169"/>
        <v>722.60689160530183</v>
      </c>
      <c r="J536" s="271">
        <f t="shared" si="169"/>
        <v>1413.0923381443301</v>
      </c>
      <c r="K536" s="271">
        <f t="shared" si="167"/>
        <v>104692.33232196905</v>
      </c>
      <c r="L536" s="271">
        <f>K536*0.15</f>
        <v>15703.849848295356</v>
      </c>
      <c r="M536" s="272">
        <f t="shared" si="168"/>
        <v>120396.18217026441</v>
      </c>
      <c r="N536" s="271"/>
      <c r="O536" s="271">
        <f>'DGSP_chitiet (truKH)'!K536</f>
        <v>103969.72543036375</v>
      </c>
      <c r="P536" s="271">
        <f>'DGSP_chitiet (truKH)'!L536</f>
        <v>15595.45881455456</v>
      </c>
      <c r="Q536" s="306">
        <f>'DGSP_chitiet (truKH)'!M536</f>
        <v>119565.1842449183</v>
      </c>
      <c r="R536" s="271">
        <f>'DGSP_chitiet (truKH)'!N536</f>
        <v>0</v>
      </c>
      <c r="S536" s="271">
        <f>S526</f>
        <v>2148.9149881046787</v>
      </c>
    </row>
    <row r="537" spans="1:19" s="232" customFormat="1" ht="12.75" customHeight="1">
      <c r="A537" s="1005"/>
      <c r="B537" s="1014"/>
      <c r="C537" s="1005"/>
      <c r="D537" s="242">
        <v>4</v>
      </c>
      <c r="E537" s="271">
        <f t="shared" si="169"/>
        <v>90251.839470222229</v>
      </c>
      <c r="F537" s="271">
        <f t="shared" si="169"/>
        <v>0</v>
      </c>
      <c r="G537" s="271">
        <f t="shared" si="169"/>
        <v>1163.331156874264</v>
      </c>
      <c r="H537" s="271">
        <f t="shared" si="169"/>
        <v>17995.826666666668</v>
      </c>
      <c r="I537" s="271">
        <f t="shared" si="169"/>
        <v>744.44463926984122</v>
      </c>
      <c r="J537" s="271">
        <f t="shared" si="169"/>
        <v>1495.02612</v>
      </c>
      <c r="K537" s="271">
        <f t="shared" si="167"/>
        <v>111650.46805303299</v>
      </c>
      <c r="L537" s="271">
        <f>K537*0.15</f>
        <v>16747.570207954948</v>
      </c>
      <c r="M537" s="272">
        <f t="shared" si="168"/>
        <v>128398.03826098795</v>
      </c>
      <c r="N537" s="271"/>
      <c r="O537" s="271">
        <f>'DGSP_chitiet (truKH)'!K537</f>
        <v>110906.02341376315</v>
      </c>
      <c r="P537" s="271">
        <f>'DGSP_chitiet (truKH)'!L537</f>
        <v>16635.903512064473</v>
      </c>
      <c r="Q537" s="306">
        <f>'DGSP_chitiet (truKH)'!M537</f>
        <v>127541.92692582762</v>
      </c>
      <c r="R537" s="271">
        <f>'DGSP_chitiet (truKH)'!N537</f>
        <v>0</v>
      </c>
      <c r="S537" s="271">
        <f>S527</f>
        <v>2331.9939829059826</v>
      </c>
    </row>
    <row r="538" spans="1:19" s="232" customFormat="1" ht="13.5">
      <c r="A538" s="242" t="s">
        <v>325</v>
      </c>
      <c r="B538" s="277" t="s">
        <v>423</v>
      </c>
      <c r="C538" s="242"/>
      <c r="D538" s="242"/>
      <c r="E538" s="271"/>
      <c r="F538" s="271"/>
      <c r="G538" s="271"/>
      <c r="H538" s="271"/>
      <c r="I538" s="271"/>
      <c r="J538" s="271"/>
      <c r="K538" s="271"/>
      <c r="L538" s="271"/>
      <c r="M538" s="272"/>
      <c r="N538" s="271"/>
      <c r="O538" s="271">
        <f>'DGSP_chitiet (truKH)'!K538</f>
        <v>0</v>
      </c>
      <c r="P538" s="271">
        <f>'DGSP_chitiet (truKH)'!L538</f>
        <v>0</v>
      </c>
      <c r="Q538" s="306">
        <f>'DGSP_chitiet (truKH)'!M538</f>
        <v>0</v>
      </c>
      <c r="R538" s="271">
        <f>'DGSP_chitiet (truKH)'!N538</f>
        <v>0</v>
      </c>
      <c r="S538" s="271"/>
    </row>
    <row r="539" spans="1:19" s="232" customFormat="1">
      <c r="A539" s="1005"/>
      <c r="B539" s="1006" t="s">
        <v>330</v>
      </c>
      <c r="C539" s="1005" t="s">
        <v>49</v>
      </c>
      <c r="D539" s="242">
        <v>1</v>
      </c>
      <c r="E539" s="271">
        <f t="shared" ref="E539:G546" si="170">E520*0.9</f>
        <v>531043.69978964562</v>
      </c>
      <c r="F539" s="271">
        <f t="shared" si="170"/>
        <v>27359.411538461543</v>
      </c>
      <c r="G539" s="271">
        <f t="shared" si="170"/>
        <v>3395.3680935706088</v>
      </c>
      <c r="H539" s="271">
        <f t="shared" ref="H539:H546" si="171">H520</f>
        <v>63041.162574626862</v>
      </c>
      <c r="I539" s="271">
        <f t="shared" ref="I539:J546" si="172">I520*0.9</f>
        <v>7488.8717142857131</v>
      </c>
      <c r="J539" s="271">
        <f t="shared" si="172"/>
        <v>77.130900000000011</v>
      </c>
      <c r="K539" s="271">
        <f t="shared" ref="K539:K546" si="173">SUM(E539:J539)</f>
        <v>632405.6446105903</v>
      </c>
      <c r="L539" s="271">
        <f>K539*0.25</f>
        <v>158101.41115264758</v>
      </c>
      <c r="M539" s="272">
        <f t="shared" ref="M539:M546" si="174">K539+L539</f>
        <v>790507.05576323788</v>
      </c>
      <c r="N539" s="271">
        <f>M539+M543</f>
        <v>889245.80547698098</v>
      </c>
      <c r="O539" s="271">
        <f>'DGSP_chitiet (truKH)'!K539</f>
        <v>624916.77289630461</v>
      </c>
      <c r="P539" s="271">
        <f>'DGSP_chitiet (truKH)'!L539</f>
        <v>156229.19322407615</v>
      </c>
      <c r="Q539" s="306">
        <f>'DGSP_chitiet (truKH)'!M539</f>
        <v>781145.96612038079</v>
      </c>
      <c r="R539" s="271">
        <f>'DGSP_chitiet (truKH)'!N539</f>
        <v>879140.23576859327</v>
      </c>
      <c r="S539" s="271">
        <f t="shared" ref="S539:S546" si="175">S520*0.9</f>
        <v>15102.199232204361</v>
      </c>
    </row>
    <row r="540" spans="1:19" s="232" customFormat="1" ht="15" customHeight="1">
      <c r="A540" s="1005"/>
      <c r="B540" s="1014"/>
      <c r="C540" s="1005"/>
      <c r="D540" s="242">
        <v>2</v>
      </c>
      <c r="E540" s="271">
        <f t="shared" si="170"/>
        <v>634855.17738567095</v>
      </c>
      <c r="F540" s="271">
        <f t="shared" si="170"/>
        <v>32844.392307692302</v>
      </c>
      <c r="G540" s="271">
        <f t="shared" si="170"/>
        <v>4183.1819148686682</v>
      </c>
      <c r="H540" s="271">
        <f t="shared" si="171"/>
        <v>51991.836036585366</v>
      </c>
      <c r="I540" s="271">
        <f t="shared" si="172"/>
        <v>9357.7564285714307</v>
      </c>
      <c r="J540" s="271">
        <f t="shared" si="172"/>
        <v>96.96456000000002</v>
      </c>
      <c r="K540" s="271">
        <f t="shared" si="173"/>
        <v>733329.30863338872</v>
      </c>
      <c r="L540" s="271">
        <f>K540*0.25</f>
        <v>183332.32715834718</v>
      </c>
      <c r="M540" s="272">
        <f t="shared" si="174"/>
        <v>916661.63579173596</v>
      </c>
      <c r="N540" s="271">
        <f>M540+M544</f>
        <v>1020710.1278040882</v>
      </c>
      <c r="O540" s="271">
        <f>'DGSP_chitiet (truKH)'!K540</f>
        <v>723971.5522048173</v>
      </c>
      <c r="P540" s="271">
        <f>'DGSP_chitiet (truKH)'!L540</f>
        <v>180992.88805120433</v>
      </c>
      <c r="Q540" s="306">
        <f>'DGSP_chitiet (truKH)'!M540</f>
        <v>904964.44025602168</v>
      </c>
      <c r="R540" s="271">
        <f>'DGSP_chitiet (truKH)'!N540</f>
        <v>1008284.4881614174</v>
      </c>
      <c r="S540" s="271">
        <f t="shared" si="175"/>
        <v>18045.385201688558</v>
      </c>
    </row>
    <row r="541" spans="1:19" s="232" customFormat="1" ht="15" customHeight="1">
      <c r="A541" s="1005"/>
      <c r="B541" s="1014"/>
      <c r="C541" s="1005"/>
      <c r="D541" s="242">
        <v>3</v>
      </c>
      <c r="E541" s="271">
        <f t="shared" si="170"/>
        <v>764626.19215592812</v>
      </c>
      <c r="F541" s="271">
        <f t="shared" si="170"/>
        <v>39409.996153846158</v>
      </c>
      <c r="G541" s="271">
        <f t="shared" si="170"/>
        <v>5521.3712192704206</v>
      </c>
      <c r="H541" s="271">
        <f t="shared" si="171"/>
        <v>44359.826984536077</v>
      </c>
      <c r="I541" s="271">
        <f t="shared" si="172"/>
        <v>12478.578428571429</v>
      </c>
      <c r="J541" s="271">
        <f t="shared" si="172"/>
        <v>129.41964000000002</v>
      </c>
      <c r="K541" s="271">
        <f t="shared" si="173"/>
        <v>866525.38458215224</v>
      </c>
      <c r="L541" s="271">
        <f>K541*0.25</f>
        <v>216631.34614553806</v>
      </c>
      <c r="M541" s="272">
        <f t="shared" si="174"/>
        <v>1083156.7307276903</v>
      </c>
      <c r="N541" s="271">
        <f>M541+M545</f>
        <v>1193661.0026706189</v>
      </c>
      <c r="O541" s="271">
        <f>'DGSP_chitiet (truKH)'!K541</f>
        <v>854046.80615358078</v>
      </c>
      <c r="P541" s="271">
        <f>'DGSP_chitiet (truKH)'!L541</f>
        <v>213511.70153839519</v>
      </c>
      <c r="Q541" s="306">
        <f>'DGSP_chitiet (truKH)'!M541</f>
        <v>1067558.5076919759</v>
      </c>
      <c r="R541" s="271">
        <f>'DGSP_chitiet (truKH)'!N541</f>
        <v>1177314.881502093</v>
      </c>
      <c r="S541" s="271">
        <f t="shared" si="175"/>
        <v>21726.52547581285</v>
      </c>
    </row>
    <row r="542" spans="1:19" s="232" customFormat="1" ht="15" customHeight="1">
      <c r="A542" s="1005"/>
      <c r="B542" s="1014"/>
      <c r="C542" s="1005"/>
      <c r="D542" s="242">
        <v>4</v>
      </c>
      <c r="E542" s="271">
        <f t="shared" si="170"/>
        <v>914449.91082500014</v>
      </c>
      <c r="F542" s="271">
        <f t="shared" si="170"/>
        <v>47285.446153846155</v>
      </c>
      <c r="G542" s="271">
        <f t="shared" si="170"/>
        <v>6574.846435897437</v>
      </c>
      <c r="H542" s="271">
        <f t="shared" si="171"/>
        <v>38611.510833333334</v>
      </c>
      <c r="I542" s="271">
        <f t="shared" si="172"/>
        <v>14976.144</v>
      </c>
      <c r="J542" s="271">
        <f t="shared" si="172"/>
        <v>153.86112000000003</v>
      </c>
      <c r="K542" s="271">
        <f t="shared" si="173"/>
        <v>1022051.719368077</v>
      </c>
      <c r="L542" s="271">
        <f>K542*0.25</f>
        <v>255512.92984201925</v>
      </c>
      <c r="M542" s="272">
        <f t="shared" si="174"/>
        <v>1277564.6492100963</v>
      </c>
      <c r="N542" s="271">
        <f>M542+M546</f>
        <v>1395192.4037116522</v>
      </c>
      <c r="O542" s="271">
        <f>'DGSP_chitiet (truKH)'!K542</f>
        <v>1007075.575368077</v>
      </c>
      <c r="P542" s="271">
        <f>'DGSP_chitiet (truKH)'!L542</f>
        <v>251768.89384201926</v>
      </c>
      <c r="Q542" s="306">
        <f>'DGSP_chitiet (truKH)'!M542</f>
        <v>1258844.4692100962</v>
      </c>
      <c r="R542" s="271">
        <f>'DGSP_chitiet (truKH)'!N542</f>
        <v>1375701.7235100076</v>
      </c>
      <c r="S542" s="271">
        <f t="shared" si="175"/>
        <v>25977.748076923071</v>
      </c>
    </row>
    <row r="543" spans="1:19" s="232" customFormat="1" ht="12.75" customHeight="1">
      <c r="A543" s="1005"/>
      <c r="B543" s="1006" t="s">
        <v>331</v>
      </c>
      <c r="C543" s="1005" t="s">
        <v>49</v>
      </c>
      <c r="D543" s="275" t="s">
        <v>18</v>
      </c>
      <c r="E543" s="271">
        <f t="shared" si="170"/>
        <v>62283.235720298522</v>
      </c>
      <c r="F543" s="271">
        <f t="shared" si="170"/>
        <v>0</v>
      </c>
      <c r="G543" s="271">
        <f t="shared" si="170"/>
        <v>882.15931482461531</v>
      </c>
      <c r="H543" s="271">
        <f t="shared" si="171"/>
        <v>20885.298507462685</v>
      </c>
      <c r="I543" s="271">
        <f t="shared" si="172"/>
        <v>647.37397002665239</v>
      </c>
      <c r="J543" s="271">
        <f t="shared" si="172"/>
        <v>1161.714847164179</v>
      </c>
      <c r="K543" s="271">
        <f t="shared" si="173"/>
        <v>85859.782359776655</v>
      </c>
      <c r="L543" s="271">
        <f>K543*0.15</f>
        <v>12878.967353966498</v>
      </c>
      <c r="M543" s="272">
        <f t="shared" si="174"/>
        <v>98738.749713743149</v>
      </c>
      <c r="N543" s="271"/>
      <c r="O543" s="271">
        <f>'DGSP_chitiet (truKH)'!K543</f>
        <v>85212.40838975001</v>
      </c>
      <c r="P543" s="271">
        <f>'DGSP_chitiet (truKH)'!L543</f>
        <v>12781.861258462501</v>
      </c>
      <c r="Q543" s="306">
        <f>'DGSP_chitiet (truKH)'!M543</f>
        <v>97994.269648212503</v>
      </c>
      <c r="R543" s="271">
        <f>'DGSP_chitiet (truKH)'!N543</f>
        <v>0</v>
      </c>
      <c r="S543" s="271">
        <f t="shared" si="175"/>
        <v>1637.92374282434</v>
      </c>
    </row>
    <row r="544" spans="1:19" s="232" customFormat="1" ht="12.75" customHeight="1">
      <c r="A544" s="1005"/>
      <c r="B544" s="1014"/>
      <c r="C544" s="1005"/>
      <c r="D544" s="242">
        <v>2</v>
      </c>
      <c r="E544" s="271">
        <f t="shared" si="170"/>
        <v>68170.152769024411</v>
      </c>
      <c r="F544" s="271">
        <f t="shared" si="170"/>
        <v>0</v>
      </c>
      <c r="G544" s="271">
        <f t="shared" si="170"/>
        <v>911.36822627199808</v>
      </c>
      <c r="H544" s="271">
        <f t="shared" si="171"/>
        <v>19578.414634146342</v>
      </c>
      <c r="I544" s="271">
        <f t="shared" si="172"/>
        <v>633.42965822299652</v>
      </c>
      <c r="J544" s="271">
        <f t="shared" si="172"/>
        <v>1183.5842882926829</v>
      </c>
      <c r="K544" s="271">
        <f t="shared" si="173"/>
        <v>90476.949575958424</v>
      </c>
      <c r="L544" s="271">
        <f>K544*0.15</f>
        <v>13571.542436393764</v>
      </c>
      <c r="M544" s="272">
        <f t="shared" si="174"/>
        <v>104048.49201235219</v>
      </c>
      <c r="N544" s="271"/>
      <c r="O544" s="271">
        <f>'DGSP_chitiet (truKH)'!K544</f>
        <v>89843.519917735422</v>
      </c>
      <c r="P544" s="271">
        <f>'DGSP_chitiet (truKH)'!L544</f>
        <v>13476.527987660313</v>
      </c>
      <c r="Q544" s="306">
        <f>'DGSP_chitiet (truKH)'!M544</f>
        <v>103320.04790539574</v>
      </c>
      <c r="R544" s="271">
        <f>'DGSP_chitiet (truKH)'!N544</f>
        <v>0</v>
      </c>
      <c r="S544" s="271">
        <f t="shared" si="175"/>
        <v>1779.6057973733584</v>
      </c>
    </row>
    <row r="545" spans="1:19" s="232" customFormat="1" ht="12.75" customHeight="1">
      <c r="A545" s="1005"/>
      <c r="B545" s="1014"/>
      <c r="C545" s="1005"/>
      <c r="D545" s="242">
        <v>3</v>
      </c>
      <c r="E545" s="271">
        <f t="shared" si="170"/>
        <v>74506.905265360838</v>
      </c>
      <c r="F545" s="271">
        <f t="shared" si="170"/>
        <v>0</v>
      </c>
      <c r="G545" s="271">
        <f t="shared" si="170"/>
        <v>985.91503310055509</v>
      </c>
      <c r="H545" s="271">
        <f t="shared" si="171"/>
        <v>18675.721649484534</v>
      </c>
      <c r="I545" s="271">
        <f t="shared" si="172"/>
        <v>650.34620244477162</v>
      </c>
      <c r="J545" s="271">
        <f t="shared" si="172"/>
        <v>1271.7831043298972</v>
      </c>
      <c r="K545" s="271">
        <f t="shared" si="173"/>
        <v>96090.671254720583</v>
      </c>
      <c r="L545" s="271">
        <f>K545*0.15</f>
        <v>14413.600688208087</v>
      </c>
      <c r="M545" s="272">
        <f t="shared" si="174"/>
        <v>110504.27194292867</v>
      </c>
      <c r="N545" s="271"/>
      <c r="O545" s="271">
        <f>'DGSP_chitiet (truKH)'!K545</f>
        <v>95440.325052275817</v>
      </c>
      <c r="P545" s="271">
        <f>'DGSP_chitiet (truKH)'!L545</f>
        <v>14316.048757841372</v>
      </c>
      <c r="Q545" s="306">
        <f>'DGSP_chitiet (truKH)'!M545</f>
        <v>109756.37381011719</v>
      </c>
      <c r="R545" s="271">
        <f>'DGSP_chitiet (truKH)'!N545</f>
        <v>0</v>
      </c>
      <c r="S545" s="271">
        <f t="shared" si="175"/>
        <v>1934.023489294211</v>
      </c>
    </row>
    <row r="546" spans="1:19" s="232" customFormat="1" ht="12.75" customHeight="1">
      <c r="A546" s="1005"/>
      <c r="B546" s="1014"/>
      <c r="C546" s="1005"/>
      <c r="D546" s="242">
        <v>4</v>
      </c>
      <c r="E546" s="271">
        <f t="shared" si="170"/>
        <v>81226.65552320001</v>
      </c>
      <c r="F546" s="271">
        <f t="shared" si="170"/>
        <v>0</v>
      </c>
      <c r="G546" s="271">
        <f t="shared" si="170"/>
        <v>1046.9980411868376</v>
      </c>
      <c r="H546" s="271">
        <f t="shared" si="171"/>
        <v>17995.826666666668</v>
      </c>
      <c r="I546" s="271">
        <f t="shared" si="172"/>
        <v>670.00017534285712</v>
      </c>
      <c r="J546" s="271">
        <f t="shared" si="172"/>
        <v>1345.523508</v>
      </c>
      <c r="K546" s="271">
        <f t="shared" si="173"/>
        <v>102285.00391439637</v>
      </c>
      <c r="L546" s="271">
        <f>K546*0.15</f>
        <v>15342.750587159455</v>
      </c>
      <c r="M546" s="272">
        <f t="shared" si="174"/>
        <v>117627.75450155581</v>
      </c>
      <c r="N546" s="271"/>
      <c r="O546" s="271">
        <f>'DGSP_chitiet (truKH)'!K546</f>
        <v>101615.00373905351</v>
      </c>
      <c r="P546" s="271">
        <f>'DGSP_chitiet (truKH)'!L546</f>
        <v>15242.250560858027</v>
      </c>
      <c r="Q546" s="306">
        <f>'DGSP_chitiet (truKH)'!M546</f>
        <v>116857.25429991154</v>
      </c>
      <c r="R546" s="271">
        <f>'DGSP_chitiet (truKH)'!N546</f>
        <v>0</v>
      </c>
      <c r="S546" s="271">
        <f t="shared" si="175"/>
        <v>2098.7945846153843</v>
      </c>
    </row>
    <row r="547" spans="1:19" s="232" customFormat="1" ht="12.75" customHeight="1">
      <c r="A547" s="242" t="s">
        <v>334</v>
      </c>
      <c r="B547" s="277" t="s">
        <v>424</v>
      </c>
      <c r="C547" s="242"/>
      <c r="D547" s="242"/>
      <c r="E547" s="271"/>
      <c r="F547" s="271"/>
      <c r="G547" s="271"/>
      <c r="H547" s="271"/>
      <c r="I547" s="271"/>
      <c r="J547" s="271"/>
      <c r="K547" s="271"/>
      <c r="L547" s="271"/>
      <c r="M547" s="272"/>
      <c r="N547" s="271"/>
      <c r="O547" s="271">
        <f>'DGSP_chitiet (truKH)'!K547</f>
        <v>0</v>
      </c>
      <c r="P547" s="271">
        <f>'DGSP_chitiet (truKH)'!L547</f>
        <v>0</v>
      </c>
      <c r="Q547" s="306">
        <f>'DGSP_chitiet (truKH)'!M547</f>
        <v>0</v>
      </c>
      <c r="R547" s="271">
        <f>'DGSP_chitiet (truKH)'!N547</f>
        <v>0</v>
      </c>
      <c r="S547" s="271"/>
    </row>
    <row r="548" spans="1:19" s="232" customFormat="1">
      <c r="A548" s="1005"/>
      <c r="B548" s="1006" t="s">
        <v>330</v>
      </c>
      <c r="C548" s="1005" t="s">
        <v>49</v>
      </c>
      <c r="D548" s="242">
        <v>1</v>
      </c>
      <c r="E548" s="271">
        <f t="shared" ref="E548:G555" si="176">E520*0.8</f>
        <v>472038.84425746277</v>
      </c>
      <c r="F548" s="271">
        <f t="shared" si="176"/>
        <v>24319.476923076931</v>
      </c>
      <c r="G548" s="271">
        <f t="shared" si="176"/>
        <v>3018.1049720627634</v>
      </c>
      <c r="H548" s="271">
        <f t="shared" ref="H548:H555" si="177">H520</f>
        <v>63041.162574626862</v>
      </c>
      <c r="I548" s="271">
        <f t="shared" ref="I548:J555" si="178">I520*0.8</f>
        <v>6656.7748571428565</v>
      </c>
      <c r="J548" s="271">
        <f t="shared" si="178"/>
        <v>68.560800000000015</v>
      </c>
      <c r="K548" s="271">
        <f t="shared" ref="K548:K555" si="179">SUM(E548:J548)</f>
        <v>569142.92438437208</v>
      </c>
      <c r="L548" s="271">
        <f>K548*0.25</f>
        <v>142285.73109609302</v>
      </c>
      <c r="M548" s="272">
        <f t="shared" ref="M548:M555" si="180">K548+L548</f>
        <v>711428.65548046515</v>
      </c>
      <c r="N548" s="271">
        <f>M548+M552</f>
        <v>801865.11003530154</v>
      </c>
      <c r="O548" s="271">
        <f>'DGSP_chitiet (truKH)'!K548</f>
        <v>562486.14952722925</v>
      </c>
      <c r="P548" s="271">
        <f>'DGSP_chitiet (truKH)'!L548</f>
        <v>140621.53738180731</v>
      </c>
      <c r="Q548" s="306">
        <f>'DGSP_chitiet (truKH)'!M548</f>
        <v>703107.68690903659</v>
      </c>
      <c r="R548" s="271">
        <f>'DGSP_chitiet (truKH)'!N548</f>
        <v>792882.38140562351</v>
      </c>
      <c r="S548" s="271">
        <f t="shared" ref="S548:S555" si="181">S520*0.8</f>
        <v>13424.177095292765</v>
      </c>
    </row>
    <row r="549" spans="1:19" s="232" customFormat="1" ht="15" customHeight="1">
      <c r="A549" s="1005"/>
      <c r="B549" s="1014"/>
      <c r="C549" s="1005"/>
      <c r="D549" s="242">
        <v>2</v>
      </c>
      <c r="E549" s="271">
        <f t="shared" si="176"/>
        <v>564315.71323170746</v>
      </c>
      <c r="F549" s="271">
        <f t="shared" si="176"/>
        <v>29195.015384615384</v>
      </c>
      <c r="G549" s="271">
        <f t="shared" si="176"/>
        <v>3718.3839243277052</v>
      </c>
      <c r="H549" s="271">
        <f t="shared" si="177"/>
        <v>51991.836036585366</v>
      </c>
      <c r="I549" s="271">
        <f t="shared" si="178"/>
        <v>8318.0057142857167</v>
      </c>
      <c r="J549" s="271">
        <f t="shared" si="178"/>
        <v>86.190720000000013</v>
      </c>
      <c r="K549" s="271">
        <f t="shared" si="179"/>
        <v>657625.14501152164</v>
      </c>
      <c r="L549" s="271">
        <f>K549*0.25</f>
        <v>164406.28625288041</v>
      </c>
      <c r="M549" s="272">
        <f t="shared" si="180"/>
        <v>822031.43126440211</v>
      </c>
      <c r="N549" s="271">
        <f>M549+M553</f>
        <v>917020.6660341894</v>
      </c>
      <c r="O549" s="271">
        <f>'DGSP_chitiet (truKH)'!K549</f>
        <v>649307.13929723587</v>
      </c>
      <c r="P549" s="271">
        <f>'DGSP_chitiet (truKH)'!L549</f>
        <v>162326.78482430897</v>
      </c>
      <c r="Q549" s="306">
        <f>'DGSP_chitiet (truKH)'!M549</f>
        <v>811633.92412154481</v>
      </c>
      <c r="R549" s="271">
        <f>'DGSP_chitiet (truKH)'!N549</f>
        <v>905975.65301848191</v>
      </c>
      <c r="S549" s="271">
        <f t="shared" si="181"/>
        <v>16040.34240150094</v>
      </c>
    </row>
    <row r="550" spans="1:19" s="232" customFormat="1" ht="15" customHeight="1">
      <c r="A550" s="1005"/>
      <c r="B550" s="1014"/>
      <c r="C550" s="1005"/>
      <c r="D550" s="242">
        <v>3</v>
      </c>
      <c r="E550" s="271">
        <f t="shared" si="176"/>
        <v>679667.72636082501</v>
      </c>
      <c r="F550" s="271">
        <f t="shared" si="176"/>
        <v>35031.107692307698</v>
      </c>
      <c r="G550" s="271">
        <f t="shared" si="176"/>
        <v>4907.8855282403738</v>
      </c>
      <c r="H550" s="271">
        <f t="shared" si="177"/>
        <v>44359.826984536077</v>
      </c>
      <c r="I550" s="271">
        <f t="shared" si="178"/>
        <v>11092.069714285715</v>
      </c>
      <c r="J550" s="271">
        <f t="shared" si="178"/>
        <v>115.03968</v>
      </c>
      <c r="K550" s="271">
        <f t="shared" si="179"/>
        <v>775173.65596019488</v>
      </c>
      <c r="L550" s="271">
        <f>K550*0.25</f>
        <v>193793.41399004872</v>
      </c>
      <c r="M550" s="272">
        <f t="shared" si="180"/>
        <v>968967.06995024357</v>
      </c>
      <c r="N550" s="271">
        <f>M550+M554</f>
        <v>1069579.4316658366</v>
      </c>
      <c r="O550" s="271">
        <f>'DGSP_chitiet (truKH)'!K550</f>
        <v>764081.58624590922</v>
      </c>
      <c r="P550" s="271">
        <f>'DGSP_chitiet (truKH)'!L550</f>
        <v>191020.3965614773</v>
      </c>
      <c r="Q550" s="306">
        <f>'DGSP_chitiet (truKH)'!M550</f>
        <v>955101.98280738655</v>
      </c>
      <c r="R550" s="271">
        <f>'DGSP_chitiet (truKH)'!N550</f>
        <v>1055049.5461827028</v>
      </c>
      <c r="S550" s="271">
        <f t="shared" si="181"/>
        <v>19312.467089611422</v>
      </c>
    </row>
    <row r="551" spans="1:19" s="232" customFormat="1" ht="15" customHeight="1">
      <c r="A551" s="1005"/>
      <c r="B551" s="1014"/>
      <c r="C551" s="1005"/>
      <c r="D551" s="242">
        <v>4</v>
      </c>
      <c r="E551" s="271">
        <f t="shared" si="176"/>
        <v>812844.36517777795</v>
      </c>
      <c r="F551" s="271">
        <f t="shared" si="176"/>
        <v>42031.507692307699</v>
      </c>
      <c r="G551" s="271">
        <f t="shared" si="176"/>
        <v>5844.3079430199441</v>
      </c>
      <c r="H551" s="271">
        <f t="shared" si="177"/>
        <v>38611.510833333334</v>
      </c>
      <c r="I551" s="271">
        <f t="shared" si="178"/>
        <v>13312.128000000001</v>
      </c>
      <c r="J551" s="271">
        <f t="shared" si="178"/>
        <v>136.76544000000001</v>
      </c>
      <c r="K551" s="271">
        <f t="shared" si="179"/>
        <v>912780.58508643892</v>
      </c>
      <c r="L551" s="271">
        <f>K551*0.25</f>
        <v>228195.14627160973</v>
      </c>
      <c r="M551" s="272">
        <f t="shared" si="180"/>
        <v>1140975.7313580487</v>
      </c>
      <c r="N551" s="271">
        <f>M551+M555</f>
        <v>1247833.2021001724</v>
      </c>
      <c r="O551" s="271">
        <f>'DGSP_chitiet (truKH)'!K551</f>
        <v>899468.4570864389</v>
      </c>
      <c r="P551" s="271">
        <f>'DGSP_chitiet (truKH)'!L551</f>
        <v>224867.11427160972</v>
      </c>
      <c r="Q551" s="306">
        <f>'DGSP_chitiet (truKH)'!M551</f>
        <v>1124335.5713580486</v>
      </c>
      <c r="R551" s="271">
        <f>'DGSP_chitiet (truKH)'!N551</f>
        <v>1230508.1530320439</v>
      </c>
      <c r="S551" s="271">
        <f t="shared" si="181"/>
        <v>23091.331623931619</v>
      </c>
    </row>
    <row r="552" spans="1:19" s="232" customFormat="1" ht="12.75" customHeight="1">
      <c r="A552" s="1005"/>
      <c r="B552" s="1006" t="s">
        <v>331</v>
      </c>
      <c r="C552" s="1005" t="s">
        <v>49</v>
      </c>
      <c r="D552" s="275" t="s">
        <v>18</v>
      </c>
      <c r="E552" s="271">
        <f t="shared" si="176"/>
        <v>55362.876195820914</v>
      </c>
      <c r="F552" s="271">
        <f t="shared" si="176"/>
        <v>0</v>
      </c>
      <c r="G552" s="271">
        <f t="shared" si="176"/>
        <v>784.14161317743583</v>
      </c>
      <c r="H552" s="271">
        <f t="shared" si="177"/>
        <v>20885.298507462685</v>
      </c>
      <c r="I552" s="271">
        <f t="shared" si="178"/>
        <v>575.44352891257984</v>
      </c>
      <c r="J552" s="271">
        <f t="shared" si="178"/>
        <v>1032.6354197014923</v>
      </c>
      <c r="K552" s="271">
        <f t="shared" si="179"/>
        <v>78640.395265075116</v>
      </c>
      <c r="L552" s="271">
        <f>K552*0.15</f>
        <v>11796.059289761268</v>
      </c>
      <c r="M552" s="272">
        <f t="shared" si="180"/>
        <v>90436.454554836382</v>
      </c>
      <c r="N552" s="271"/>
      <c r="O552" s="271">
        <f>'DGSP_chitiet (truKH)'!K552</f>
        <v>78064.951736162533</v>
      </c>
      <c r="P552" s="271">
        <f>'DGSP_chitiet (truKH)'!L552</f>
        <v>11709.74276042438</v>
      </c>
      <c r="Q552" s="306">
        <f>'DGSP_chitiet (truKH)'!M552</f>
        <v>89774.694496586919</v>
      </c>
      <c r="R552" s="271">
        <f>'DGSP_chitiet (truKH)'!N552</f>
        <v>0</v>
      </c>
      <c r="S552" s="271">
        <f t="shared" si="181"/>
        <v>1455.9322158438579</v>
      </c>
    </row>
    <row r="553" spans="1:19" s="232" customFormat="1" ht="12.75" customHeight="1">
      <c r="A553" s="1005"/>
      <c r="B553" s="1014"/>
      <c r="C553" s="1005"/>
      <c r="D553" s="242">
        <v>2</v>
      </c>
      <c r="E553" s="271">
        <f t="shared" si="176"/>
        <v>60595.69135024392</v>
      </c>
      <c r="F553" s="271">
        <f t="shared" si="176"/>
        <v>0</v>
      </c>
      <c r="G553" s="271">
        <f t="shared" si="176"/>
        <v>810.10509001955393</v>
      </c>
      <c r="H553" s="271">
        <f t="shared" si="177"/>
        <v>19578.414634146342</v>
      </c>
      <c r="I553" s="271">
        <f t="shared" si="178"/>
        <v>563.04858508710811</v>
      </c>
      <c r="J553" s="271">
        <f t="shared" si="178"/>
        <v>1052.0749229268292</v>
      </c>
      <c r="K553" s="271">
        <f t="shared" si="179"/>
        <v>82599.334582423748</v>
      </c>
      <c r="L553" s="271">
        <f>K553*0.15</f>
        <v>12389.900187363563</v>
      </c>
      <c r="M553" s="272">
        <f t="shared" si="180"/>
        <v>94989.234769787305</v>
      </c>
      <c r="N553" s="271"/>
      <c r="O553" s="271">
        <f>'DGSP_chitiet (truKH)'!K553</f>
        <v>82036.285997336643</v>
      </c>
      <c r="P553" s="271">
        <f>'DGSP_chitiet (truKH)'!L553</f>
        <v>12305.442899600495</v>
      </c>
      <c r="Q553" s="306">
        <f>'DGSP_chitiet (truKH)'!M553</f>
        <v>94341.728896937144</v>
      </c>
      <c r="R553" s="271">
        <f>'DGSP_chitiet (truKH)'!N553</f>
        <v>0</v>
      </c>
      <c r="S553" s="271">
        <f t="shared" si="181"/>
        <v>1581.8718198874296</v>
      </c>
    </row>
    <row r="554" spans="1:19" s="232" customFormat="1" ht="12.75" customHeight="1">
      <c r="A554" s="1005"/>
      <c r="B554" s="1014"/>
      <c r="C554" s="1005"/>
      <c r="D554" s="242">
        <v>3</v>
      </c>
      <c r="E554" s="271">
        <f t="shared" si="176"/>
        <v>66228.360235876302</v>
      </c>
      <c r="F554" s="271">
        <f t="shared" si="176"/>
        <v>0</v>
      </c>
      <c r="G554" s="271">
        <f t="shared" si="176"/>
        <v>876.36891831160449</v>
      </c>
      <c r="H554" s="271">
        <f t="shared" si="177"/>
        <v>18675.721649484534</v>
      </c>
      <c r="I554" s="271">
        <f t="shared" si="178"/>
        <v>578.08551328424153</v>
      </c>
      <c r="J554" s="271">
        <f t="shared" si="178"/>
        <v>1130.4738705154641</v>
      </c>
      <c r="K554" s="271">
        <f t="shared" si="179"/>
        <v>87489.010187472144</v>
      </c>
      <c r="L554" s="271">
        <f>K554*0.15</f>
        <v>13123.351528120822</v>
      </c>
      <c r="M554" s="272">
        <f t="shared" si="180"/>
        <v>100612.36171559297</v>
      </c>
      <c r="N554" s="271"/>
      <c r="O554" s="271">
        <f>'DGSP_chitiet (truKH)'!K554</f>
        <v>86910.924674187903</v>
      </c>
      <c r="P554" s="271">
        <f>'DGSP_chitiet (truKH)'!L554</f>
        <v>13036.638701128186</v>
      </c>
      <c r="Q554" s="306">
        <f>'DGSP_chitiet (truKH)'!M554</f>
        <v>99947.563375316095</v>
      </c>
      <c r="R554" s="271">
        <f>'DGSP_chitiet (truKH)'!N554</f>
        <v>0</v>
      </c>
      <c r="S554" s="271">
        <f t="shared" si="181"/>
        <v>1719.131990483743</v>
      </c>
    </row>
    <row r="555" spans="1:19" s="232" customFormat="1" ht="12.75" customHeight="1">
      <c r="A555" s="1005"/>
      <c r="B555" s="1014"/>
      <c r="C555" s="1005"/>
      <c r="D555" s="242">
        <v>4</v>
      </c>
      <c r="E555" s="271">
        <f t="shared" si="176"/>
        <v>72201.471576177792</v>
      </c>
      <c r="F555" s="271">
        <f t="shared" si="176"/>
        <v>0</v>
      </c>
      <c r="G555" s="271">
        <f t="shared" si="176"/>
        <v>930.66492549941131</v>
      </c>
      <c r="H555" s="271">
        <f t="shared" si="177"/>
        <v>17995.826666666668</v>
      </c>
      <c r="I555" s="271">
        <f t="shared" si="178"/>
        <v>595.55571141587302</v>
      </c>
      <c r="J555" s="271">
        <f t="shared" si="178"/>
        <v>1196.020896</v>
      </c>
      <c r="K555" s="271">
        <f t="shared" si="179"/>
        <v>92919.539775759753</v>
      </c>
      <c r="L555" s="271">
        <f>K555*0.15</f>
        <v>13937.930966363963</v>
      </c>
      <c r="M555" s="272">
        <f t="shared" si="180"/>
        <v>106857.47074212371</v>
      </c>
      <c r="N555" s="271"/>
      <c r="O555" s="271">
        <f>'DGSP_chitiet (truKH)'!K555</f>
        <v>92323.98406434388</v>
      </c>
      <c r="P555" s="271">
        <f>'DGSP_chitiet (truKH)'!L555</f>
        <v>13848.597609651582</v>
      </c>
      <c r="Q555" s="306">
        <f>'DGSP_chitiet (truKH)'!M555</f>
        <v>106172.58167399546</v>
      </c>
      <c r="R555" s="271">
        <f>'DGSP_chitiet (truKH)'!N555</f>
        <v>0</v>
      </c>
      <c r="S555" s="271">
        <f t="shared" si="181"/>
        <v>1865.5951863247863</v>
      </c>
    </row>
    <row r="556" spans="1:19" s="232" customFormat="1" ht="12.75" customHeight="1">
      <c r="A556" s="242" t="s">
        <v>335</v>
      </c>
      <c r="B556" s="277" t="s">
        <v>491</v>
      </c>
      <c r="C556" s="242"/>
      <c r="D556" s="242"/>
      <c r="E556" s="271"/>
      <c r="F556" s="271"/>
      <c r="G556" s="271"/>
      <c r="H556" s="271"/>
      <c r="I556" s="271"/>
      <c r="J556" s="271"/>
      <c r="K556" s="271"/>
      <c r="L556" s="271"/>
      <c r="M556" s="272"/>
      <c r="N556" s="271"/>
      <c r="O556" s="271">
        <f>'DGSP_chitiet (truKH)'!K556</f>
        <v>0</v>
      </c>
      <c r="P556" s="271">
        <f>'DGSP_chitiet (truKH)'!L556</f>
        <v>0</v>
      </c>
      <c r="Q556" s="306">
        <f>'DGSP_chitiet (truKH)'!M556</f>
        <v>0</v>
      </c>
      <c r="R556" s="271">
        <f>'DGSP_chitiet (truKH)'!N556</f>
        <v>0</v>
      </c>
      <c r="S556" s="271"/>
    </row>
    <row r="557" spans="1:19" s="232" customFormat="1" ht="13.9" customHeight="1">
      <c r="A557" s="1005"/>
      <c r="B557" s="1014" t="s">
        <v>389</v>
      </c>
      <c r="C557" s="1005" t="s">
        <v>49</v>
      </c>
      <c r="D557" s="275" t="s">
        <v>18</v>
      </c>
      <c r="E557" s="271">
        <f>E$584/100+(E$586+E$587)/$C524</f>
        <v>14979.185970149258</v>
      </c>
      <c r="F557" s="271"/>
      <c r="G557" s="271">
        <f t="shared" ref="G557:J560" si="182">G520</f>
        <v>3772.6312150784543</v>
      </c>
      <c r="H557" s="271">
        <f t="shared" si="182"/>
        <v>63041.162574626862</v>
      </c>
      <c r="I557" s="271">
        <f t="shared" si="182"/>
        <v>8320.9685714285697</v>
      </c>
      <c r="J557" s="271">
        <f t="shared" si="182"/>
        <v>85.701000000000008</v>
      </c>
      <c r="K557" s="271">
        <f>SUM(E557:J557)</f>
        <v>90199.649331283144</v>
      </c>
      <c r="L557" s="271">
        <f>K557*0.15</f>
        <v>13529.947399692472</v>
      </c>
      <c r="M557" s="272">
        <f>K557+L557</f>
        <v>103729.59673097561</v>
      </c>
      <c r="N557" s="271">
        <f>M557</f>
        <v>103729.59673097561</v>
      </c>
      <c r="O557" s="271">
        <f>'DGSP_chitiet (truKH)'!K557</f>
        <v>81878.680759854571</v>
      </c>
      <c r="P557" s="271">
        <f>'DGSP_chitiet (truKH)'!L557</f>
        <v>12281.802113978185</v>
      </c>
      <c r="Q557" s="306">
        <f>'DGSP_chitiet (truKH)'!M557</f>
        <v>94160.482873832749</v>
      </c>
      <c r="R557" s="271">
        <f>'DGSP_chitiet (truKH)'!N557</f>
        <v>94160.482873832749</v>
      </c>
      <c r="S557" s="271">
        <f>S$584/100+(S$586+S$587)/$C524</f>
        <v>424.08725602755453</v>
      </c>
    </row>
    <row r="558" spans="1:19" s="232" customFormat="1" ht="13.9" customHeight="1">
      <c r="A558" s="1005"/>
      <c r="B558" s="1014"/>
      <c r="C558" s="1005"/>
      <c r="D558" s="275" t="s">
        <v>20</v>
      </c>
      <c r="E558" s="271">
        <f>E$584/100+(E$586+E$587)/$C525</f>
        <v>14125.252256097565</v>
      </c>
      <c r="F558" s="271"/>
      <c r="G558" s="271">
        <f t="shared" si="182"/>
        <v>4647.9799054096311</v>
      </c>
      <c r="H558" s="271">
        <f t="shared" si="182"/>
        <v>51991.836036585366</v>
      </c>
      <c r="I558" s="271">
        <f t="shared" si="182"/>
        <v>10397.507142857145</v>
      </c>
      <c r="J558" s="271">
        <f t="shared" si="182"/>
        <v>107.73840000000001</v>
      </c>
      <c r="K558" s="271">
        <f>SUM(E558:J558)</f>
        <v>81270.313740949699</v>
      </c>
      <c r="L558" s="271">
        <f>K558*0.15</f>
        <v>12190.547061142455</v>
      </c>
      <c r="M558" s="272">
        <f>K558+L558</f>
        <v>93460.860802092153</v>
      </c>
      <c r="N558" s="271">
        <f>M558</f>
        <v>93460.860802092153</v>
      </c>
      <c r="O558" s="271">
        <f>'DGSP_chitiet (truKH)'!K558</f>
        <v>70872.80659809256</v>
      </c>
      <c r="P558" s="271">
        <f>'DGSP_chitiet (truKH)'!L558</f>
        <v>10630.920989713884</v>
      </c>
      <c r="Q558" s="306">
        <f>'DGSP_chitiet (truKH)'!M558</f>
        <v>81503.727587806439</v>
      </c>
      <c r="R558" s="271">
        <f>'DGSP_chitiet (truKH)'!N558</f>
        <v>81503.727587806439</v>
      </c>
      <c r="S558" s="271">
        <f>S$584/100+(S$586+S$587)/$C525</f>
        <v>399.9108818011257</v>
      </c>
    </row>
    <row r="559" spans="1:19" s="232" customFormat="1" ht="13.9" customHeight="1">
      <c r="A559" s="1005"/>
      <c r="B559" s="1014"/>
      <c r="C559" s="1005"/>
      <c r="D559" s="275" t="s">
        <v>35</v>
      </c>
      <c r="E559" s="271">
        <f>E$584/100+(E$586+E$587)/$C526</f>
        <v>13535.421752577324</v>
      </c>
      <c r="F559" s="271"/>
      <c r="G559" s="271">
        <f t="shared" si="182"/>
        <v>6134.8569103004675</v>
      </c>
      <c r="H559" s="271">
        <f t="shared" si="182"/>
        <v>44359.826984536077</v>
      </c>
      <c r="I559" s="271">
        <f t="shared" si="182"/>
        <v>13865.087142857143</v>
      </c>
      <c r="J559" s="271">
        <f t="shared" si="182"/>
        <v>143.7996</v>
      </c>
      <c r="K559" s="271">
        <f>SUM(E559:J559)</f>
        <v>78038.992390271014</v>
      </c>
      <c r="L559" s="271">
        <f>K559*0.15</f>
        <v>11705.848858540652</v>
      </c>
      <c r="M559" s="272">
        <f>K559+L559</f>
        <v>89744.841248811659</v>
      </c>
      <c r="N559" s="271">
        <f>M559</f>
        <v>89744.841248811659</v>
      </c>
      <c r="O559" s="271">
        <f>'DGSP_chitiet (truKH)'!K559</f>
        <v>64173.905247413866</v>
      </c>
      <c r="P559" s="271">
        <f>'DGSP_chitiet (truKH)'!L559</f>
        <v>9626.0857871120788</v>
      </c>
      <c r="Q559" s="306">
        <f>'DGSP_chitiet (truKH)'!M559</f>
        <v>73799.991034525941</v>
      </c>
      <c r="R559" s="271">
        <f>'DGSP_chitiet (truKH)'!N559</f>
        <v>73799.991034525941</v>
      </c>
      <c r="S559" s="271">
        <f>S$584/100+(S$586+S$587)/$C526</f>
        <v>383.21173671689132</v>
      </c>
    </row>
    <row r="560" spans="1:19" s="232" customFormat="1" ht="13.9" customHeight="1">
      <c r="A560" s="1005"/>
      <c r="B560" s="1014"/>
      <c r="C560" s="1005"/>
      <c r="D560" s="275" t="s">
        <v>33</v>
      </c>
      <c r="E560" s="271">
        <f>E$584/100+(E$586+E$587)/$C527</f>
        <v>13091.170155555559</v>
      </c>
      <c r="F560" s="271"/>
      <c r="G560" s="271">
        <f t="shared" si="182"/>
        <v>7305.3849287749299</v>
      </c>
      <c r="H560" s="271">
        <f t="shared" si="182"/>
        <v>38611.510833333334</v>
      </c>
      <c r="I560" s="271">
        <f t="shared" si="182"/>
        <v>16640.16</v>
      </c>
      <c r="J560" s="271">
        <f t="shared" si="182"/>
        <v>170.95680000000002</v>
      </c>
      <c r="K560" s="271">
        <f>SUM(E560:J560)</f>
        <v>75819.182717663818</v>
      </c>
      <c r="L560" s="271">
        <f>K560*0.15</f>
        <v>11372.877407649572</v>
      </c>
      <c r="M560" s="272">
        <f>K560+L560</f>
        <v>87192.060125313394</v>
      </c>
      <c r="N560" s="271">
        <f>M560</f>
        <v>87192.060125313394</v>
      </c>
      <c r="O560" s="271">
        <f>'DGSP_chitiet (truKH)'!K560</f>
        <v>59179.022717663822</v>
      </c>
      <c r="P560" s="271">
        <f>'DGSP_chitiet (truKH)'!L560</f>
        <v>8876.8534076495725</v>
      </c>
      <c r="Q560" s="306">
        <f>'DGSP_chitiet (truKH)'!M560</f>
        <v>68055.8761253134</v>
      </c>
      <c r="R560" s="271">
        <f>'DGSP_chitiet (truKH)'!N560</f>
        <v>68055.8761253134</v>
      </c>
      <c r="S560" s="271">
        <f>S$584/100+(S$586+S$587)/$C527</f>
        <v>370.63418803418801</v>
      </c>
    </row>
    <row r="561" spans="1:19">
      <c r="A561" s="242">
        <v>1</v>
      </c>
      <c r="B561" s="276" t="s">
        <v>190</v>
      </c>
      <c r="C561" s="275"/>
      <c r="D561" s="275"/>
      <c r="E561" s="271"/>
      <c r="F561" s="271"/>
      <c r="G561" s="271"/>
      <c r="H561" s="271"/>
      <c r="I561" s="271"/>
      <c r="J561" s="271"/>
      <c r="K561" s="271"/>
      <c r="L561" s="271"/>
      <c r="M561" s="971"/>
      <c r="N561" s="271"/>
      <c r="O561" s="271">
        <f>'DGSP_chitiet (truKH)'!K561</f>
        <v>0</v>
      </c>
      <c r="P561" s="271">
        <f>'DGSP_chitiet (truKH)'!L561</f>
        <v>0</v>
      </c>
      <c r="Q561" s="306">
        <f>'DGSP_chitiet (truKH)'!M561</f>
        <v>0</v>
      </c>
      <c r="R561" s="271">
        <f>'DGSP_chitiet (truKH)'!N561</f>
        <v>0</v>
      </c>
      <c r="S561" s="271"/>
    </row>
    <row r="562" spans="1:19">
      <c r="A562" s="1010">
        <v>1.1000000000000001</v>
      </c>
      <c r="B562" s="1011" t="str">
        <f>NhanCong!B$150</f>
        <v>Đối soát thực địa (công nhóm/mảnh)</v>
      </c>
      <c r="C562" s="1013" t="s">
        <v>317</v>
      </c>
      <c r="D562" s="274" t="s">
        <v>18</v>
      </c>
      <c r="E562" s="271">
        <f>NhanCong!I$150</f>
        <v>2357533.0625000005</v>
      </c>
      <c r="F562" s="271"/>
      <c r="G562" s="905">
        <f>Dcu!M$200</f>
        <v>19868.974358974359</v>
      </c>
      <c r="H562" s="905">
        <f>VLieu!F$133</f>
        <v>4047000</v>
      </c>
      <c r="I562" s="905"/>
      <c r="J562" s="905"/>
      <c r="K562" s="905">
        <f t="shared" ref="K562:K569" si="183">SUM(E562:J562)</f>
        <v>6424402.036858975</v>
      </c>
      <c r="L562" s="905">
        <f>K562*0.25</f>
        <v>1606100.5092147437</v>
      </c>
      <c r="M562" s="906">
        <f t="shared" ref="M562:M569" si="184">K562+L562</f>
        <v>8030502.5460737189</v>
      </c>
      <c r="N562" s="905"/>
      <c r="O562" s="271">
        <f>'DGSP_chitiet (truKH)'!K562</f>
        <v>6424402.036858975</v>
      </c>
      <c r="P562" s="271">
        <f>'DGSP_chitiet (truKH)'!L562</f>
        <v>1606100.5092147437</v>
      </c>
      <c r="Q562" s="306">
        <f>'DGSP_chitiet (truKH)'!M562</f>
        <v>8030502.5460737189</v>
      </c>
      <c r="R562" s="271">
        <f>'DGSP_chitiet (truKH)'!N562</f>
        <v>0</v>
      </c>
      <c r="S562" s="905">
        <f>NhanCong!J$150</f>
        <v>71764.423076923078</v>
      </c>
    </row>
    <row r="563" spans="1:19">
      <c r="A563" s="1010"/>
      <c r="B563" s="1011"/>
      <c r="C563" s="1013"/>
      <c r="D563" s="274" t="s">
        <v>20</v>
      </c>
      <c r="E563" s="271">
        <f>NhanCong!I$151</f>
        <v>3060797.1625000006</v>
      </c>
      <c r="F563" s="271"/>
      <c r="G563" s="905">
        <f>Dcu!M$201</f>
        <v>24836.217948717949</v>
      </c>
      <c r="H563" s="905">
        <f>VLieu!F$133</f>
        <v>4047000</v>
      </c>
      <c r="I563" s="905"/>
      <c r="J563" s="905"/>
      <c r="K563" s="905">
        <f t="shared" si="183"/>
        <v>7132633.3804487186</v>
      </c>
      <c r="L563" s="905">
        <f t="shared" ref="L563:L573" si="185">K563*0.25</f>
        <v>1783158.3451121796</v>
      </c>
      <c r="M563" s="906">
        <f t="shared" si="184"/>
        <v>8915791.725560898</v>
      </c>
      <c r="N563" s="905"/>
      <c r="O563" s="271">
        <f>'DGSP_chitiet (truKH)'!K563</f>
        <v>7132633.3804487186</v>
      </c>
      <c r="P563" s="271">
        <f>'DGSP_chitiet (truKH)'!L563</f>
        <v>1783158.3451121796</v>
      </c>
      <c r="Q563" s="306">
        <f>'DGSP_chitiet (truKH)'!M563</f>
        <v>8915791.725560898</v>
      </c>
      <c r="R563" s="271">
        <f>'DGSP_chitiet (truKH)'!N563</f>
        <v>0</v>
      </c>
      <c r="S563" s="905">
        <f>NhanCong!J$151</f>
        <v>93172.11538461539</v>
      </c>
    </row>
    <row r="564" spans="1:19">
      <c r="A564" s="1010"/>
      <c r="B564" s="1011"/>
      <c r="C564" s="1013"/>
      <c r="D564" s="274" t="s">
        <v>35</v>
      </c>
      <c r="E564" s="271">
        <f>NhanCong!I$152</f>
        <v>3979835.475000001</v>
      </c>
      <c r="F564" s="271"/>
      <c r="G564" s="905">
        <f>Dcu!M$202</f>
        <v>33114.957264957266</v>
      </c>
      <c r="H564" s="905">
        <f>VLieu!F$133</f>
        <v>4047000</v>
      </c>
      <c r="I564" s="905"/>
      <c r="J564" s="905"/>
      <c r="K564" s="905">
        <f t="shared" si="183"/>
        <v>8059950.4322649585</v>
      </c>
      <c r="L564" s="905">
        <f t="shared" si="185"/>
        <v>2014987.6080662396</v>
      </c>
      <c r="M564" s="906">
        <f t="shared" si="184"/>
        <v>10074938.040331198</v>
      </c>
      <c r="N564" s="905"/>
      <c r="O564" s="271">
        <f>'DGSP_chitiet (truKH)'!K564</f>
        <v>8059950.4322649585</v>
      </c>
      <c r="P564" s="271">
        <f>'DGSP_chitiet (truKH)'!L564</f>
        <v>2014987.6080662396</v>
      </c>
      <c r="Q564" s="306">
        <f>'DGSP_chitiet (truKH)'!M564</f>
        <v>10074938.040331198</v>
      </c>
      <c r="R564" s="271">
        <f>'DGSP_chitiet (truKH)'!N564</f>
        <v>0</v>
      </c>
      <c r="S564" s="905">
        <f>NhanCong!J$152</f>
        <v>121148.07692307694</v>
      </c>
    </row>
    <row r="565" spans="1:19">
      <c r="A565" s="1010"/>
      <c r="B565" s="1011"/>
      <c r="C565" s="1013"/>
      <c r="D565" s="274" t="s">
        <v>33</v>
      </c>
      <c r="E565" s="271">
        <f>NhanCong!I$153</f>
        <v>5170589.4625000013</v>
      </c>
      <c r="F565" s="271"/>
      <c r="G565" s="905">
        <f>Dcu!M$203</f>
        <v>39737.948717948719</v>
      </c>
      <c r="H565" s="905">
        <f>VLieu!F$133</f>
        <v>4047000</v>
      </c>
      <c r="I565" s="905"/>
      <c r="J565" s="905"/>
      <c r="K565" s="905">
        <f t="shared" si="183"/>
        <v>9257327.4112179503</v>
      </c>
      <c r="L565" s="905">
        <f t="shared" si="185"/>
        <v>2314331.8528044876</v>
      </c>
      <c r="M565" s="906">
        <f t="shared" si="184"/>
        <v>11571659.264022438</v>
      </c>
      <c r="N565" s="905"/>
      <c r="O565" s="271">
        <f>'DGSP_chitiet (truKH)'!K565</f>
        <v>9257327.4112179503</v>
      </c>
      <c r="P565" s="271">
        <f>'DGSP_chitiet (truKH)'!L565</f>
        <v>2314331.8528044876</v>
      </c>
      <c r="Q565" s="306">
        <f>'DGSP_chitiet (truKH)'!M565</f>
        <v>11571659.264022438</v>
      </c>
      <c r="R565" s="271">
        <f>'DGSP_chitiet (truKH)'!N565</f>
        <v>0</v>
      </c>
      <c r="S565" s="905">
        <f>NhanCong!J$153</f>
        <v>157395.19230769231</v>
      </c>
    </row>
    <row r="566" spans="1:19">
      <c r="A566" s="1010">
        <v>1.2</v>
      </c>
      <c r="B566" s="1011" t="str">
        <f>NhanCong!B$156</f>
        <v>Lưới đo vẽ (công nhóm/100 thửa có biến động cần chỉnh lý)</v>
      </c>
      <c r="C566" s="1015" t="s">
        <v>329</v>
      </c>
      <c r="D566" s="274" t="s">
        <v>18</v>
      </c>
      <c r="E566" s="271">
        <f>NhanCong!I$156</f>
        <v>4145887.2812500009</v>
      </c>
      <c r="F566" s="271"/>
      <c r="G566" s="905">
        <f>Dcu!M$222</f>
        <v>62575.814102564109</v>
      </c>
      <c r="H566" s="905">
        <f>VLieu!K$135</f>
        <v>12562.75</v>
      </c>
      <c r="I566" s="905">
        <f>TBi!N$307</f>
        <v>58470.57142857142</v>
      </c>
      <c r="J566" s="905">
        <f>TBi!N$311</f>
        <v>779.09999999999991</v>
      </c>
      <c r="K566" s="905">
        <f t="shared" si="183"/>
        <v>4280275.5167811364</v>
      </c>
      <c r="L566" s="905">
        <f t="shared" si="185"/>
        <v>1070068.8791952841</v>
      </c>
      <c r="M566" s="906">
        <f t="shared" si="184"/>
        <v>5350344.3959764205</v>
      </c>
      <c r="N566" s="905"/>
      <c r="O566" s="271">
        <f>'DGSP_chitiet (truKH)'!K566</f>
        <v>4221804.9453525646</v>
      </c>
      <c r="P566" s="271">
        <f>'DGSP_chitiet (truKH)'!L566</f>
        <v>1055451.2363381411</v>
      </c>
      <c r="Q566" s="306">
        <f>'DGSP_chitiet (truKH)'!M566</f>
        <v>5277256.1816907059</v>
      </c>
      <c r="R566" s="271">
        <f>'DGSP_chitiet (truKH)'!N566</f>
        <v>0</v>
      </c>
      <c r="S566" s="905">
        <f>NhanCong!J$156</f>
        <v>117377.40384615384</v>
      </c>
    </row>
    <row r="567" spans="1:19">
      <c r="A567" s="1010"/>
      <c r="B567" s="1011"/>
      <c r="C567" s="1013" t="s">
        <v>49</v>
      </c>
      <c r="D567" s="274" t="s">
        <v>20</v>
      </c>
      <c r="E567" s="271">
        <f>NhanCong!I$157</f>
        <v>5198470.0625000019</v>
      </c>
      <c r="F567" s="271"/>
      <c r="G567" s="905">
        <f>Dcu!M$223</f>
        <v>78219.76762820514</v>
      </c>
      <c r="H567" s="905">
        <f>VLieu!K$135</f>
        <v>12562.75</v>
      </c>
      <c r="I567" s="905">
        <f>TBi!O$307</f>
        <v>73053.71428571429</v>
      </c>
      <c r="J567" s="905">
        <f>TBi!O$311</f>
        <v>979.44</v>
      </c>
      <c r="K567" s="905">
        <f t="shared" si="183"/>
        <v>5363285.7344139218</v>
      </c>
      <c r="L567" s="905">
        <f t="shared" si="185"/>
        <v>1340821.4336034805</v>
      </c>
      <c r="M567" s="906">
        <f t="shared" si="184"/>
        <v>6704107.1680174023</v>
      </c>
      <c r="N567" s="905"/>
      <c r="O567" s="271">
        <f>'DGSP_chitiet (truKH)'!K567</f>
        <v>5290232.0201282073</v>
      </c>
      <c r="P567" s="271">
        <f>'DGSP_chitiet (truKH)'!L567</f>
        <v>1322558.0050320518</v>
      </c>
      <c r="Q567" s="306">
        <f>'DGSP_chitiet (truKH)'!M567</f>
        <v>6612790.0251602586</v>
      </c>
      <c r="R567" s="271">
        <f>'DGSP_chitiet (truKH)'!N567</f>
        <v>0</v>
      </c>
      <c r="S567" s="905">
        <f>NhanCong!J$157</f>
        <v>147177.88461538462</v>
      </c>
    </row>
    <row r="568" spans="1:19">
      <c r="A568" s="1010"/>
      <c r="B568" s="1011"/>
      <c r="C568" s="1013"/>
      <c r="D568" s="274" t="s">
        <v>35</v>
      </c>
      <c r="E568" s="271">
        <f>NhanCong!I$158</f>
        <v>6916972.5625000019</v>
      </c>
      <c r="F568" s="271"/>
      <c r="G568" s="905">
        <f>Dcu!M$224</f>
        <v>104293.02350427351</v>
      </c>
      <c r="H568" s="905">
        <f>VLieu!K$135</f>
        <v>12562.75</v>
      </c>
      <c r="I568" s="905">
        <f>TBi!P$307</f>
        <v>97200.571428571435</v>
      </c>
      <c r="J568" s="905">
        <f>TBi!P$311</f>
        <v>1246.5600000000002</v>
      </c>
      <c r="K568" s="905">
        <f t="shared" si="183"/>
        <v>7132275.4674328472</v>
      </c>
      <c r="L568" s="905">
        <f t="shared" si="185"/>
        <v>1783068.8668582118</v>
      </c>
      <c r="M568" s="906">
        <f t="shared" si="184"/>
        <v>8915344.3342910595</v>
      </c>
      <c r="N568" s="905"/>
      <c r="O568" s="271">
        <f>'DGSP_chitiet (truKH)'!K568</f>
        <v>7035074.8960042754</v>
      </c>
      <c r="P568" s="271">
        <f>'DGSP_chitiet (truKH)'!L568</f>
        <v>1758768.7240010689</v>
      </c>
      <c r="Q568" s="306">
        <f>'DGSP_chitiet (truKH)'!M568</f>
        <v>8793843.620005345</v>
      </c>
      <c r="R568" s="271">
        <f>'DGSP_chitiet (truKH)'!N568</f>
        <v>0</v>
      </c>
      <c r="S568" s="905">
        <f>NhanCong!J$158</f>
        <v>195831.73076923078</v>
      </c>
    </row>
    <row r="569" spans="1:19">
      <c r="A569" s="1010"/>
      <c r="B569" s="1011"/>
      <c r="C569" s="1013"/>
      <c r="D569" s="274" t="s">
        <v>33</v>
      </c>
      <c r="E569" s="271">
        <f>NhanCong!I$159</f>
        <v>8291774.5625000019</v>
      </c>
      <c r="F569" s="271"/>
      <c r="G569" s="905">
        <f>Dcu!M$225</f>
        <v>125151.62820512822</v>
      </c>
      <c r="H569" s="905">
        <f>VLieu!K$135</f>
        <v>12562.75</v>
      </c>
      <c r="I569" s="905">
        <f>TBi!Q$307</f>
        <v>116832.42857142855</v>
      </c>
      <c r="J569" s="905">
        <f>TBi!Q$311</f>
        <v>1513.68</v>
      </c>
      <c r="K569" s="905">
        <f t="shared" si="183"/>
        <v>8547835.0492765587</v>
      </c>
      <c r="L569" s="905">
        <f t="shared" si="185"/>
        <v>2136958.7623191397</v>
      </c>
      <c r="M569" s="906">
        <f t="shared" si="184"/>
        <v>10684793.811595699</v>
      </c>
      <c r="N569" s="905"/>
      <c r="O569" s="271">
        <f>'DGSP_chitiet (truKH)'!K569</f>
        <v>8431002.6207051296</v>
      </c>
      <c r="P569" s="271">
        <f>'DGSP_chitiet (truKH)'!L569</f>
        <v>2107750.6551762824</v>
      </c>
      <c r="Q569" s="306">
        <f>'DGSP_chitiet (truKH)'!M569</f>
        <v>10538753.275881412</v>
      </c>
      <c r="R569" s="271">
        <f>'DGSP_chitiet (truKH)'!N569</f>
        <v>0</v>
      </c>
      <c r="S569" s="905">
        <f>NhanCong!J$159</f>
        <v>234754.80769230769</v>
      </c>
    </row>
    <row r="570" spans="1:19" ht="12.75" customHeight="1">
      <c r="A570" s="1010">
        <v>1.3</v>
      </c>
      <c r="B570" s="1011" t="str">
        <f>NhanCong!B$162</f>
        <v>Đo đạc ranh giới thửa đất và các đối tượng địa lý có liên quan (công nhóm/100 thửa có biến động cần chỉnh lý)</v>
      </c>
      <c r="C570" s="1015" t="s">
        <v>329</v>
      </c>
      <c r="D570" s="274" t="s">
        <v>18</v>
      </c>
      <c r="E570" s="271">
        <f>NhanCong!I$162</f>
        <v>51340262.187500007</v>
      </c>
      <c r="F570" s="271">
        <f>NhanCong!I$163</f>
        <v>3039934.615384616</v>
      </c>
      <c r="G570" s="905">
        <f>Dcu!M$246</f>
        <v>285032.12179487181</v>
      </c>
      <c r="H570" s="905">
        <f>VLieu!K$145</f>
        <v>251255</v>
      </c>
      <c r="I570" s="905">
        <f>TBi!N$342</f>
        <v>773626.28571428568</v>
      </c>
      <c r="J570" s="905">
        <f>TBi!N$346</f>
        <v>7791</v>
      </c>
      <c r="K570" s="905">
        <f>SUM(E570:J570)</f>
        <v>55697901.210393779</v>
      </c>
      <c r="L570" s="905">
        <f t="shared" si="185"/>
        <v>13924475.302598445</v>
      </c>
      <c r="M570" s="906">
        <f>K570+L570</f>
        <v>69622376.512992218</v>
      </c>
      <c r="N570" s="905"/>
      <c r="O570" s="271">
        <f>'DGSP_chitiet (truKH)'!K570</f>
        <v>54924274.924679495</v>
      </c>
      <c r="P570" s="271">
        <f>'DGSP_chitiet (truKH)'!L570</f>
        <v>13731068.731169874</v>
      </c>
      <c r="Q570" s="306">
        <f>'DGSP_chitiet (truKH)'!M570</f>
        <v>68655343.655849367</v>
      </c>
      <c r="R570" s="271">
        <f>'DGSP_chitiet (truKH)'!N570</f>
        <v>0</v>
      </c>
      <c r="S570" s="905">
        <f>NhanCong!J$162</f>
        <v>1453533.6538461538</v>
      </c>
    </row>
    <row r="571" spans="1:19" ht="15" customHeight="1">
      <c r="A571" s="1010"/>
      <c r="B571" s="1011"/>
      <c r="C571" s="1013" t="s">
        <v>49</v>
      </c>
      <c r="D571" s="274" t="s">
        <v>20</v>
      </c>
      <c r="E571" s="271">
        <f>NhanCong!I$164</f>
        <v>61608314.625000015</v>
      </c>
      <c r="F571" s="271">
        <f>NhanCong!I$165</f>
        <v>3649376.923076923</v>
      </c>
      <c r="G571" s="905">
        <f>Dcu!M$247</f>
        <v>356290.15224358975</v>
      </c>
      <c r="H571" s="905">
        <f>VLieu!K$145</f>
        <v>251255</v>
      </c>
      <c r="I571" s="905">
        <f>TBi!O$342</f>
        <v>966697.00000000012</v>
      </c>
      <c r="J571" s="905">
        <f>TBi!O$346</f>
        <v>9794.4000000000015</v>
      </c>
      <c r="K571" s="905">
        <f>SUM(E571:J571)</f>
        <v>66841728.100320525</v>
      </c>
      <c r="L571" s="905">
        <f t="shared" si="185"/>
        <v>16710432.025080131</v>
      </c>
      <c r="M571" s="906">
        <f>K571+L571</f>
        <v>83552160.125400662</v>
      </c>
      <c r="N571" s="905"/>
      <c r="O571" s="271">
        <f>'DGSP_chitiet (truKH)'!K571</f>
        <v>65875031.100320525</v>
      </c>
      <c r="P571" s="271">
        <f>'DGSP_chitiet (truKH)'!L571</f>
        <v>16468757.775080131</v>
      </c>
      <c r="Q571" s="306">
        <f>'DGSP_chitiet (truKH)'!M571</f>
        <v>82343788.875400662</v>
      </c>
      <c r="R571" s="271">
        <f>'DGSP_chitiet (truKH)'!N571</f>
        <v>0</v>
      </c>
      <c r="S571" s="905">
        <f>NhanCong!J$164</f>
        <v>1744240.3846153847</v>
      </c>
    </row>
    <row r="572" spans="1:19" ht="15" customHeight="1">
      <c r="A572" s="1010"/>
      <c r="B572" s="1011"/>
      <c r="C572" s="1013"/>
      <c r="D572" s="274" t="s">
        <v>35</v>
      </c>
      <c r="E572" s="271">
        <f>NhanCong!I$166</f>
        <v>73938570.06250003</v>
      </c>
      <c r="F572" s="271">
        <f>NhanCong!I$167</f>
        <v>4378888.461538462</v>
      </c>
      <c r="G572" s="905">
        <f>Dcu!M$248</f>
        <v>475053.53632478637</v>
      </c>
      <c r="H572" s="905">
        <f>VLieu!K$145</f>
        <v>251255</v>
      </c>
      <c r="I572" s="905">
        <f>TBi!P$342</f>
        <v>1289308.142857143</v>
      </c>
      <c r="J572" s="905">
        <f>TBi!P$346</f>
        <v>13133.400000000001</v>
      </c>
      <c r="K572" s="905">
        <f>SUM(E572:J572)</f>
        <v>80346208.603220433</v>
      </c>
      <c r="L572" s="905">
        <f t="shared" si="185"/>
        <v>20086552.150805108</v>
      </c>
      <c r="M572" s="906">
        <f>K572+L572</f>
        <v>100432760.75402555</v>
      </c>
      <c r="N572" s="905"/>
      <c r="O572" s="271">
        <f>'DGSP_chitiet (truKH)'!K572</f>
        <v>79056900.460363284</v>
      </c>
      <c r="P572" s="271">
        <f>'DGSP_chitiet (truKH)'!L572</f>
        <v>19764225.115090821</v>
      </c>
      <c r="Q572" s="306">
        <f>'DGSP_chitiet (truKH)'!M572</f>
        <v>98821125.575454101</v>
      </c>
      <c r="R572" s="271">
        <f>'DGSP_chitiet (truKH)'!N572</f>
        <v>0</v>
      </c>
      <c r="S572" s="905">
        <f>NhanCong!J$166</f>
        <v>2093331.730769231</v>
      </c>
    </row>
    <row r="573" spans="1:19" ht="15" customHeight="1">
      <c r="A573" s="1010"/>
      <c r="B573" s="1011"/>
      <c r="C573" s="1013"/>
      <c r="D573" s="274" t="s">
        <v>33</v>
      </c>
      <c r="E573" s="271">
        <f>NhanCong!I$168</f>
        <v>88717691.562500015</v>
      </c>
      <c r="F573" s="271">
        <f>NhanCong!I$169</f>
        <v>5253938.461538462</v>
      </c>
      <c r="G573" s="905">
        <f>Dcu!M$249</f>
        <v>570064.24358974362</v>
      </c>
      <c r="H573" s="905">
        <f>VLieu!K$145</f>
        <v>251255</v>
      </c>
      <c r="I573" s="905">
        <f>TBi!Q$342</f>
        <v>1547183.5714285714</v>
      </c>
      <c r="J573" s="905">
        <f>TBi!Q$346</f>
        <v>15582</v>
      </c>
      <c r="K573" s="905">
        <f>SUM(E573:J573)</f>
        <v>96355714.83905679</v>
      </c>
      <c r="L573" s="905">
        <f t="shared" si="185"/>
        <v>24088928.709764197</v>
      </c>
      <c r="M573" s="906">
        <f>K573+L573</f>
        <v>120444643.54882099</v>
      </c>
      <c r="N573" s="905"/>
      <c r="O573" s="271">
        <f>'DGSP_chitiet (truKH)'!K573</f>
        <v>94808531.267628223</v>
      </c>
      <c r="P573" s="271">
        <f>'DGSP_chitiet (truKH)'!L573</f>
        <v>23702132.816907056</v>
      </c>
      <c r="Q573" s="306">
        <f>'DGSP_chitiet (truKH)'!M573</f>
        <v>118510664.08453527</v>
      </c>
      <c r="R573" s="271">
        <f>'DGSP_chitiet (truKH)'!N573</f>
        <v>0</v>
      </c>
      <c r="S573" s="905">
        <f>NhanCong!J$168</f>
        <v>2511754.8076923075</v>
      </c>
    </row>
    <row r="574" spans="1:19">
      <c r="A574" s="242">
        <v>2</v>
      </c>
      <c r="B574" s="276" t="s">
        <v>192</v>
      </c>
      <c r="C574" s="274"/>
      <c r="D574" s="274"/>
      <c r="E574" s="271"/>
      <c r="F574" s="271"/>
      <c r="G574" s="905"/>
      <c r="H574" s="905"/>
      <c r="I574" s="905"/>
      <c r="J574" s="905"/>
      <c r="K574" s="905"/>
      <c r="L574" s="905"/>
      <c r="M574" s="906"/>
      <c r="N574" s="905"/>
      <c r="O574" s="271">
        <f>'DGSP_chitiet (truKH)'!K574</f>
        <v>0</v>
      </c>
      <c r="P574" s="271">
        <f>'DGSP_chitiet (truKH)'!L574</f>
        <v>0</v>
      </c>
      <c r="Q574" s="306">
        <f>'DGSP_chitiet (truKH)'!M574</f>
        <v>0</v>
      </c>
      <c r="R574" s="271">
        <f>'DGSP_chitiet (truKH)'!N574</f>
        <v>0</v>
      </c>
      <c r="S574" s="905"/>
    </row>
    <row r="575" spans="1:19" ht="12.75" customHeight="1">
      <c r="A575" s="1010" t="s">
        <v>268</v>
      </c>
      <c r="B575" s="1011" t="str">
        <f>NhanCong!B$173</f>
        <v>Số hóa BĐĐC: Áp dụng theo mức quy định tại Điều 8, Chương I</v>
      </c>
      <c r="C575" s="1013" t="s">
        <v>317</v>
      </c>
      <c r="D575" s="274" t="s">
        <v>18</v>
      </c>
      <c r="E575" s="271">
        <f t="shared" ref="E575:J579" si="186">E472</f>
        <v>277710.00400000002</v>
      </c>
      <c r="F575" s="271">
        <f t="shared" si="186"/>
        <v>0</v>
      </c>
      <c r="G575" s="271">
        <f t="shared" si="186"/>
        <v>4048.1521859829049</v>
      </c>
      <c r="H575" s="271">
        <f t="shared" si="186"/>
        <v>16368</v>
      </c>
      <c r="I575" s="271">
        <f t="shared" si="186"/>
        <v>24369.507314285715</v>
      </c>
      <c r="J575" s="271">
        <f t="shared" si="186"/>
        <v>7942.3680000000004</v>
      </c>
      <c r="K575" s="905">
        <f t="shared" ref="K575:K585" si="187">SUM(E575:J575)</f>
        <v>330438.03150026867</v>
      </c>
      <c r="L575" s="905">
        <f>K575*0.15</f>
        <v>49565.704725040297</v>
      </c>
      <c r="M575" s="906">
        <f t="shared" ref="M575:M585" si="188">K575+L575</f>
        <v>380003.73622530897</v>
      </c>
      <c r="N575" s="271">
        <f>N472</f>
        <v>0</v>
      </c>
      <c r="O575" s="271">
        <f>'DGSP_chitiet (truKH)'!K575</f>
        <v>306068.52418598294</v>
      </c>
      <c r="P575" s="271">
        <f>'DGSP_chitiet (truKH)'!L575</f>
        <v>45910.278627897438</v>
      </c>
      <c r="Q575" s="306">
        <f>'DGSP_chitiet (truKH)'!M575</f>
        <v>351978.80281388038</v>
      </c>
      <c r="R575" s="271">
        <f>'DGSP_chitiet (truKH)'!N575</f>
        <v>0</v>
      </c>
      <c r="S575" s="271">
        <f>S472</f>
        <v>7862.461538461539</v>
      </c>
    </row>
    <row r="576" spans="1:19">
      <c r="A576" s="1010"/>
      <c r="B576" s="1011"/>
      <c r="C576" s="1013"/>
      <c r="D576" s="274" t="s">
        <v>20</v>
      </c>
      <c r="E576" s="271">
        <f t="shared" si="186"/>
        <v>306305.8856000001</v>
      </c>
      <c r="F576" s="271">
        <f t="shared" si="186"/>
        <v>0</v>
      </c>
      <c r="G576" s="271">
        <f t="shared" si="186"/>
        <v>4634.0689497435887</v>
      </c>
      <c r="H576" s="271">
        <f t="shared" si="186"/>
        <v>16368</v>
      </c>
      <c r="I576" s="271">
        <f t="shared" si="186"/>
        <v>28786.519657142861</v>
      </c>
      <c r="J576" s="271">
        <f t="shared" si="186"/>
        <v>9010.848</v>
      </c>
      <c r="K576" s="905">
        <f t="shared" si="187"/>
        <v>365105.32220688654</v>
      </c>
      <c r="L576" s="905">
        <f>K576*0.15</f>
        <v>54765.79833103298</v>
      </c>
      <c r="M576" s="906">
        <f t="shared" si="188"/>
        <v>419871.12053791952</v>
      </c>
      <c r="N576" s="271">
        <f>N473</f>
        <v>0</v>
      </c>
      <c r="O576" s="271">
        <f>'DGSP_chitiet (truKH)'!K576</f>
        <v>336318.80254974368</v>
      </c>
      <c r="P576" s="271">
        <f>'DGSP_chitiet (truKH)'!L576</f>
        <v>50447.820382461548</v>
      </c>
      <c r="Q576" s="306">
        <f>'DGSP_chitiet (truKH)'!M576</f>
        <v>386766.62293220521</v>
      </c>
      <c r="R576" s="271">
        <f>'DGSP_chitiet (truKH)'!N576</f>
        <v>0</v>
      </c>
      <c r="S576" s="271">
        <f>S473</f>
        <v>8672.0615384615376</v>
      </c>
    </row>
    <row r="577" spans="1:21">
      <c r="A577" s="1010"/>
      <c r="B577" s="1011"/>
      <c r="C577" s="1013"/>
      <c r="D577" s="274" t="s">
        <v>35</v>
      </c>
      <c r="E577" s="271">
        <f t="shared" si="186"/>
        <v>339851.05440000002</v>
      </c>
      <c r="F577" s="271">
        <f t="shared" si="186"/>
        <v>0</v>
      </c>
      <c r="G577" s="271">
        <f t="shared" si="186"/>
        <v>5326.5160341880328</v>
      </c>
      <c r="H577" s="271">
        <f t="shared" si="186"/>
        <v>16368</v>
      </c>
      <c r="I577" s="271">
        <f t="shared" si="186"/>
        <v>34112.717828571433</v>
      </c>
      <c r="J577" s="271">
        <f t="shared" si="186"/>
        <v>10364.256000000001</v>
      </c>
      <c r="K577" s="905">
        <f t="shared" si="187"/>
        <v>406022.5442627595</v>
      </c>
      <c r="L577" s="905">
        <f>K577*0.15</f>
        <v>60903.381639413921</v>
      </c>
      <c r="M577" s="906">
        <f t="shared" si="188"/>
        <v>466925.92590217345</v>
      </c>
      <c r="N577" s="271">
        <f>N474</f>
        <v>0</v>
      </c>
      <c r="O577" s="271">
        <f>'DGSP_chitiet (truKH)'!K577</f>
        <v>371909.82643418806</v>
      </c>
      <c r="P577" s="271">
        <f>'DGSP_chitiet (truKH)'!L577</f>
        <v>55786.473965128207</v>
      </c>
      <c r="Q577" s="306">
        <f>'DGSP_chitiet (truKH)'!M577</f>
        <v>427696.30039931624</v>
      </c>
      <c r="R577" s="271">
        <f>'DGSP_chitiet (truKH)'!N577</f>
        <v>0</v>
      </c>
      <c r="S577" s="271">
        <f>S474</f>
        <v>9621.7846153846149</v>
      </c>
    </row>
    <row r="578" spans="1:21">
      <c r="A578" s="1010"/>
      <c r="B578" s="1011"/>
      <c r="C578" s="1013"/>
      <c r="D578" s="274" t="s">
        <v>33</v>
      </c>
      <c r="E578" s="271">
        <f t="shared" si="186"/>
        <v>378345.51040000003</v>
      </c>
      <c r="F578" s="271">
        <f t="shared" si="186"/>
        <v>0</v>
      </c>
      <c r="G578" s="271">
        <f t="shared" si="186"/>
        <v>6125.4934393162375</v>
      </c>
      <c r="H578" s="271">
        <f t="shared" si="186"/>
        <v>16368</v>
      </c>
      <c r="I578" s="271">
        <f t="shared" si="186"/>
        <v>40348.101828571424</v>
      </c>
      <c r="J578" s="271">
        <f t="shared" si="186"/>
        <v>11966.976000000001</v>
      </c>
      <c r="K578" s="905">
        <f t="shared" si="187"/>
        <v>453154.08166788769</v>
      </c>
      <c r="L578" s="905">
        <f>K578*0.15</f>
        <v>67973.112250183156</v>
      </c>
      <c r="M578" s="906">
        <f t="shared" si="188"/>
        <v>521127.19391807087</v>
      </c>
      <c r="N578" s="271">
        <f>N475</f>
        <v>0</v>
      </c>
      <c r="O578" s="271">
        <f>'DGSP_chitiet (truKH)'!K578</f>
        <v>412805.97983931628</v>
      </c>
      <c r="P578" s="271">
        <f>'DGSP_chitiet (truKH)'!L578</f>
        <v>61920.896975897442</v>
      </c>
      <c r="Q578" s="306">
        <f>'DGSP_chitiet (truKH)'!M578</f>
        <v>474726.87681521371</v>
      </c>
      <c r="R578" s="271">
        <f>'DGSP_chitiet (truKH)'!N578</f>
        <v>0</v>
      </c>
      <c r="S578" s="271">
        <f>S475</f>
        <v>10711.630769230767</v>
      </c>
    </row>
    <row r="579" spans="1:21">
      <c r="A579" s="1010"/>
      <c r="B579" s="1011"/>
      <c r="C579" s="1013"/>
      <c r="D579" s="274" t="s">
        <v>13</v>
      </c>
      <c r="E579" s="271">
        <f t="shared" si="186"/>
        <v>422339.17440000008</v>
      </c>
      <c r="F579" s="271">
        <f t="shared" si="186"/>
        <v>0</v>
      </c>
      <c r="G579" s="271">
        <f t="shared" si="186"/>
        <v>7031.0011651282039</v>
      </c>
      <c r="H579" s="271">
        <f t="shared" si="186"/>
        <v>16368</v>
      </c>
      <c r="I579" s="271">
        <f t="shared" si="186"/>
        <v>47852.558971428574</v>
      </c>
      <c r="J579" s="271">
        <f t="shared" si="186"/>
        <v>13854.624</v>
      </c>
      <c r="K579" s="905">
        <f t="shared" si="187"/>
        <v>507445.35853655689</v>
      </c>
      <c r="L579" s="905">
        <f>K579*0.15</f>
        <v>76116.803780483533</v>
      </c>
      <c r="M579" s="906">
        <f t="shared" si="188"/>
        <v>583562.16231704038</v>
      </c>
      <c r="N579" s="271">
        <f>N476</f>
        <v>0</v>
      </c>
      <c r="O579" s="271">
        <f>'DGSP_chitiet (truKH)'!K579</f>
        <v>459592.79956512828</v>
      </c>
      <c r="P579" s="271">
        <f>'DGSP_chitiet (truKH)'!L579</f>
        <v>68938.919934769234</v>
      </c>
      <c r="Q579" s="306">
        <f>'DGSP_chitiet (truKH)'!M579</f>
        <v>528531.71949989756</v>
      </c>
      <c r="R579" s="271">
        <f>'DGSP_chitiet (truKH)'!N579</f>
        <v>0</v>
      </c>
      <c r="S579" s="271">
        <f>S476</f>
        <v>11957.16923076923</v>
      </c>
    </row>
    <row r="580" spans="1:21">
      <c r="A580" s="1010" t="s">
        <v>34</v>
      </c>
      <c r="B580" s="1011" t="str">
        <f>NhanCong!B$174</f>
        <v>Lập bản vẽ BĐĐC (Công nhóm/100 thửa chỉnh lý)</v>
      </c>
      <c r="C580" s="1015" t="s">
        <v>329</v>
      </c>
      <c r="D580" s="274" t="s">
        <v>18</v>
      </c>
      <c r="E580" s="271">
        <f>NhanCong!I$174</f>
        <v>4011729.9200000013</v>
      </c>
      <c r="F580" s="271"/>
      <c r="G580" s="905">
        <f>Dcu!M$271</f>
        <v>24310.638060000001</v>
      </c>
      <c r="H580" s="905">
        <f>VLieu!K$159</f>
        <v>626800</v>
      </c>
      <c r="I580" s="905">
        <f>TBi!N$379</f>
        <v>16060.242499999998</v>
      </c>
      <c r="J580" s="905">
        <f>TBi!N$383</f>
        <v>63930.719999999994</v>
      </c>
      <c r="K580" s="905">
        <f t="shared" si="187"/>
        <v>4742831.520560001</v>
      </c>
      <c r="L580" s="905">
        <f t="shared" ref="L580:L587" si="189">K580*0.15</f>
        <v>711424.72808400018</v>
      </c>
      <c r="M580" s="906">
        <f t="shared" si="188"/>
        <v>5454256.2486440009</v>
      </c>
      <c r="N580" s="905"/>
      <c r="O580" s="271">
        <f>'DGSP_chitiet (truKH)'!K580</f>
        <v>4726771.2780600013</v>
      </c>
      <c r="P580" s="271">
        <f>'DGSP_chitiet (truKH)'!L580</f>
        <v>709015.69170900015</v>
      </c>
      <c r="Q580" s="306">
        <f>'DGSP_chitiet (truKH)'!M580</f>
        <v>5435786.969769001</v>
      </c>
      <c r="R580" s="271">
        <f>'DGSP_chitiet (truKH)'!N580</f>
        <v>0</v>
      </c>
      <c r="S580" s="905">
        <f>NhanCong!J$174</f>
        <v>99643.076923076922</v>
      </c>
    </row>
    <row r="581" spans="1:21">
      <c r="A581" s="1010"/>
      <c r="B581" s="1011"/>
      <c r="C581" s="1013"/>
      <c r="D581" s="274" t="s">
        <v>20</v>
      </c>
      <c r="E581" s="271">
        <f>NhanCong!I$175</f>
        <v>4810941.7400000012</v>
      </c>
      <c r="F581" s="271"/>
      <c r="G581" s="905">
        <f>Dcu!M$272</f>
        <v>30388.297575000001</v>
      </c>
      <c r="H581" s="905">
        <f>VLieu!K$159</f>
        <v>626800</v>
      </c>
      <c r="I581" s="905">
        <f>TBi!O$379</f>
        <v>18083.802857142859</v>
      </c>
      <c r="J581" s="905">
        <f>TBi!O$383</f>
        <v>71966.58</v>
      </c>
      <c r="K581" s="905">
        <f t="shared" si="187"/>
        <v>5558180.4204321438</v>
      </c>
      <c r="L581" s="905">
        <f t="shared" si="189"/>
        <v>833727.06306482153</v>
      </c>
      <c r="M581" s="906">
        <f t="shared" si="188"/>
        <v>6391907.4834969658</v>
      </c>
      <c r="N581" s="905"/>
      <c r="O581" s="271">
        <f>'DGSP_chitiet (truKH)'!K581</f>
        <v>5540096.617575001</v>
      </c>
      <c r="P581" s="271">
        <f>'DGSP_chitiet (truKH)'!L581</f>
        <v>831014.4926362501</v>
      </c>
      <c r="Q581" s="306">
        <f>'DGSP_chitiet (truKH)'!M581</f>
        <v>6371111.1102112513</v>
      </c>
      <c r="R581" s="271">
        <f>'DGSP_chitiet (truKH)'!N581</f>
        <v>0</v>
      </c>
      <c r="S581" s="905">
        <f>NhanCong!J$175</f>
        <v>119493.84615384614</v>
      </c>
    </row>
    <row r="582" spans="1:21">
      <c r="A582" s="1010"/>
      <c r="B582" s="1011"/>
      <c r="C582" s="1013"/>
      <c r="D582" s="274" t="s">
        <v>35</v>
      </c>
      <c r="E582" s="271">
        <f>NhanCong!I$176</f>
        <v>5610153.5600000015</v>
      </c>
      <c r="F582" s="271"/>
      <c r="G582" s="905">
        <f>Dcu!M$273</f>
        <v>40517.730100000001</v>
      </c>
      <c r="H582" s="905">
        <f>VLieu!K$159</f>
        <v>626800</v>
      </c>
      <c r="I582" s="905">
        <f>TBi!P$379</f>
        <v>21494.012857142858</v>
      </c>
      <c r="J582" s="905">
        <f>TBi!P$383</f>
        <v>85344.840000000011</v>
      </c>
      <c r="K582" s="905">
        <f t="shared" si="187"/>
        <v>6384310.1429571444</v>
      </c>
      <c r="L582" s="905">
        <f t="shared" si="189"/>
        <v>957646.52144357166</v>
      </c>
      <c r="M582" s="906">
        <f t="shared" si="188"/>
        <v>7341956.6644007163</v>
      </c>
      <c r="N582" s="905"/>
      <c r="O582" s="271">
        <f>'DGSP_chitiet (truKH)'!K582</f>
        <v>6362816.1301000016</v>
      </c>
      <c r="P582" s="271">
        <f>'DGSP_chitiet (truKH)'!L582</f>
        <v>954422.41951500019</v>
      </c>
      <c r="Q582" s="306">
        <f>'DGSP_chitiet (truKH)'!M582</f>
        <v>7317238.5496150013</v>
      </c>
      <c r="R582" s="271">
        <f>'DGSP_chitiet (truKH)'!N582</f>
        <v>0</v>
      </c>
      <c r="S582" s="905">
        <f>NhanCong!J$176</f>
        <v>139344.61538461538</v>
      </c>
    </row>
    <row r="583" spans="1:21">
      <c r="A583" s="1010"/>
      <c r="B583" s="1011"/>
      <c r="C583" s="1013"/>
      <c r="D583" s="274" t="s">
        <v>33</v>
      </c>
      <c r="E583" s="271">
        <f>NhanCong!I$177</f>
        <v>6425036.2000000011</v>
      </c>
      <c r="F583" s="271"/>
      <c r="G583" s="905">
        <f>Dcu!M$274</f>
        <v>48621.276120000002</v>
      </c>
      <c r="H583" s="905">
        <f>VLieu!K$159</f>
        <v>626800</v>
      </c>
      <c r="I583" s="905">
        <f>TBi!Q$379</f>
        <v>24180.256428571429</v>
      </c>
      <c r="J583" s="905">
        <f>TBi!Q$383</f>
        <v>96051.9</v>
      </c>
      <c r="K583" s="905">
        <f t="shared" si="187"/>
        <v>7220689.6325485725</v>
      </c>
      <c r="L583" s="905">
        <f t="shared" si="189"/>
        <v>1083103.4448822858</v>
      </c>
      <c r="M583" s="906">
        <f t="shared" si="188"/>
        <v>8303793.0774308583</v>
      </c>
      <c r="N583" s="905"/>
      <c r="O583" s="271">
        <f>'DGSP_chitiet (truKH)'!K583</f>
        <v>7196509.3761200011</v>
      </c>
      <c r="P583" s="271">
        <f>'DGSP_chitiet (truKH)'!L583</f>
        <v>1079476.4064180001</v>
      </c>
      <c r="Q583" s="306">
        <f>'DGSP_chitiet (truKH)'!M583</f>
        <v>8275985.7825380014</v>
      </c>
      <c r="R583" s="271">
        <f>'DGSP_chitiet (truKH)'!N583</f>
        <v>0</v>
      </c>
      <c r="S583" s="905">
        <f>NhanCong!J$177</f>
        <v>159584.61538461538</v>
      </c>
    </row>
    <row r="584" spans="1:21" s="240" customFormat="1" ht="26">
      <c r="A584" s="969" t="s">
        <v>246</v>
      </c>
      <c r="B584" s="970" t="str">
        <f>NhanCong!B$179</f>
        <v>Lập Phiếu đo đạc chỉnh lý thửa đất (Công/100 thửa chỉnh lý)</v>
      </c>
      <c r="C584" s="983" t="s">
        <v>329</v>
      </c>
      <c r="D584" s="983" t="s">
        <v>15</v>
      </c>
      <c r="E584" s="984">
        <f>NhanCong!I$179</f>
        <v>1031101.5000000002</v>
      </c>
      <c r="F584" s="984"/>
      <c r="G584" s="985">
        <f>Dcu!M$270</f>
        <v>40517.730100000001</v>
      </c>
      <c r="H584" s="905">
        <f>VLieu!K$159</f>
        <v>626800</v>
      </c>
      <c r="I584" s="985"/>
      <c r="J584" s="985"/>
      <c r="K584" s="985">
        <f t="shared" si="187"/>
        <v>1698419.2301000003</v>
      </c>
      <c r="L584" s="905">
        <f t="shared" si="189"/>
        <v>254762.88451500004</v>
      </c>
      <c r="M584" s="986">
        <f t="shared" si="188"/>
        <v>1953182.1146150003</v>
      </c>
      <c r="N584" s="985"/>
      <c r="O584" s="271">
        <f>'DGSP_chitiet (truKH)'!K584</f>
        <v>1698419.2301000003</v>
      </c>
      <c r="P584" s="271">
        <f>'DGSP_chitiet (truKH)'!L584</f>
        <v>254762.88451500004</v>
      </c>
      <c r="Q584" s="306">
        <f>'DGSP_chitiet (truKH)'!M584</f>
        <v>1953182.1146150003</v>
      </c>
      <c r="R584" s="271">
        <f>'DGSP_chitiet (truKH)'!N584</f>
        <v>0</v>
      </c>
      <c r="S584" s="985">
        <f>NhanCong!J$179</f>
        <v>29192.307692307691</v>
      </c>
    </row>
    <row r="585" spans="1:21" s="240" customFormat="1" ht="26">
      <c r="A585" s="969" t="s">
        <v>271</v>
      </c>
      <c r="B585" s="970" t="str">
        <f>NhanCong!B$180</f>
        <v>Bổ sung sổ mục kê (công nhóm/100 thửa chỉnh lý)</v>
      </c>
      <c r="C585" s="983" t="s">
        <v>329</v>
      </c>
      <c r="D585" s="983" t="s">
        <v>15</v>
      </c>
      <c r="E585" s="984">
        <f>NhanCong!I$180</f>
        <v>893621.30000000016</v>
      </c>
      <c r="F585" s="984"/>
      <c r="G585" s="985">
        <f>Dcu!M$290</f>
        <v>13800.392222222223</v>
      </c>
      <c r="H585" s="985">
        <f>VLieu!J$170</f>
        <v>120500</v>
      </c>
      <c r="I585" s="985">
        <f>TBi!N$411</f>
        <v>6891.4414285714283</v>
      </c>
      <c r="J585" s="985">
        <f>TBi!N$414</f>
        <v>27379.800000000003</v>
      </c>
      <c r="K585" s="985">
        <f t="shared" si="187"/>
        <v>1062192.9336507937</v>
      </c>
      <c r="L585" s="905">
        <f t="shared" si="189"/>
        <v>159328.94004761905</v>
      </c>
      <c r="M585" s="986">
        <f t="shared" si="188"/>
        <v>1221521.8736984129</v>
      </c>
      <c r="N585" s="985"/>
      <c r="O585" s="271">
        <f>'DGSP_chitiet (truKH)'!K585</f>
        <v>1055301.4922222223</v>
      </c>
      <c r="P585" s="271">
        <f>'DGSP_chitiet (truKH)'!L585</f>
        <v>158295.22383333332</v>
      </c>
      <c r="Q585" s="306">
        <f>'DGSP_chitiet (truKH)'!M585</f>
        <v>1213596.7160555555</v>
      </c>
      <c r="R585" s="271">
        <f>'DGSP_chitiet (truKH)'!N585</f>
        <v>0</v>
      </c>
      <c r="S585" s="985">
        <f>NhanCong!J$180</f>
        <v>25300</v>
      </c>
    </row>
    <row r="586" spans="1:21" s="240" customFormat="1" ht="26">
      <c r="A586" s="969" t="s">
        <v>365</v>
      </c>
      <c r="B586" s="970" t="str">
        <f>NhanCong!B$181</f>
        <v>Biên tập bản đồ và in (công nhóm/mảnh)</v>
      </c>
      <c r="C586" s="983" t="s">
        <v>317</v>
      </c>
      <c r="D586" s="983" t="s">
        <v>15</v>
      </c>
      <c r="E586" s="984">
        <f>NhanCong!I$181</f>
        <v>175287.25500000003</v>
      </c>
      <c r="F586" s="984"/>
      <c r="G586" s="985">
        <f>Dcu!M$304</f>
        <v>2980.8128205128205</v>
      </c>
      <c r="H586" s="985">
        <f>VLieu!K$181</f>
        <v>154100</v>
      </c>
      <c r="I586" s="985">
        <f>TBi!N$418</f>
        <v>2815.42</v>
      </c>
      <c r="J586" s="985">
        <f>TBi!N$422</f>
        <v>5787.6</v>
      </c>
      <c r="K586" s="985">
        <f>SUM(E586:J586)</f>
        <v>340971.08782051282</v>
      </c>
      <c r="L586" s="905">
        <f t="shared" si="189"/>
        <v>51145.663173076922</v>
      </c>
      <c r="M586" s="986">
        <f>K586+L586</f>
        <v>392116.75099358975</v>
      </c>
      <c r="N586" s="985"/>
      <c r="O586" s="271">
        <f>'DGSP_chitiet (truKH)'!K586</f>
        <v>338155.66782051284</v>
      </c>
      <c r="P586" s="271">
        <f>'DGSP_chitiet (truKH)'!L586</f>
        <v>50723.350173076928</v>
      </c>
      <c r="Q586" s="306">
        <f>'DGSP_chitiet (truKH)'!M586</f>
        <v>388879.01799358975</v>
      </c>
      <c r="R586" s="271">
        <f>'DGSP_chitiet (truKH)'!N586</f>
        <v>0</v>
      </c>
      <c r="S586" s="985">
        <f>NhanCong!J$181</f>
        <v>4962.6923076923076</v>
      </c>
    </row>
    <row r="587" spans="1:21" s="240" customFormat="1" ht="26">
      <c r="A587" s="969" t="s">
        <v>366</v>
      </c>
      <c r="B587" s="970" t="str">
        <f>NhanCong!B$182</f>
        <v>Xác nhận hồ sơ các cấp (công nhóm/mảnh)</v>
      </c>
      <c r="C587" s="983" t="s">
        <v>317</v>
      </c>
      <c r="D587" s="983" t="s">
        <v>15</v>
      </c>
      <c r="E587" s="984">
        <f>NhanCong!I$182</f>
        <v>137480.20000000004</v>
      </c>
      <c r="F587" s="984"/>
      <c r="G587" s="985">
        <f>Dcu!M$304</f>
        <v>2980.8128205128205</v>
      </c>
      <c r="H587" s="985">
        <f>VLieu!K$181</f>
        <v>154100</v>
      </c>
      <c r="I587" s="985">
        <f>TBi!N$418</f>
        <v>2815.42</v>
      </c>
      <c r="J587" s="985">
        <f>TBi!N$422</f>
        <v>5787.6</v>
      </c>
      <c r="K587" s="985">
        <f>SUM(E587:J587)</f>
        <v>303164.03282051283</v>
      </c>
      <c r="L587" s="905">
        <f t="shared" si="189"/>
        <v>45474.60492307692</v>
      </c>
      <c r="M587" s="986">
        <f>K587+L587</f>
        <v>348638.63774358976</v>
      </c>
      <c r="N587" s="985"/>
      <c r="O587" s="271">
        <f>'DGSP_chitiet (truKH)'!K587</f>
        <v>300348.61282051285</v>
      </c>
      <c r="P587" s="271">
        <f>'DGSP_chitiet (truKH)'!L587</f>
        <v>45052.291923076926</v>
      </c>
      <c r="Q587" s="306">
        <f>'DGSP_chitiet (truKH)'!M587</f>
        <v>345400.90474358975</v>
      </c>
      <c r="R587" s="271">
        <f>'DGSP_chitiet (truKH)'!N587</f>
        <v>0</v>
      </c>
      <c r="S587" s="985">
        <f>NhanCong!J$182</f>
        <v>3892.3076923076924</v>
      </c>
    </row>
    <row r="588" spans="1:21" s="240" customFormat="1" ht="26">
      <c r="A588" s="969" t="s">
        <v>367</v>
      </c>
      <c r="B588" s="970" t="str">
        <f>NhanCong!B$183</f>
        <v>Giao nộp sản phẩm (công nhóm/mảnh)</v>
      </c>
      <c r="C588" s="983" t="s">
        <v>317</v>
      </c>
      <c r="D588" s="983" t="s">
        <v>15</v>
      </c>
      <c r="E588" s="984">
        <f>NhanCong!I$183</f>
        <v>68740.10000000002</v>
      </c>
      <c r="F588" s="984"/>
      <c r="G588" s="985">
        <f>Dcu!M$304</f>
        <v>2980.8128205128205</v>
      </c>
      <c r="H588" s="985">
        <f>VLieu!K$181</f>
        <v>154100</v>
      </c>
      <c r="I588" s="985">
        <f>TBi!N$418</f>
        <v>2815.42</v>
      </c>
      <c r="J588" s="985">
        <f>TBi!N$422</f>
        <v>5787.6</v>
      </c>
      <c r="K588" s="985">
        <f>SUM(E588:J588)</f>
        <v>234423.93282051285</v>
      </c>
      <c r="L588" s="905">
        <f>K588*0.15</f>
        <v>35163.589923076928</v>
      </c>
      <c r="M588" s="986">
        <f>K588+L588</f>
        <v>269587.52274358977</v>
      </c>
      <c r="N588" s="985"/>
      <c r="O588" s="271">
        <f>'DGSP_chitiet (truKH)'!K588</f>
        <v>231608.51282051284</v>
      </c>
      <c r="P588" s="271">
        <f>'DGSP_chitiet (truKH)'!L588</f>
        <v>34741.276923076926</v>
      </c>
      <c r="Q588" s="306">
        <f>'DGSP_chitiet (truKH)'!M588</f>
        <v>266349.78974358976</v>
      </c>
      <c r="R588" s="271">
        <f>'DGSP_chitiet (truKH)'!N588</f>
        <v>0</v>
      </c>
      <c r="S588" s="985">
        <f>NhanCong!J$183</f>
        <v>1946.1538461538462</v>
      </c>
    </row>
    <row r="589" spans="1:21" s="240" customFormat="1">
      <c r="A589" s="242" t="s">
        <v>27</v>
      </c>
      <c r="B589" s="276" t="s">
        <v>203</v>
      </c>
      <c r="C589" s="981" t="s">
        <v>349</v>
      </c>
      <c r="D589" s="275"/>
      <c r="E589" s="271"/>
      <c r="F589" s="271"/>
      <c r="G589" s="271"/>
      <c r="H589" s="271"/>
      <c r="I589" s="271"/>
      <c r="J589" s="271"/>
      <c r="K589" s="271"/>
      <c r="L589" s="271"/>
      <c r="M589" s="971">
        <v>6.25</v>
      </c>
      <c r="N589" s="271" t="s">
        <v>21</v>
      </c>
      <c r="O589" s="271">
        <f>'DGSP_chitiet (truKH)'!K589</f>
        <v>0</v>
      </c>
      <c r="P589" s="271">
        <f>'DGSP_chitiet (truKH)'!L589</f>
        <v>0</v>
      </c>
      <c r="Q589" s="306">
        <f>'DGSP_chitiet (truKH)'!M589</f>
        <v>6.25</v>
      </c>
      <c r="R589" s="271" t="str">
        <f>'DGSP_chitiet (truKH)'!N589</f>
        <v>ha</v>
      </c>
      <c r="S589" s="271"/>
    </row>
    <row r="590" spans="1:21" s="240" customFormat="1" ht="13.15" customHeight="1">
      <c r="A590" s="1005"/>
      <c r="B590" s="1014" t="s">
        <v>190</v>
      </c>
      <c r="C590" s="242">
        <f>HeSoKK!B31</f>
        <v>32</v>
      </c>
      <c r="D590" s="242">
        <v>1</v>
      </c>
      <c r="E590" s="271">
        <f>E641/C590+(E646+E651)/100</f>
        <v>404324.58137500007</v>
      </c>
      <c r="F590" s="271">
        <f>F641/C590+(F646+F651)/100</f>
        <v>21212.23076923077</v>
      </c>
      <c r="G590" s="271">
        <f>G641/C590+(G646+G651)/100</f>
        <v>2566.0304487179487</v>
      </c>
      <c r="H590" s="271">
        <f>H641/C590+(H646+H651)/100</f>
        <v>22147.89</v>
      </c>
      <c r="I590" s="271">
        <f>I641/C590+(I646+I651)/100</f>
        <v>6121.2857142857147</v>
      </c>
      <c r="J590" s="271">
        <f>J641/C590+(J646+J651)/100</f>
        <v>60.101999999999997</v>
      </c>
      <c r="K590" s="271">
        <f t="shared" ref="K590:K599" si="190">SUM(E590:J590)</f>
        <v>456432.12030723452</v>
      </c>
      <c r="L590" s="271">
        <f>K590*0.25</f>
        <v>114108.03007680863</v>
      </c>
      <c r="M590" s="272">
        <f t="shared" ref="M590:M599" si="191">K590+L590</f>
        <v>570540.15038404311</v>
      </c>
      <c r="N590" s="271">
        <f>M590+M595</f>
        <v>644470.9964030711</v>
      </c>
      <c r="O590" s="271">
        <f>'DGSP_chitiet (truKH)'!K590</f>
        <v>450310.83459294878</v>
      </c>
      <c r="P590" s="271">
        <f>'DGSP_chitiet (truKH)'!L590</f>
        <v>112577.7086482372</v>
      </c>
      <c r="Q590" s="306">
        <f>'DGSP_chitiet (truKH)'!M590</f>
        <v>562888.54324118595</v>
      </c>
      <c r="R590" s="271">
        <f>'DGSP_chitiet (truKH)'!N590</f>
        <v>635670.66773574962</v>
      </c>
      <c r="S590" s="271">
        <f>S641/C590+(S646+S651)/100</f>
        <v>11484.740384615385</v>
      </c>
      <c r="U590" s="241"/>
    </row>
    <row r="591" spans="1:21" s="240" customFormat="1" ht="13.15" customHeight="1">
      <c r="A591" s="1005"/>
      <c r="B591" s="1014"/>
      <c r="C591" s="242">
        <f>HeSoKK!D31</f>
        <v>42</v>
      </c>
      <c r="D591" s="242">
        <v>2</v>
      </c>
      <c r="E591" s="271">
        <f>E642/C591+(E647+E652)/100</f>
        <v>482974.41202083352</v>
      </c>
      <c r="F591" s="271">
        <f>F642/C591+(F647+F652)/100</f>
        <v>25469.23076923077</v>
      </c>
      <c r="G591" s="271">
        <f>G642/C591+(G647+G652)/100</f>
        <v>3163.1876717032965</v>
      </c>
      <c r="H591" s="271">
        <f>H642/C591+(H647+H652)/100</f>
        <v>17330.032857142858</v>
      </c>
      <c r="I591" s="271">
        <f>I642/C591+(I647+I652)/100</f>
        <v>7651.41</v>
      </c>
      <c r="J591" s="271">
        <f>J642/C591+(J647+J652)/100</f>
        <v>74.348399999999998</v>
      </c>
      <c r="K591" s="271">
        <f t="shared" si="190"/>
        <v>536662.62171891052</v>
      </c>
      <c r="L591" s="271">
        <f>K591*0.25</f>
        <v>134165.65542972763</v>
      </c>
      <c r="M591" s="272">
        <f t="shared" si="191"/>
        <v>670828.27714863815</v>
      </c>
      <c r="N591" s="271">
        <f>M591+M596</f>
        <v>744761.81390041311</v>
      </c>
      <c r="O591" s="271">
        <f>'DGSP_chitiet (truKH)'!K591</f>
        <v>529011.21171891049</v>
      </c>
      <c r="P591" s="271">
        <f>'DGSP_chitiet (truKH)'!L591</f>
        <v>132252.80292972762</v>
      </c>
      <c r="Q591" s="306">
        <f>'DGSP_chitiet (truKH)'!M591</f>
        <v>661264.01464863808</v>
      </c>
      <c r="R591" s="271">
        <f>'DGSP_chitiet (truKH)'!N591</f>
        <v>734136.87124542147</v>
      </c>
      <c r="S591" s="271">
        <f>S642/C591+(S647+S652)/100</f>
        <v>13711.059294871793</v>
      </c>
      <c r="U591" s="241"/>
    </row>
    <row r="592" spans="1:21" s="240" customFormat="1" ht="13.15" customHeight="1">
      <c r="A592" s="1005"/>
      <c r="B592" s="1014"/>
      <c r="C592" s="242">
        <f>HeSoKK!F31</f>
        <v>49.5</v>
      </c>
      <c r="D592" s="242">
        <v>3</v>
      </c>
      <c r="E592" s="271">
        <f>E643/C592+(E648+E653)/100</f>
        <v>582535.36637500022</v>
      </c>
      <c r="F592" s="271">
        <f>F643/C592+(F648+F653)/100</f>
        <v>30563.076923076926</v>
      </c>
      <c r="G592" s="271">
        <f>G643/C592+(G648+G653)/100</f>
        <v>4188.9126036001035</v>
      </c>
      <c r="H592" s="271">
        <f>H643/C592+(H648+H653)/100</f>
        <v>14994.102121212121</v>
      </c>
      <c r="I592" s="271">
        <f>I643/C592+(I648+I653)/100</f>
        <v>10202.142857142859</v>
      </c>
      <c r="J592" s="271">
        <f>J643/C592+(J648+J653)/100</f>
        <v>98.389199999999988</v>
      </c>
      <c r="K592" s="271">
        <f t="shared" si="190"/>
        <v>642581.99008003215</v>
      </c>
      <c r="L592" s="271">
        <f>K592*0.25</f>
        <v>160645.49752000804</v>
      </c>
      <c r="M592" s="272">
        <f t="shared" si="191"/>
        <v>803227.48760004016</v>
      </c>
      <c r="N592" s="271">
        <f>M592+M597</f>
        <v>877155.14676536364</v>
      </c>
      <c r="O592" s="271">
        <f>'DGSP_chitiet (truKH)'!K592</f>
        <v>632379.84722288931</v>
      </c>
      <c r="P592" s="271">
        <f>'DGSP_chitiet (truKH)'!L592</f>
        <v>158094.96180572233</v>
      </c>
      <c r="Q592" s="306">
        <f>'DGSP_chitiet (truKH)'!M592</f>
        <v>790474.80902861163</v>
      </c>
      <c r="R592" s="271">
        <f>'DGSP_chitiet (truKH)'!N592</f>
        <v>863322.72179151082</v>
      </c>
      <c r="S592" s="271">
        <f>S643/C592+(S648+S653)/100</f>
        <v>16533.682692307691</v>
      </c>
      <c r="U592" s="241"/>
    </row>
    <row r="593" spans="1:21" s="240" customFormat="1" ht="13.15" customHeight="1">
      <c r="A593" s="1005"/>
      <c r="B593" s="1014"/>
      <c r="C593" s="242">
        <f>HeSoKK!H31</f>
        <v>59.5</v>
      </c>
      <c r="D593" s="242">
        <v>4</v>
      </c>
      <c r="E593" s="271">
        <f>E644/C593+(E649+E654)/100</f>
        <v>703756.83517279429</v>
      </c>
      <c r="F593" s="271">
        <f>F644/C593+(F649+F654)/100</f>
        <v>36657.5</v>
      </c>
      <c r="G593" s="271">
        <f>G644/C593+(G649+G654)/100</f>
        <v>5618.6030320782165</v>
      </c>
      <c r="H593" s="271">
        <f>H644/C593+(H649+H654)/100</f>
        <v>12795.579075630252</v>
      </c>
      <c r="I593" s="271">
        <f>I644/C593+(I649+I654)/100</f>
        <v>13773.09</v>
      </c>
      <c r="J593" s="271">
        <f>J644/C593+(J649+J654)/100</f>
        <v>132.2244</v>
      </c>
      <c r="K593" s="271">
        <f t="shared" si="190"/>
        <v>772733.83168050274</v>
      </c>
      <c r="L593" s="271">
        <f>K593*0.25</f>
        <v>193183.45792012569</v>
      </c>
      <c r="M593" s="272">
        <f t="shared" si="191"/>
        <v>965917.28960062843</v>
      </c>
      <c r="N593" s="271">
        <f>M593+M598</f>
        <v>1052013.2379866801</v>
      </c>
      <c r="O593" s="271">
        <f>'DGSP_chitiet (truKH)'!K593</f>
        <v>758960.74168050278</v>
      </c>
      <c r="P593" s="271">
        <f>'DGSP_chitiet (truKH)'!L593</f>
        <v>189740.18542012569</v>
      </c>
      <c r="Q593" s="306">
        <f>'DGSP_chitiet (truKH)'!M593</f>
        <v>948700.9271006285</v>
      </c>
      <c r="R593" s="271">
        <f>'DGSP_chitiet (truKH)'!N593</f>
        <v>1033706.375447711</v>
      </c>
      <c r="S593" s="271">
        <f>S644/C593+(S649+S654)/100</f>
        <v>19969.020563994825</v>
      </c>
      <c r="U593" s="241"/>
    </row>
    <row r="594" spans="1:21" s="240" customFormat="1" ht="13.15" customHeight="1">
      <c r="A594" s="1005"/>
      <c r="B594" s="1014"/>
      <c r="C594" s="242">
        <f>HeSoKK!J31</f>
        <v>70</v>
      </c>
      <c r="D594" s="242">
        <v>5</v>
      </c>
      <c r="E594" s="271">
        <f>E645/C594+(E650+E655)/100</f>
        <v>846429.95951250033</v>
      </c>
      <c r="F594" s="271">
        <f>F645/C594+(F650+F655)/100</f>
        <v>44007.192307692312</v>
      </c>
      <c r="G594" s="271">
        <f>G645/C594+(G650+G655)/100</f>
        <v>7248.3114049145297</v>
      </c>
      <c r="H594" s="271">
        <f>H645/C594+(H650+H655)/100</f>
        <v>11163.175714285713</v>
      </c>
      <c r="I594" s="271">
        <f>I645/C594+(I650+I655)/100</f>
        <v>17343.642857142859</v>
      </c>
      <c r="J594" s="271">
        <f>J645/C594+(J650+J655)/100</f>
        <v>166.05960000000002</v>
      </c>
      <c r="K594" s="271">
        <f t="shared" si="190"/>
        <v>926358.34139653563</v>
      </c>
      <c r="L594" s="271">
        <f>K594*0.25</f>
        <v>231589.58534913391</v>
      </c>
      <c r="M594" s="272">
        <f t="shared" si="191"/>
        <v>1157947.9267456695</v>
      </c>
      <c r="N594" s="271">
        <f>M594+M599</f>
        <v>1251831.3572020873</v>
      </c>
      <c r="O594" s="271">
        <f>'DGSP_chitiet (truKH)'!K594</f>
        <v>909014.69853939279</v>
      </c>
      <c r="P594" s="271">
        <f>'DGSP_chitiet (truKH)'!L594</f>
        <v>227253.6746348482</v>
      </c>
      <c r="Q594" s="306">
        <f>'DGSP_chitiet (truKH)'!M594</f>
        <v>1136268.373174241</v>
      </c>
      <c r="R594" s="271">
        <f>'DGSP_chitiet (truKH)'!N594</f>
        <v>1229030.369363108</v>
      </c>
      <c r="S594" s="271">
        <f>S645/C594+(S650+S655)/100</f>
        <v>24013.001510989012</v>
      </c>
      <c r="U594" s="241"/>
    </row>
    <row r="595" spans="1:21" s="240" customFormat="1" ht="13.15" customHeight="1">
      <c r="A595" s="1005"/>
      <c r="B595" s="1014" t="s">
        <v>192</v>
      </c>
      <c r="C595" s="242">
        <f>C590</f>
        <v>32</v>
      </c>
      <c r="D595" s="242">
        <v>1</v>
      </c>
      <c r="E595" s="271">
        <f>(E657+E669+E670+E671)/C595+(E662+E667+E668)/100</f>
        <v>44924.900075000012</v>
      </c>
      <c r="F595" s="271">
        <f>(F657+F669+F670+F671)/C595+(F662+F667+F668)/100</f>
        <v>0</v>
      </c>
      <c r="G595" s="271">
        <f>(G657+G669+G670+G671)/C595+(G662+G667+G668)/100</f>
        <v>780.5476333162394</v>
      </c>
      <c r="H595" s="271">
        <f>(H657+H669+H670+H671)/C595+(H662+H667+H668)/100</f>
        <v>16473.25</v>
      </c>
      <c r="I595" s="271">
        <f>(I657+I669+I670+I671)/C595+(I662+I667+I668)/100</f>
        <v>998.88828214285718</v>
      </c>
      <c r="J595" s="271">
        <f>(J657+J669+J670+J671)/C595+(J662+J667+J668)/100</f>
        <v>1110.1061999999999</v>
      </c>
      <c r="K595" s="271">
        <f t="shared" si="190"/>
        <v>64287.692190459107</v>
      </c>
      <c r="L595" s="271">
        <f>K595*0.15</f>
        <v>9643.1538285688657</v>
      </c>
      <c r="M595" s="272">
        <f t="shared" si="191"/>
        <v>73930.846019027973</v>
      </c>
      <c r="N595" s="271"/>
      <c r="O595" s="271">
        <f>'DGSP_chitiet (truKH)'!K595</f>
        <v>63288.803908316251</v>
      </c>
      <c r="P595" s="271">
        <f>'DGSP_chitiet (truKH)'!L595</f>
        <v>9493.3205862474369</v>
      </c>
      <c r="Q595" s="306">
        <f>'DGSP_chitiet (truKH)'!M595</f>
        <v>72782.124494563686</v>
      </c>
      <c r="R595" s="271">
        <f>'DGSP_chitiet (truKH)'!N595</f>
        <v>0</v>
      </c>
      <c r="S595" s="271">
        <f>(S657+S669+S670+S671)/C595+(S662+S667+S668)/100</f>
        <v>1227.5365384615384</v>
      </c>
    </row>
    <row r="596" spans="1:21" s="240" customFormat="1" ht="13.15" customHeight="1">
      <c r="A596" s="1005"/>
      <c r="B596" s="1014"/>
      <c r="C596" s="242">
        <f>C591</f>
        <v>42</v>
      </c>
      <c r="D596" s="242">
        <v>2</v>
      </c>
      <c r="E596" s="271">
        <f>(E658+E669+E670+E671)/C596+(E663+E667+E668)/100</f>
        <v>45667.072261904774</v>
      </c>
      <c r="F596" s="271">
        <f>(F658+F669+F670+F671)/C596+(F663+F667+F668)/100</f>
        <v>0</v>
      </c>
      <c r="G596" s="271">
        <f>(G658+G669+G670+G671)/C596+(G663+G667+G668)/100</f>
        <v>785.24564088827833</v>
      </c>
      <c r="H596" s="271">
        <f>(H658+H669+H670+H671)/C596+(H663+H667+H668)/100</f>
        <v>15822.714285714286</v>
      </c>
      <c r="I596" s="271">
        <f>(I658+I669+I670+I671)/C596+(I663+I667+I668)/100</f>
        <v>922.33056955782331</v>
      </c>
      <c r="J596" s="271">
        <f>(J658+J669+J670+J671)/C596+(J663+J667+J668)/100</f>
        <v>1092.6691999999998</v>
      </c>
      <c r="K596" s="271">
        <f t="shared" si="190"/>
        <v>64290.031958065156</v>
      </c>
      <c r="L596" s="271">
        <f>K596*0.15</f>
        <v>9643.5047937097734</v>
      </c>
      <c r="M596" s="272">
        <f t="shared" si="191"/>
        <v>73933.536751774926</v>
      </c>
      <c r="N596" s="271"/>
      <c r="O596" s="271">
        <f>'DGSP_chitiet (truKH)'!K596</f>
        <v>63367.701388507332</v>
      </c>
      <c r="P596" s="271">
        <f>'DGSP_chitiet (truKH)'!L596</f>
        <v>9505.1552082760991</v>
      </c>
      <c r="Q596" s="306">
        <f>'DGSP_chitiet (truKH)'!M596</f>
        <v>72872.856596783429</v>
      </c>
      <c r="R596" s="271">
        <f>'DGSP_chitiet (truKH)'!N596</f>
        <v>0</v>
      </c>
      <c r="S596" s="271">
        <f>(S658+S669+S670+S671)/C596+(S663+S667+S668)/100</f>
        <v>1237.6611721611721</v>
      </c>
    </row>
    <row r="597" spans="1:21" s="240" customFormat="1" ht="13.15" customHeight="1">
      <c r="A597" s="1005"/>
      <c r="B597" s="1014"/>
      <c r="C597" s="242">
        <f>C592</f>
        <v>49.5</v>
      </c>
      <c r="D597" s="242">
        <v>3</v>
      </c>
      <c r="E597" s="271">
        <f>(E659+E669+E670+E671)/C597+(E664+E667+E668)/100</f>
        <v>45848.685300000012</v>
      </c>
      <c r="F597" s="271">
        <f>(F659+F669+F670+F671)/C597+(F664+F667+F668)/100</f>
        <v>0</v>
      </c>
      <c r="G597" s="271">
        <f>(G659+G669+G670+G671)/C597+(G664+G667+G668)/100</f>
        <v>840.62429514288169</v>
      </c>
      <c r="H597" s="271">
        <f>(H659+H669+H670+H671)/C597+(H664+H667+H668)/100</f>
        <v>15507.30303030303</v>
      </c>
      <c r="I597" s="271">
        <f>(I659+I669+I670+I671)/C597+(I664+I667+I668)/100</f>
        <v>938.90991515151529</v>
      </c>
      <c r="J597" s="271">
        <f>(J659+J669+J670+J671)/C597+(J664+J667+J668)/100</f>
        <v>1149.3984727272727</v>
      </c>
      <c r="K597" s="271">
        <f t="shared" si="190"/>
        <v>64284.921013324711</v>
      </c>
      <c r="L597" s="271">
        <f>K597*0.15</f>
        <v>9642.7381519987066</v>
      </c>
      <c r="M597" s="272">
        <f t="shared" si="191"/>
        <v>73927.659165323421</v>
      </c>
      <c r="N597" s="271"/>
      <c r="O597" s="271">
        <f>'DGSP_chitiet (truKH)'!K597</f>
        <v>63346.0110981732</v>
      </c>
      <c r="P597" s="271">
        <f>'DGSP_chitiet (truKH)'!L597</f>
        <v>9501.9016647259796</v>
      </c>
      <c r="Q597" s="306">
        <f>'DGSP_chitiet (truKH)'!M597</f>
        <v>72847.912762899185</v>
      </c>
      <c r="R597" s="271">
        <f>'DGSP_chitiet (truKH)'!N597</f>
        <v>0</v>
      </c>
      <c r="S597" s="271">
        <f>(S659+S669+S670+S671)/C597+(S664+S667+S668)/100</f>
        <v>1238.9923076923078</v>
      </c>
    </row>
    <row r="598" spans="1:21" s="240" customFormat="1" ht="13.15" customHeight="1">
      <c r="A598" s="1005"/>
      <c r="B598" s="1014"/>
      <c r="C598" s="242">
        <f>C593</f>
        <v>59.5</v>
      </c>
      <c r="D598" s="242">
        <v>4</v>
      </c>
      <c r="E598" s="271">
        <f>(E660+E669+E670+E671)/C598+(E665+E667+E668)/100</f>
        <v>56557.198805042033</v>
      </c>
      <c r="F598" s="271">
        <f>(F660+F669+F670+F671)/C598+(F665+F667+F668)/100</f>
        <v>0</v>
      </c>
      <c r="G598" s="271">
        <f>(G660+G669+G670+G671)/C598+(G665+G667+G668)/100</f>
        <v>921.70859994753278</v>
      </c>
      <c r="H598" s="271">
        <f>(H660+H669+H670+H671)/C598+(H665+H667+H668)/100</f>
        <v>15210.44537815126</v>
      </c>
      <c r="I598" s="271">
        <f>(I660+I669+I670+I671)/C598+(I665+I667+I668)/100</f>
        <v>948.2609034513805</v>
      </c>
      <c r="J598" s="271">
        <f>(J660+J669+J670+J671)/C598+(J665+J667+J668)/100</f>
        <v>1228.4283882352941</v>
      </c>
      <c r="K598" s="271">
        <f t="shared" si="190"/>
        <v>74866.042074827492</v>
      </c>
      <c r="L598" s="271">
        <f>K598*0.15</f>
        <v>11229.906311224124</v>
      </c>
      <c r="M598" s="272">
        <f t="shared" si="191"/>
        <v>86095.948386051619</v>
      </c>
      <c r="N598" s="271"/>
      <c r="O598" s="271">
        <f>'DGSP_chitiet (truKH)'!K598</f>
        <v>73917.781171376118</v>
      </c>
      <c r="P598" s="271">
        <f>'DGSP_chitiet (truKH)'!L598</f>
        <v>11087.667175706418</v>
      </c>
      <c r="Q598" s="306">
        <f>'DGSP_chitiet (truKH)'!M598</f>
        <v>85005.448347082536</v>
      </c>
      <c r="R598" s="271">
        <f>'DGSP_chitiet (truKH)'!N598</f>
        <v>0</v>
      </c>
      <c r="S598" s="271">
        <f>(S660+S669+S670+S671)/C598+(S665+S667+S668)/100</f>
        <v>1501.6130575307043</v>
      </c>
    </row>
    <row r="599" spans="1:21" s="240" customFormat="1" ht="13.15" customHeight="1">
      <c r="A599" s="1005"/>
      <c r="B599" s="1014"/>
      <c r="C599" s="242">
        <f>C594</f>
        <v>70</v>
      </c>
      <c r="D599" s="242">
        <v>5</v>
      </c>
      <c r="E599" s="271">
        <f>(E661+E669+E670+E671)/C599+(E666+E667+E668)/100</f>
        <v>63334.463688571443</v>
      </c>
      <c r="F599" s="271">
        <f>(F661+F669+F670+F671)/C599+(F666+F667+F668)/100</f>
        <v>0</v>
      </c>
      <c r="G599" s="271">
        <f>(G661+G669+G670+G671)/C599+(G666+G667+G668)/100</f>
        <v>1020.798121623321</v>
      </c>
      <c r="H599" s="271">
        <f>(H661+H669+H670+H671)/C599+(H666+H667+H668)/100</f>
        <v>14990.028571428571</v>
      </c>
      <c r="I599" s="271">
        <f>(I661+I669+I670+I671)/C599+(I666+I667+I668)/100</f>
        <v>975.16023265306126</v>
      </c>
      <c r="J599" s="271">
        <f>(J661+J669+J670+J671)/C599+(J666+J667+J668)/100</f>
        <v>1317.3150000000001</v>
      </c>
      <c r="K599" s="271">
        <f t="shared" si="190"/>
        <v>81637.765614276403</v>
      </c>
      <c r="L599" s="271">
        <f>K599*0.15</f>
        <v>12245.664842141459</v>
      </c>
      <c r="M599" s="272">
        <f t="shared" si="191"/>
        <v>93883.43045641786</v>
      </c>
      <c r="N599" s="271"/>
      <c r="O599" s="271">
        <f>'DGSP_chitiet (truKH)'!K599</f>
        <v>80662.605381623347</v>
      </c>
      <c r="P599" s="271">
        <f>'DGSP_chitiet (truKH)'!L599</f>
        <v>12099.390807243502</v>
      </c>
      <c r="Q599" s="306">
        <f>'DGSP_chitiet (truKH)'!M599</f>
        <v>92761.996188866848</v>
      </c>
      <c r="R599" s="271">
        <f>'DGSP_chitiet (truKH)'!N599</f>
        <v>0</v>
      </c>
      <c r="S599" s="271">
        <f>(S661+S669+S670+S671)/C599+(S666+S667+S668)/100</f>
        <v>1667.6314285714284</v>
      </c>
    </row>
    <row r="600" spans="1:21" s="240" customFormat="1" ht="13.5">
      <c r="A600" s="242"/>
      <c r="B600" s="277" t="s">
        <v>332</v>
      </c>
      <c r="C600" s="242"/>
      <c r="D600" s="242"/>
      <c r="E600" s="271"/>
      <c r="F600" s="271"/>
      <c r="G600" s="271"/>
      <c r="H600" s="271"/>
      <c r="I600" s="271"/>
      <c r="J600" s="271"/>
      <c r="K600" s="271"/>
      <c r="L600" s="271"/>
      <c r="M600" s="272"/>
      <c r="N600" s="271"/>
      <c r="O600" s="271">
        <f>'DGSP_chitiet (truKH)'!K600</f>
        <v>0</v>
      </c>
      <c r="P600" s="271">
        <f>'DGSP_chitiet (truKH)'!L600</f>
        <v>0</v>
      </c>
      <c r="Q600" s="306">
        <f>'DGSP_chitiet (truKH)'!M600</f>
        <v>0</v>
      </c>
      <c r="R600" s="271">
        <f>'DGSP_chitiet (truKH)'!N600</f>
        <v>0</v>
      </c>
      <c r="S600" s="271"/>
    </row>
    <row r="601" spans="1:21" s="240" customFormat="1" ht="13.5">
      <c r="A601" s="242" t="s">
        <v>323</v>
      </c>
      <c r="B601" s="277" t="s">
        <v>333</v>
      </c>
      <c r="C601" s="242"/>
      <c r="D601" s="242"/>
      <c r="E601" s="271"/>
      <c r="F601" s="271"/>
      <c r="G601" s="271"/>
      <c r="H601" s="271"/>
      <c r="I601" s="271"/>
      <c r="J601" s="271"/>
      <c r="K601" s="271"/>
      <c r="L601" s="271"/>
      <c r="M601" s="272"/>
      <c r="N601" s="271"/>
      <c r="O601" s="271">
        <f>'DGSP_chitiet (truKH)'!K601</f>
        <v>0</v>
      </c>
      <c r="P601" s="271">
        <f>'DGSP_chitiet (truKH)'!L601</f>
        <v>0</v>
      </c>
      <c r="Q601" s="306">
        <f>'DGSP_chitiet (truKH)'!M601</f>
        <v>0</v>
      </c>
      <c r="R601" s="271">
        <f>'DGSP_chitiet (truKH)'!N601</f>
        <v>0</v>
      </c>
      <c r="S601" s="271"/>
    </row>
    <row r="602" spans="1:21" s="240" customFormat="1" ht="13.15" customHeight="1">
      <c r="A602" s="1005"/>
      <c r="B602" s="1006" t="s">
        <v>330</v>
      </c>
      <c r="C602" s="1005" t="s">
        <v>49</v>
      </c>
      <c r="D602" s="242">
        <v>1</v>
      </c>
      <c r="E602" s="271">
        <f t="shared" ref="E602:J606" si="192">E590-E646/100</f>
        <v>375969.29012500006</v>
      </c>
      <c r="F602" s="271">
        <f t="shared" si="192"/>
        <v>21212.23076923077</v>
      </c>
      <c r="G602" s="271">
        <f t="shared" si="192"/>
        <v>2138.4458974358977</v>
      </c>
      <c r="H602" s="271">
        <f t="shared" si="192"/>
        <v>22056.799999999999</v>
      </c>
      <c r="I602" s="271">
        <f t="shared" si="192"/>
        <v>5673.3607142857145</v>
      </c>
      <c r="J602" s="271">
        <f t="shared" si="192"/>
        <v>55.65</v>
      </c>
      <c r="K602" s="271">
        <f t="shared" ref="K602:K611" si="193">SUM(E602:J602)</f>
        <v>427105.7775059524</v>
      </c>
      <c r="L602" s="271">
        <f>K602*0.25</f>
        <v>106776.4443764881</v>
      </c>
      <c r="M602" s="272">
        <f t="shared" ref="M602:M611" si="194">K602+L602</f>
        <v>533882.2218824405</v>
      </c>
      <c r="N602" s="271">
        <f>M602+M607</f>
        <v>607813.06790146849</v>
      </c>
      <c r="O602" s="271">
        <f>'DGSP_chitiet (truKH)'!K602</f>
        <v>421432.41679166671</v>
      </c>
      <c r="P602" s="271">
        <f>'DGSP_chitiet (truKH)'!L602</f>
        <v>105358.10419791668</v>
      </c>
      <c r="Q602" s="306">
        <f>'DGSP_chitiet (truKH)'!M602</f>
        <v>526790.52098958334</v>
      </c>
      <c r="R602" s="271">
        <f>'DGSP_chitiet (truKH)'!N602</f>
        <v>599572.64548414701</v>
      </c>
      <c r="S602" s="271">
        <f>S590-S646/100</f>
        <v>10681.951923076924</v>
      </c>
    </row>
    <row r="603" spans="1:21" s="240" customFormat="1" ht="13.15" customHeight="1">
      <c r="A603" s="1005"/>
      <c r="B603" s="1006"/>
      <c r="C603" s="1005"/>
      <c r="D603" s="242">
        <v>2</v>
      </c>
      <c r="E603" s="271">
        <f t="shared" si="192"/>
        <v>447530.29795833351</v>
      </c>
      <c r="F603" s="271">
        <f t="shared" si="192"/>
        <v>25469.23076923077</v>
      </c>
      <c r="G603" s="271">
        <f t="shared" si="192"/>
        <v>2628.7069826007323</v>
      </c>
      <c r="H603" s="271">
        <f t="shared" si="192"/>
        <v>17238.942857142858</v>
      </c>
      <c r="I603" s="271">
        <f t="shared" si="192"/>
        <v>7090.3907142857142</v>
      </c>
      <c r="J603" s="271">
        <f t="shared" si="192"/>
        <v>69.006</v>
      </c>
      <c r="K603" s="271">
        <f t="shared" si="193"/>
        <v>500026.5752815936</v>
      </c>
      <c r="L603" s="271">
        <f>K603*0.25</f>
        <v>125006.6438203984</v>
      </c>
      <c r="M603" s="272">
        <f t="shared" si="194"/>
        <v>625033.21910199197</v>
      </c>
      <c r="N603" s="271">
        <f>M603+M608</f>
        <v>698966.75585376692</v>
      </c>
      <c r="O603" s="271">
        <f>'DGSP_chitiet (truKH)'!K603</f>
        <v>492936.18456730788</v>
      </c>
      <c r="P603" s="271">
        <f>'DGSP_chitiet (truKH)'!L603</f>
        <v>123234.04614182697</v>
      </c>
      <c r="Q603" s="306">
        <f>'DGSP_chitiet (truKH)'!M603</f>
        <v>616170.23070913483</v>
      </c>
      <c r="R603" s="271">
        <f>'DGSP_chitiet (truKH)'!N603</f>
        <v>689043.08730591822</v>
      </c>
      <c r="S603" s="271">
        <f>S591-S647/100</f>
        <v>12707.573717948717</v>
      </c>
    </row>
    <row r="604" spans="1:21" s="240" customFormat="1" ht="13.15" customHeight="1">
      <c r="A604" s="1005"/>
      <c r="B604" s="1006"/>
      <c r="C604" s="1005"/>
      <c r="D604" s="242">
        <v>3</v>
      </c>
      <c r="E604" s="271">
        <f t="shared" si="192"/>
        <v>535276.54762500024</v>
      </c>
      <c r="F604" s="271">
        <f t="shared" si="192"/>
        <v>30563.076923076926</v>
      </c>
      <c r="G604" s="271">
        <f t="shared" si="192"/>
        <v>3476.2716847966849</v>
      </c>
      <c r="H604" s="271">
        <f t="shared" si="192"/>
        <v>14903.012121212121</v>
      </c>
      <c r="I604" s="271">
        <f t="shared" si="192"/>
        <v>9453.9857142857163</v>
      </c>
      <c r="J604" s="271">
        <f t="shared" si="192"/>
        <v>91.265999999999991</v>
      </c>
      <c r="K604" s="271">
        <f t="shared" si="193"/>
        <v>593764.16006837157</v>
      </c>
      <c r="L604" s="271">
        <f>K604*0.25</f>
        <v>148441.04001709289</v>
      </c>
      <c r="M604" s="272">
        <f t="shared" si="194"/>
        <v>742205.2000854644</v>
      </c>
      <c r="N604" s="271">
        <f>M604+M609</f>
        <v>816132.85925078788</v>
      </c>
      <c r="O604" s="271">
        <f>'DGSP_chitiet (truKH)'!K604</f>
        <v>584310.17435408582</v>
      </c>
      <c r="P604" s="271">
        <f>'DGSP_chitiet (truKH)'!L604</f>
        <v>146077.54358852145</v>
      </c>
      <c r="Q604" s="306">
        <f>'DGSP_chitiet (truKH)'!M604</f>
        <v>730387.71794260724</v>
      </c>
      <c r="R604" s="271">
        <f>'DGSP_chitiet (truKH)'!N604</f>
        <v>803235.63070550642</v>
      </c>
      <c r="S604" s="271">
        <f>S592-S648/100</f>
        <v>15195.701923076922</v>
      </c>
    </row>
    <row r="605" spans="1:21" s="240" customFormat="1" ht="13.15" customHeight="1">
      <c r="A605" s="1005"/>
      <c r="B605" s="1006"/>
      <c r="C605" s="1005"/>
      <c r="D605" s="242">
        <v>4</v>
      </c>
      <c r="E605" s="271">
        <f t="shared" si="192"/>
        <v>639957.42986029433</v>
      </c>
      <c r="F605" s="271">
        <f t="shared" si="192"/>
        <v>36657.5</v>
      </c>
      <c r="G605" s="271">
        <f t="shared" si="192"/>
        <v>4656.5377916936013</v>
      </c>
      <c r="H605" s="271">
        <f t="shared" si="192"/>
        <v>12704.489075630252</v>
      </c>
      <c r="I605" s="271">
        <f t="shared" si="192"/>
        <v>12764.145714285714</v>
      </c>
      <c r="J605" s="271">
        <f t="shared" si="192"/>
        <v>122.43</v>
      </c>
      <c r="K605" s="271">
        <f t="shared" si="193"/>
        <v>706862.53244190384</v>
      </c>
      <c r="L605" s="271">
        <f>K605*0.25</f>
        <v>176715.63311047596</v>
      </c>
      <c r="M605" s="272">
        <f t="shared" si="194"/>
        <v>883578.1655523798</v>
      </c>
      <c r="N605" s="271">
        <f>M605+M610</f>
        <v>969674.11393843137</v>
      </c>
      <c r="O605" s="271">
        <f>'DGSP_chitiet (truKH)'!K605</f>
        <v>694098.38672761817</v>
      </c>
      <c r="P605" s="271">
        <f>'DGSP_chitiet (truKH)'!L605</f>
        <v>173524.59668190454</v>
      </c>
      <c r="Q605" s="306">
        <f>'DGSP_chitiet (truKH)'!M605</f>
        <v>867622.98340952268</v>
      </c>
      <c r="R605" s="271">
        <f>'DGSP_chitiet (truKH)'!N605</f>
        <v>952628.43175660516</v>
      </c>
      <c r="S605" s="271">
        <f>S593-S649/100</f>
        <v>18162.746525533286</v>
      </c>
    </row>
    <row r="606" spans="1:21" s="240" customFormat="1" ht="13.15" customHeight="1">
      <c r="A606" s="1005"/>
      <c r="B606" s="1006"/>
      <c r="C606" s="1005"/>
      <c r="D606" s="242"/>
      <c r="E606" s="271">
        <f t="shared" si="192"/>
        <v>766089.96763750026</v>
      </c>
      <c r="F606" s="271">
        <f t="shared" si="192"/>
        <v>44007.192307692312</v>
      </c>
      <c r="G606" s="271">
        <f t="shared" si="192"/>
        <v>6001.1897970085465</v>
      </c>
      <c r="H606" s="271">
        <f t="shared" si="192"/>
        <v>11072.085714285713</v>
      </c>
      <c r="I606" s="271">
        <f t="shared" si="192"/>
        <v>16073.911428571429</v>
      </c>
      <c r="J606" s="271">
        <f t="shared" si="192"/>
        <v>153.59400000000002</v>
      </c>
      <c r="K606" s="271">
        <f t="shared" si="193"/>
        <v>843397.94088505825</v>
      </c>
      <c r="L606" s="271">
        <f>K606*0.25</f>
        <v>210849.48522126456</v>
      </c>
      <c r="M606" s="272">
        <f t="shared" si="194"/>
        <v>1054247.4261063228</v>
      </c>
      <c r="N606" s="271">
        <f>M606+M611</f>
        <v>1148130.8565627406</v>
      </c>
      <c r="O606" s="271">
        <f>'DGSP_chitiet (truKH)'!K606</f>
        <v>827324.02945648681</v>
      </c>
      <c r="P606" s="271">
        <f>'DGSP_chitiet (truKH)'!L606</f>
        <v>206831.0073641217</v>
      </c>
      <c r="Q606" s="306">
        <f>'DGSP_chitiet (truKH)'!M606</f>
        <v>1034155.0368206085</v>
      </c>
      <c r="R606" s="271">
        <f>'DGSP_chitiet (truKH)'!N606</f>
        <v>1126917.0330094753</v>
      </c>
      <c r="S606" s="271">
        <f>S594-S650/100</f>
        <v>21738.434203296703</v>
      </c>
    </row>
    <row r="607" spans="1:21" s="240" customFormat="1">
      <c r="A607" s="1005"/>
      <c r="B607" s="1006" t="s">
        <v>331</v>
      </c>
      <c r="C607" s="1005" t="s">
        <v>49</v>
      </c>
      <c r="D607" s="242">
        <v>1</v>
      </c>
      <c r="E607" s="271">
        <f t="shared" ref="E607:J611" si="195">E595</f>
        <v>44924.900075000012</v>
      </c>
      <c r="F607" s="271">
        <f t="shared" si="195"/>
        <v>0</v>
      </c>
      <c r="G607" s="271">
        <f t="shared" si="195"/>
        <v>780.5476333162394</v>
      </c>
      <c r="H607" s="271">
        <f t="shared" si="195"/>
        <v>16473.25</v>
      </c>
      <c r="I607" s="271">
        <f t="shared" si="195"/>
        <v>998.88828214285718</v>
      </c>
      <c r="J607" s="271">
        <f t="shared" si="195"/>
        <v>1110.1061999999999</v>
      </c>
      <c r="K607" s="271">
        <f t="shared" si="193"/>
        <v>64287.692190459107</v>
      </c>
      <c r="L607" s="271">
        <f>K607*0.15</f>
        <v>9643.1538285688657</v>
      </c>
      <c r="M607" s="272">
        <f t="shared" si="194"/>
        <v>73930.846019027973</v>
      </c>
      <c r="N607" s="271"/>
      <c r="O607" s="271">
        <f>'DGSP_chitiet (truKH)'!K607</f>
        <v>63288.803908316251</v>
      </c>
      <c r="P607" s="271">
        <f>'DGSP_chitiet (truKH)'!L607</f>
        <v>9493.3205862474369</v>
      </c>
      <c r="Q607" s="306">
        <f>'DGSP_chitiet (truKH)'!M607</f>
        <v>72782.124494563686</v>
      </c>
      <c r="R607" s="271">
        <f>'DGSP_chitiet (truKH)'!N607</f>
        <v>0</v>
      </c>
      <c r="S607" s="271">
        <f>S595</f>
        <v>1227.5365384615384</v>
      </c>
    </row>
    <row r="608" spans="1:21" s="240" customFormat="1">
      <c r="A608" s="1005"/>
      <c r="B608" s="1014"/>
      <c r="C608" s="1005"/>
      <c r="D608" s="242">
        <v>2</v>
      </c>
      <c r="E608" s="271">
        <f t="shared" si="195"/>
        <v>45667.072261904774</v>
      </c>
      <c r="F608" s="271">
        <f t="shared" si="195"/>
        <v>0</v>
      </c>
      <c r="G608" s="271">
        <f t="shared" si="195"/>
        <v>785.24564088827833</v>
      </c>
      <c r="H608" s="271">
        <f t="shared" si="195"/>
        <v>15822.714285714286</v>
      </c>
      <c r="I608" s="271">
        <f t="shared" si="195"/>
        <v>922.33056955782331</v>
      </c>
      <c r="J608" s="271">
        <f t="shared" si="195"/>
        <v>1092.6691999999998</v>
      </c>
      <c r="K608" s="271">
        <f t="shared" si="193"/>
        <v>64290.031958065156</v>
      </c>
      <c r="L608" s="271">
        <f>K608*0.15</f>
        <v>9643.5047937097734</v>
      </c>
      <c r="M608" s="272">
        <f t="shared" si="194"/>
        <v>73933.536751774926</v>
      </c>
      <c r="N608" s="271"/>
      <c r="O608" s="271">
        <f>'DGSP_chitiet (truKH)'!K608</f>
        <v>63367.701388507332</v>
      </c>
      <c r="P608" s="271">
        <f>'DGSP_chitiet (truKH)'!L608</f>
        <v>9505.1552082760991</v>
      </c>
      <c r="Q608" s="306">
        <f>'DGSP_chitiet (truKH)'!M608</f>
        <v>72872.856596783429</v>
      </c>
      <c r="R608" s="271">
        <f>'DGSP_chitiet (truKH)'!N608</f>
        <v>0</v>
      </c>
      <c r="S608" s="271">
        <f>S596</f>
        <v>1237.6611721611721</v>
      </c>
    </row>
    <row r="609" spans="1:19" s="240" customFormat="1">
      <c r="A609" s="1005"/>
      <c r="B609" s="1014"/>
      <c r="C609" s="1005"/>
      <c r="D609" s="242">
        <v>3</v>
      </c>
      <c r="E609" s="271">
        <f t="shared" si="195"/>
        <v>45848.685300000012</v>
      </c>
      <c r="F609" s="271">
        <f t="shared" si="195"/>
        <v>0</v>
      </c>
      <c r="G609" s="271">
        <f t="shared" si="195"/>
        <v>840.62429514288169</v>
      </c>
      <c r="H609" s="271">
        <f t="shared" si="195"/>
        <v>15507.30303030303</v>
      </c>
      <c r="I609" s="271">
        <f t="shared" si="195"/>
        <v>938.90991515151529</v>
      </c>
      <c r="J609" s="271">
        <f t="shared" si="195"/>
        <v>1149.3984727272727</v>
      </c>
      <c r="K609" s="271">
        <f t="shared" si="193"/>
        <v>64284.921013324711</v>
      </c>
      <c r="L609" s="271">
        <f>K609*0.15</f>
        <v>9642.7381519987066</v>
      </c>
      <c r="M609" s="272">
        <f t="shared" si="194"/>
        <v>73927.659165323421</v>
      </c>
      <c r="N609" s="271"/>
      <c r="O609" s="271">
        <f>'DGSP_chitiet (truKH)'!K609</f>
        <v>63346.0110981732</v>
      </c>
      <c r="P609" s="271">
        <f>'DGSP_chitiet (truKH)'!L609</f>
        <v>9501.9016647259796</v>
      </c>
      <c r="Q609" s="306">
        <f>'DGSP_chitiet (truKH)'!M609</f>
        <v>72847.912762899185</v>
      </c>
      <c r="R609" s="271">
        <f>'DGSP_chitiet (truKH)'!N609</f>
        <v>0</v>
      </c>
      <c r="S609" s="271">
        <f>S597</f>
        <v>1238.9923076923078</v>
      </c>
    </row>
    <row r="610" spans="1:19" s="240" customFormat="1">
      <c r="A610" s="1005"/>
      <c r="B610" s="1014"/>
      <c r="C610" s="1005"/>
      <c r="D610" s="242">
        <v>4</v>
      </c>
      <c r="E610" s="271">
        <f t="shared" si="195"/>
        <v>56557.198805042033</v>
      </c>
      <c r="F610" s="271">
        <f t="shared" si="195"/>
        <v>0</v>
      </c>
      <c r="G610" s="271">
        <f t="shared" si="195"/>
        <v>921.70859994753278</v>
      </c>
      <c r="H610" s="271">
        <f t="shared" si="195"/>
        <v>15210.44537815126</v>
      </c>
      <c r="I610" s="271">
        <f t="shared" si="195"/>
        <v>948.2609034513805</v>
      </c>
      <c r="J610" s="271">
        <f t="shared" si="195"/>
        <v>1228.4283882352941</v>
      </c>
      <c r="K610" s="271">
        <f t="shared" si="193"/>
        <v>74866.042074827492</v>
      </c>
      <c r="L610" s="271">
        <f>K610*0.15</f>
        <v>11229.906311224124</v>
      </c>
      <c r="M610" s="272">
        <f t="shared" si="194"/>
        <v>86095.948386051619</v>
      </c>
      <c r="N610" s="271"/>
      <c r="O610" s="271">
        <f>'DGSP_chitiet (truKH)'!K610</f>
        <v>73917.781171376118</v>
      </c>
      <c r="P610" s="271">
        <f>'DGSP_chitiet (truKH)'!L610</f>
        <v>11087.667175706418</v>
      </c>
      <c r="Q610" s="306">
        <f>'DGSP_chitiet (truKH)'!M610</f>
        <v>85005.448347082536</v>
      </c>
      <c r="R610" s="271">
        <f>'DGSP_chitiet (truKH)'!N610</f>
        <v>0</v>
      </c>
      <c r="S610" s="271">
        <f>S598</f>
        <v>1501.6130575307043</v>
      </c>
    </row>
    <row r="611" spans="1:19" s="240" customFormat="1">
      <c r="A611" s="1005"/>
      <c r="B611" s="1014"/>
      <c r="C611" s="1005"/>
      <c r="D611" s="242">
        <v>5</v>
      </c>
      <c r="E611" s="271">
        <f t="shared" si="195"/>
        <v>63334.463688571443</v>
      </c>
      <c r="F611" s="271">
        <f t="shared" si="195"/>
        <v>0</v>
      </c>
      <c r="G611" s="271">
        <f t="shared" si="195"/>
        <v>1020.798121623321</v>
      </c>
      <c r="H611" s="271">
        <f t="shared" si="195"/>
        <v>14990.028571428571</v>
      </c>
      <c r="I611" s="271">
        <f t="shared" si="195"/>
        <v>975.16023265306126</v>
      </c>
      <c r="J611" s="271">
        <f t="shared" si="195"/>
        <v>1317.3150000000001</v>
      </c>
      <c r="K611" s="271">
        <f t="shared" si="193"/>
        <v>81637.765614276403</v>
      </c>
      <c r="L611" s="271">
        <f>K611*0.15</f>
        <v>12245.664842141459</v>
      </c>
      <c r="M611" s="272">
        <f t="shared" si="194"/>
        <v>93883.43045641786</v>
      </c>
      <c r="N611" s="271"/>
      <c r="O611" s="271">
        <f>'DGSP_chitiet (truKH)'!K611</f>
        <v>80662.605381623347</v>
      </c>
      <c r="P611" s="271">
        <f>'DGSP_chitiet (truKH)'!L611</f>
        <v>12099.390807243502</v>
      </c>
      <c r="Q611" s="306">
        <f>'DGSP_chitiet (truKH)'!M611</f>
        <v>92761.996188866848</v>
      </c>
      <c r="R611" s="271">
        <f>'DGSP_chitiet (truKH)'!N611</f>
        <v>0</v>
      </c>
      <c r="S611" s="271">
        <f>S599</f>
        <v>1667.6314285714284</v>
      </c>
    </row>
    <row r="612" spans="1:19" s="240" customFormat="1" ht="13.5">
      <c r="A612" s="242" t="s">
        <v>325</v>
      </c>
      <c r="B612" s="277" t="s">
        <v>423</v>
      </c>
      <c r="C612" s="242"/>
      <c r="D612" s="242"/>
      <c r="E612" s="271"/>
      <c r="F612" s="271"/>
      <c r="G612" s="271"/>
      <c r="H612" s="271"/>
      <c r="I612" s="271"/>
      <c r="J612" s="271"/>
      <c r="K612" s="271"/>
      <c r="L612" s="271"/>
      <c r="M612" s="272"/>
      <c r="N612" s="271"/>
      <c r="O612" s="271">
        <f>'DGSP_chitiet (truKH)'!K612</f>
        <v>0</v>
      </c>
      <c r="P612" s="271">
        <f>'DGSP_chitiet (truKH)'!L612</f>
        <v>0</v>
      </c>
      <c r="Q612" s="306">
        <f>'DGSP_chitiet (truKH)'!M612</f>
        <v>0</v>
      </c>
      <c r="R612" s="271">
        <f>'DGSP_chitiet (truKH)'!N612</f>
        <v>0</v>
      </c>
      <c r="S612" s="271"/>
    </row>
    <row r="613" spans="1:19" s="240" customFormat="1" ht="13.15" customHeight="1">
      <c r="A613" s="1005"/>
      <c r="B613" s="1006" t="s">
        <v>330</v>
      </c>
      <c r="C613" s="1005" t="s">
        <v>49</v>
      </c>
      <c r="D613" s="242">
        <v>1</v>
      </c>
      <c r="E613" s="271">
        <f t="shared" ref="E613:G622" si="196">E590*0.9</f>
        <v>363892.12323750008</v>
      </c>
      <c r="F613" s="271">
        <f t="shared" si="196"/>
        <v>19091.007692307692</v>
      </c>
      <c r="G613" s="271">
        <f t="shared" si="196"/>
        <v>2309.427403846154</v>
      </c>
      <c r="H613" s="271">
        <f t="shared" ref="H613:H622" si="197">H602</f>
        <v>22056.799999999999</v>
      </c>
      <c r="I613" s="271">
        <f t="shared" ref="I613:J622" si="198">I590*0.9</f>
        <v>5509.1571428571433</v>
      </c>
      <c r="J613" s="271">
        <f t="shared" si="198"/>
        <v>54.091799999999999</v>
      </c>
      <c r="K613" s="271">
        <f t="shared" ref="K613:K622" si="199">SUM(E613:J613)</f>
        <v>412912.60727651109</v>
      </c>
      <c r="L613" s="271">
        <f>K613*0.25</f>
        <v>103228.15181912777</v>
      </c>
      <c r="M613" s="272">
        <f t="shared" ref="M613:M622" si="200">K613+L613</f>
        <v>516140.75909563887</v>
      </c>
      <c r="N613" s="271">
        <f>M613+M618</f>
        <v>584572.94426276407</v>
      </c>
      <c r="O613" s="271">
        <f>'DGSP_chitiet (truKH)'!K613</f>
        <v>407403.45013365394</v>
      </c>
      <c r="P613" s="271">
        <f>'DGSP_chitiet (truKH)'!L613</f>
        <v>101850.86253341348</v>
      </c>
      <c r="Q613" s="306">
        <f>'DGSP_chitiet (truKH)'!M613</f>
        <v>509254.3126670674</v>
      </c>
      <c r="R613" s="271">
        <f>'DGSP_chitiet (truKH)'!N613</f>
        <v>576652.64846217469</v>
      </c>
      <c r="S613" s="271">
        <f t="shared" ref="S613:S622" si="201">S590*0.9</f>
        <v>10336.266346153847</v>
      </c>
    </row>
    <row r="614" spans="1:19" s="240" customFormat="1" ht="13.15" customHeight="1">
      <c r="A614" s="1005"/>
      <c r="B614" s="1006"/>
      <c r="C614" s="1005"/>
      <c r="D614" s="242">
        <v>2</v>
      </c>
      <c r="E614" s="271">
        <f t="shared" si="196"/>
        <v>434676.97081875015</v>
      </c>
      <c r="F614" s="271">
        <f t="shared" si="196"/>
        <v>22922.307692307691</v>
      </c>
      <c r="G614" s="271">
        <f t="shared" si="196"/>
        <v>2846.868904532967</v>
      </c>
      <c r="H614" s="271">
        <f t="shared" si="197"/>
        <v>17238.942857142858</v>
      </c>
      <c r="I614" s="271">
        <f t="shared" si="198"/>
        <v>6886.2690000000002</v>
      </c>
      <c r="J614" s="271">
        <f t="shared" si="198"/>
        <v>66.913560000000004</v>
      </c>
      <c r="K614" s="271">
        <f t="shared" si="199"/>
        <v>484638.2728327337</v>
      </c>
      <c r="L614" s="271">
        <f>K614*0.25</f>
        <v>121159.56820818342</v>
      </c>
      <c r="M614" s="272">
        <f t="shared" si="200"/>
        <v>605797.84104091709</v>
      </c>
      <c r="N614" s="271">
        <f>M614+M619</f>
        <v>674157.63626037166</v>
      </c>
      <c r="O614" s="271">
        <f>'DGSP_chitiet (truKH)'!K614</f>
        <v>477752.00383273372</v>
      </c>
      <c r="P614" s="271">
        <f>'DGSP_chitiet (truKH)'!L614</f>
        <v>119438.00095818343</v>
      </c>
      <c r="Q614" s="306">
        <f>'DGSP_chitiet (truKH)'!M614</f>
        <v>597190.00479091716</v>
      </c>
      <c r="R614" s="271">
        <f>'DGSP_chitiet (truKH)'!N614</f>
        <v>664595.18787087942</v>
      </c>
      <c r="S614" s="271">
        <f t="shared" si="201"/>
        <v>12339.953365384614</v>
      </c>
    </row>
    <row r="615" spans="1:19" s="240" customFormat="1" ht="13.15" customHeight="1">
      <c r="A615" s="1005"/>
      <c r="B615" s="1006"/>
      <c r="C615" s="1005"/>
      <c r="D615" s="242">
        <v>3</v>
      </c>
      <c r="E615" s="271">
        <f t="shared" si="196"/>
        <v>524281.82973750023</v>
      </c>
      <c r="F615" s="271">
        <f t="shared" si="196"/>
        <v>27506.769230769234</v>
      </c>
      <c r="G615" s="271">
        <f t="shared" si="196"/>
        <v>3770.0213432400933</v>
      </c>
      <c r="H615" s="271">
        <f t="shared" si="197"/>
        <v>14903.012121212121</v>
      </c>
      <c r="I615" s="271">
        <f t="shared" si="198"/>
        <v>9181.9285714285725</v>
      </c>
      <c r="J615" s="271">
        <f t="shared" si="198"/>
        <v>88.550279999999987</v>
      </c>
      <c r="K615" s="271">
        <f t="shared" si="199"/>
        <v>579732.11128415004</v>
      </c>
      <c r="L615" s="271">
        <f>K615*0.25</f>
        <v>144933.02782103751</v>
      </c>
      <c r="M615" s="272">
        <f t="shared" si="200"/>
        <v>724665.1391051875</v>
      </c>
      <c r="N615" s="271">
        <f>M615+M620</f>
        <v>792983.37220246345</v>
      </c>
      <c r="O615" s="271">
        <f>'DGSP_chitiet (truKH)'!K615</f>
        <v>570550.18271272152</v>
      </c>
      <c r="P615" s="271">
        <f>'DGSP_chitiet (truKH)'!L615</f>
        <v>142637.54567818038</v>
      </c>
      <c r="Q615" s="306">
        <f>'DGSP_chitiet (truKH)'!M615</f>
        <v>713187.72839090193</v>
      </c>
      <c r="R615" s="271">
        <f>'DGSP_chitiet (truKH)'!N615</f>
        <v>780534.189725996</v>
      </c>
      <c r="S615" s="271">
        <f t="shared" si="201"/>
        <v>14880.314423076923</v>
      </c>
    </row>
    <row r="616" spans="1:19" s="240" customFormat="1" ht="13.15" customHeight="1">
      <c r="A616" s="1005"/>
      <c r="B616" s="1006"/>
      <c r="C616" s="1005"/>
      <c r="D616" s="242">
        <v>4</v>
      </c>
      <c r="E616" s="271">
        <f t="shared" si="196"/>
        <v>633381.15165551484</v>
      </c>
      <c r="F616" s="271">
        <f t="shared" si="196"/>
        <v>32991.75</v>
      </c>
      <c r="G616" s="271">
        <f t="shared" si="196"/>
        <v>5056.7427288703948</v>
      </c>
      <c r="H616" s="271">
        <f t="shared" si="197"/>
        <v>12704.489075630252</v>
      </c>
      <c r="I616" s="271">
        <f t="shared" si="198"/>
        <v>12395.781000000001</v>
      </c>
      <c r="J616" s="271">
        <f t="shared" si="198"/>
        <v>119.00196000000001</v>
      </c>
      <c r="K616" s="271">
        <f t="shared" si="199"/>
        <v>696648.91642001539</v>
      </c>
      <c r="L616" s="271">
        <f>K616*0.25</f>
        <v>174162.22910500385</v>
      </c>
      <c r="M616" s="272">
        <f t="shared" si="200"/>
        <v>870811.14552501927</v>
      </c>
      <c r="N616" s="271">
        <f>M616+M621</f>
        <v>950046.70029095316</v>
      </c>
      <c r="O616" s="271">
        <f>'DGSP_chitiet (truKH)'!K616</f>
        <v>684253.13542001543</v>
      </c>
      <c r="P616" s="271">
        <f>'DGSP_chitiet (truKH)'!L616</f>
        <v>171063.28385500386</v>
      </c>
      <c r="Q616" s="306">
        <f>'DGSP_chitiet (truKH)'!M616</f>
        <v>855316.41927501932</v>
      </c>
      <c r="R616" s="271">
        <f>'DGSP_chitiet (truKH)'!N616</f>
        <v>933570.52400588105</v>
      </c>
      <c r="S616" s="271">
        <f t="shared" si="201"/>
        <v>17972.118507595344</v>
      </c>
    </row>
    <row r="617" spans="1:19" s="240" customFormat="1" ht="13.15" customHeight="1">
      <c r="A617" s="1005"/>
      <c r="B617" s="1006"/>
      <c r="C617" s="1005"/>
      <c r="D617" s="242">
        <v>5</v>
      </c>
      <c r="E617" s="271">
        <f t="shared" si="196"/>
        <v>761786.96356125036</v>
      </c>
      <c r="F617" s="271">
        <f t="shared" si="196"/>
        <v>39606.473076923081</v>
      </c>
      <c r="G617" s="271">
        <f t="shared" si="196"/>
        <v>6523.4802644230767</v>
      </c>
      <c r="H617" s="271">
        <f t="shared" si="197"/>
        <v>11072.085714285713</v>
      </c>
      <c r="I617" s="271">
        <f t="shared" si="198"/>
        <v>15609.278571428573</v>
      </c>
      <c r="J617" s="271">
        <f t="shared" si="198"/>
        <v>149.45364000000001</v>
      </c>
      <c r="K617" s="271">
        <f t="shared" si="199"/>
        <v>834747.73482831079</v>
      </c>
      <c r="L617" s="271">
        <f>K617*0.25</f>
        <v>208686.9337070777</v>
      </c>
      <c r="M617" s="272">
        <f t="shared" si="200"/>
        <v>1043434.6685353885</v>
      </c>
      <c r="N617" s="271">
        <f>M617+M622</f>
        <v>1129653.609231879</v>
      </c>
      <c r="O617" s="271">
        <f>'DGSP_chitiet (truKH)'!K617</f>
        <v>819138.45625688217</v>
      </c>
      <c r="P617" s="271">
        <f>'DGSP_chitiet (truKH)'!L617</f>
        <v>204784.61406422054</v>
      </c>
      <c r="Q617" s="306">
        <f>'DGSP_chitiet (truKH)'!M617</f>
        <v>1023923.0703211027</v>
      </c>
      <c r="R617" s="271">
        <f>'DGSP_chitiet (truKH)'!N617</f>
        <v>1109132.7201767971</v>
      </c>
      <c r="S617" s="271">
        <f t="shared" si="201"/>
        <v>21611.70135989011</v>
      </c>
    </row>
    <row r="618" spans="1:19" s="240" customFormat="1">
      <c r="A618" s="1005"/>
      <c r="B618" s="1006" t="s">
        <v>331</v>
      </c>
      <c r="C618" s="1005" t="s">
        <v>49</v>
      </c>
      <c r="D618" s="275" t="s">
        <v>18</v>
      </c>
      <c r="E618" s="271">
        <f t="shared" si="196"/>
        <v>40432.410067500015</v>
      </c>
      <c r="F618" s="271">
        <f t="shared" si="196"/>
        <v>0</v>
      </c>
      <c r="G618" s="271">
        <f t="shared" si="196"/>
        <v>702.49286998461548</v>
      </c>
      <c r="H618" s="271">
        <f t="shared" si="197"/>
        <v>16473.25</v>
      </c>
      <c r="I618" s="271">
        <f t="shared" si="198"/>
        <v>898.99945392857148</v>
      </c>
      <c r="J618" s="271">
        <f t="shared" si="198"/>
        <v>999.09557999999993</v>
      </c>
      <c r="K618" s="271">
        <f t="shared" si="199"/>
        <v>59506.247971413199</v>
      </c>
      <c r="L618" s="271">
        <f>K618*0.15</f>
        <v>8925.9371957119802</v>
      </c>
      <c r="M618" s="272">
        <f t="shared" si="200"/>
        <v>68432.185167125179</v>
      </c>
      <c r="N618" s="271"/>
      <c r="O618" s="271">
        <f>'DGSP_chitiet (truKH)'!K618</f>
        <v>58607.24851748463</v>
      </c>
      <c r="P618" s="271">
        <f>'DGSP_chitiet (truKH)'!L618</f>
        <v>8791.0872776226934</v>
      </c>
      <c r="Q618" s="306">
        <f>'DGSP_chitiet (truKH)'!M618</f>
        <v>67398.335795107327</v>
      </c>
      <c r="R618" s="271">
        <f>'DGSP_chitiet (truKH)'!N618</f>
        <v>0</v>
      </c>
      <c r="S618" s="271">
        <f t="shared" si="201"/>
        <v>1104.7828846153845</v>
      </c>
    </row>
    <row r="619" spans="1:19" s="240" customFormat="1">
      <c r="A619" s="1005"/>
      <c r="B619" s="1014"/>
      <c r="C619" s="1005"/>
      <c r="D619" s="242">
        <v>2</v>
      </c>
      <c r="E619" s="271">
        <f t="shared" si="196"/>
        <v>41100.365035714298</v>
      </c>
      <c r="F619" s="271">
        <f t="shared" si="196"/>
        <v>0</v>
      </c>
      <c r="G619" s="271">
        <f t="shared" si="196"/>
        <v>706.72107679945054</v>
      </c>
      <c r="H619" s="271">
        <f t="shared" si="197"/>
        <v>15822.714285714286</v>
      </c>
      <c r="I619" s="271">
        <f t="shared" si="198"/>
        <v>830.09751260204098</v>
      </c>
      <c r="J619" s="271">
        <f t="shared" si="198"/>
        <v>983.40227999999991</v>
      </c>
      <c r="K619" s="271">
        <f t="shared" si="199"/>
        <v>59443.300190830079</v>
      </c>
      <c r="L619" s="271">
        <f>K619*0.15</f>
        <v>8916.4950286245112</v>
      </c>
      <c r="M619" s="272">
        <f t="shared" si="200"/>
        <v>68359.795219454594</v>
      </c>
      <c r="N619" s="271"/>
      <c r="O619" s="271">
        <f>'DGSP_chitiet (truKH)'!K619</f>
        <v>58613.202678228037</v>
      </c>
      <c r="P619" s="271">
        <f>'DGSP_chitiet (truKH)'!L619</f>
        <v>8791.9804017342049</v>
      </c>
      <c r="Q619" s="306">
        <f>'DGSP_chitiet (truKH)'!M619</f>
        <v>67405.18307996224</v>
      </c>
      <c r="R619" s="271">
        <f>'DGSP_chitiet (truKH)'!N619</f>
        <v>0</v>
      </c>
      <c r="S619" s="271">
        <f t="shared" si="201"/>
        <v>1113.8950549450549</v>
      </c>
    </row>
    <row r="620" spans="1:19" s="240" customFormat="1">
      <c r="A620" s="1005"/>
      <c r="B620" s="1014"/>
      <c r="C620" s="1005"/>
      <c r="D620" s="242">
        <v>3</v>
      </c>
      <c r="E620" s="271">
        <f t="shared" si="196"/>
        <v>41263.816770000012</v>
      </c>
      <c r="F620" s="271">
        <f t="shared" si="196"/>
        <v>0</v>
      </c>
      <c r="G620" s="271">
        <f t="shared" si="196"/>
        <v>756.56186562859352</v>
      </c>
      <c r="H620" s="271">
        <f t="shared" si="197"/>
        <v>15507.30303030303</v>
      </c>
      <c r="I620" s="271">
        <f t="shared" si="198"/>
        <v>845.01892363636375</v>
      </c>
      <c r="J620" s="271">
        <f t="shared" si="198"/>
        <v>1034.4586254545454</v>
      </c>
      <c r="K620" s="271">
        <f t="shared" si="199"/>
        <v>59407.159215022548</v>
      </c>
      <c r="L620" s="271">
        <f>K620*0.15</f>
        <v>8911.0738822533822</v>
      </c>
      <c r="M620" s="272">
        <f t="shared" si="200"/>
        <v>68318.233097275923</v>
      </c>
      <c r="N620" s="271"/>
      <c r="O620" s="271">
        <f>'DGSP_chitiet (truKH)'!K620</f>
        <v>58562.140291386182</v>
      </c>
      <c r="P620" s="271">
        <f>'DGSP_chitiet (truKH)'!L620</f>
        <v>8784.3210437079269</v>
      </c>
      <c r="Q620" s="306">
        <f>'DGSP_chitiet (truKH)'!M620</f>
        <v>67346.461335094107</v>
      </c>
      <c r="R620" s="271">
        <f>'DGSP_chitiet (truKH)'!N620</f>
        <v>0</v>
      </c>
      <c r="S620" s="271">
        <f t="shared" si="201"/>
        <v>1115.093076923077</v>
      </c>
    </row>
    <row r="621" spans="1:19" s="240" customFormat="1">
      <c r="A621" s="1005"/>
      <c r="B621" s="1014"/>
      <c r="C621" s="1005"/>
      <c r="D621" s="242">
        <v>4</v>
      </c>
      <c r="E621" s="271">
        <f t="shared" si="196"/>
        <v>50901.478924537834</v>
      </c>
      <c r="F621" s="271">
        <f t="shared" si="196"/>
        <v>0</v>
      </c>
      <c r="G621" s="271">
        <f t="shared" si="196"/>
        <v>829.53773995277948</v>
      </c>
      <c r="H621" s="271">
        <f t="shared" si="197"/>
        <v>15210.44537815126</v>
      </c>
      <c r="I621" s="271">
        <f t="shared" si="198"/>
        <v>853.43481310624247</v>
      </c>
      <c r="J621" s="271">
        <f t="shared" si="198"/>
        <v>1105.5855494117648</v>
      </c>
      <c r="K621" s="271">
        <f t="shared" si="199"/>
        <v>68900.482405159884</v>
      </c>
      <c r="L621" s="271">
        <f>K621*0.15</f>
        <v>10335.072360773982</v>
      </c>
      <c r="M621" s="272">
        <f t="shared" si="200"/>
        <v>79235.554765933863</v>
      </c>
      <c r="N621" s="271"/>
      <c r="O621" s="271">
        <f>'DGSP_chitiet (truKH)'!K621</f>
        <v>68047.047592053641</v>
      </c>
      <c r="P621" s="271">
        <f>'DGSP_chitiet (truKH)'!L621</f>
        <v>10207.057138808046</v>
      </c>
      <c r="Q621" s="306">
        <f>'DGSP_chitiet (truKH)'!M621</f>
        <v>78254.104730861683</v>
      </c>
      <c r="R621" s="271">
        <f>'DGSP_chitiet (truKH)'!N621</f>
        <v>0</v>
      </c>
      <c r="S621" s="271">
        <f t="shared" si="201"/>
        <v>1351.4517517776339</v>
      </c>
    </row>
    <row r="622" spans="1:19" s="240" customFormat="1">
      <c r="A622" s="1005"/>
      <c r="B622" s="1014"/>
      <c r="C622" s="1005"/>
      <c r="D622" s="242">
        <v>5</v>
      </c>
      <c r="E622" s="271">
        <f t="shared" si="196"/>
        <v>57001.017319714301</v>
      </c>
      <c r="F622" s="271">
        <f t="shared" si="196"/>
        <v>0</v>
      </c>
      <c r="G622" s="271">
        <f t="shared" si="196"/>
        <v>918.71830946098885</v>
      </c>
      <c r="H622" s="271">
        <f t="shared" si="197"/>
        <v>14990.028571428571</v>
      </c>
      <c r="I622" s="271">
        <f t="shared" si="198"/>
        <v>877.64420938775515</v>
      </c>
      <c r="J622" s="271">
        <f t="shared" si="198"/>
        <v>1185.5835000000002</v>
      </c>
      <c r="K622" s="271">
        <f t="shared" si="199"/>
        <v>74972.991909991601</v>
      </c>
      <c r="L622" s="271">
        <f>K622*0.15</f>
        <v>11245.94878649874</v>
      </c>
      <c r="M622" s="272">
        <f t="shared" si="200"/>
        <v>86218.940696490346</v>
      </c>
      <c r="N622" s="271"/>
      <c r="O622" s="271">
        <f>'DGSP_chitiet (truKH)'!K622</f>
        <v>74095.347700603845</v>
      </c>
      <c r="P622" s="271">
        <f>'DGSP_chitiet (truKH)'!L622</f>
        <v>11114.302155090576</v>
      </c>
      <c r="Q622" s="306">
        <f>'DGSP_chitiet (truKH)'!M622</f>
        <v>85209.649855694413</v>
      </c>
      <c r="R622" s="271">
        <f>'DGSP_chitiet (truKH)'!N622</f>
        <v>0</v>
      </c>
      <c r="S622" s="271">
        <f t="shared" si="201"/>
        <v>1500.8682857142855</v>
      </c>
    </row>
    <row r="623" spans="1:19" s="240" customFormat="1" ht="13.5">
      <c r="A623" s="242" t="s">
        <v>334</v>
      </c>
      <c r="B623" s="277" t="s">
        <v>424</v>
      </c>
      <c r="C623" s="242"/>
      <c r="D623" s="242"/>
      <c r="E623" s="271"/>
      <c r="F623" s="271"/>
      <c r="G623" s="271"/>
      <c r="H623" s="271"/>
      <c r="I623" s="271"/>
      <c r="J623" s="271"/>
      <c r="K623" s="271"/>
      <c r="L623" s="271"/>
      <c r="M623" s="272"/>
      <c r="N623" s="271"/>
      <c r="O623" s="271">
        <f>'DGSP_chitiet (truKH)'!K623</f>
        <v>0</v>
      </c>
      <c r="P623" s="271">
        <f>'DGSP_chitiet (truKH)'!L623</f>
        <v>0</v>
      </c>
      <c r="Q623" s="306">
        <f>'DGSP_chitiet (truKH)'!M623</f>
        <v>0</v>
      </c>
      <c r="R623" s="271">
        <f>'DGSP_chitiet (truKH)'!N623</f>
        <v>0</v>
      </c>
      <c r="S623" s="271"/>
    </row>
    <row r="624" spans="1:19" s="240" customFormat="1" ht="13.15" customHeight="1">
      <c r="A624" s="1005"/>
      <c r="B624" s="1006" t="s">
        <v>330</v>
      </c>
      <c r="C624" s="1005" t="s">
        <v>49</v>
      </c>
      <c r="D624" s="242">
        <v>1</v>
      </c>
      <c r="E624" s="271">
        <f t="shared" ref="E624:G633" si="202">E590*0.8</f>
        <v>323459.6651000001</v>
      </c>
      <c r="F624" s="271">
        <f t="shared" si="202"/>
        <v>16969.784615384615</v>
      </c>
      <c r="G624" s="271">
        <f t="shared" si="202"/>
        <v>2052.8243589743593</v>
      </c>
      <c r="H624" s="271">
        <f t="shared" ref="H624:H633" si="203">H602</f>
        <v>22056.799999999999</v>
      </c>
      <c r="I624" s="271">
        <f t="shared" ref="I624:J633" si="204">I590*0.8</f>
        <v>4897.0285714285719</v>
      </c>
      <c r="J624" s="271">
        <f t="shared" si="204"/>
        <v>48.081600000000002</v>
      </c>
      <c r="K624" s="271">
        <f t="shared" ref="K624:K633" si="205">SUM(E624:J624)</f>
        <v>369484.18424578756</v>
      </c>
      <c r="L624" s="271">
        <f>K624*0.25</f>
        <v>92371.04606144689</v>
      </c>
      <c r="M624" s="272">
        <f t="shared" ref="M624:M633" si="206">K624+L624</f>
        <v>461855.23030723445</v>
      </c>
      <c r="N624" s="271">
        <f>M624+M629</f>
        <v>524788.75462245685</v>
      </c>
      <c r="O624" s="271">
        <f>'DGSP_chitiet (truKH)'!K624</f>
        <v>364587.155674359</v>
      </c>
      <c r="P624" s="271">
        <f>'DGSP_chitiet (truKH)'!L624</f>
        <v>91146.788918589751</v>
      </c>
      <c r="Q624" s="306">
        <f>'DGSP_chitiet (truKH)'!M624</f>
        <v>455733.94459294877</v>
      </c>
      <c r="R624" s="271">
        <f>'DGSP_chitiet (truKH)'!N624</f>
        <v>517748.49168859969</v>
      </c>
      <c r="S624" s="271">
        <f t="shared" ref="S624:S633" si="207">S590*0.8</f>
        <v>9187.7923076923089</v>
      </c>
    </row>
    <row r="625" spans="1:19" s="240" customFormat="1" ht="13.15" customHeight="1">
      <c r="A625" s="1005"/>
      <c r="B625" s="1006"/>
      <c r="C625" s="1005"/>
      <c r="D625" s="242">
        <v>2</v>
      </c>
      <c r="E625" s="271">
        <f t="shared" si="202"/>
        <v>386379.52961666684</v>
      </c>
      <c r="F625" s="271">
        <f t="shared" si="202"/>
        <v>20375.384615384617</v>
      </c>
      <c r="G625" s="271">
        <f t="shared" si="202"/>
        <v>2530.5501373626375</v>
      </c>
      <c r="H625" s="271">
        <f t="shared" si="203"/>
        <v>17238.942857142858</v>
      </c>
      <c r="I625" s="271">
        <f t="shared" si="204"/>
        <v>6121.1280000000006</v>
      </c>
      <c r="J625" s="271">
        <f t="shared" si="204"/>
        <v>59.478720000000003</v>
      </c>
      <c r="K625" s="271">
        <f t="shared" si="205"/>
        <v>432705.01394655695</v>
      </c>
      <c r="L625" s="271">
        <f>K625*0.25</f>
        <v>108176.25348663924</v>
      </c>
      <c r="M625" s="272">
        <f t="shared" si="206"/>
        <v>540881.26743319619</v>
      </c>
      <c r="N625" s="271">
        <f>M625+M630</f>
        <v>603667.32112033048</v>
      </c>
      <c r="O625" s="271">
        <f>'DGSP_chitiet (truKH)'!K625</f>
        <v>426583.88594655693</v>
      </c>
      <c r="P625" s="271">
        <f>'DGSP_chitiet (truKH)'!L625</f>
        <v>106645.97148663923</v>
      </c>
      <c r="Q625" s="306">
        <f>'DGSP_chitiet (truKH)'!M625</f>
        <v>533229.85743319616</v>
      </c>
      <c r="R625" s="271">
        <f>'DGSP_chitiet (truKH)'!N625</f>
        <v>595167.36699633719</v>
      </c>
      <c r="S625" s="271">
        <f t="shared" si="207"/>
        <v>10968.847435897434</v>
      </c>
    </row>
    <row r="626" spans="1:19" s="240" customFormat="1" ht="13.15" customHeight="1">
      <c r="A626" s="1005"/>
      <c r="B626" s="1006"/>
      <c r="C626" s="1005"/>
      <c r="D626" s="242">
        <v>3</v>
      </c>
      <c r="E626" s="271">
        <f t="shared" si="202"/>
        <v>466028.29310000018</v>
      </c>
      <c r="F626" s="271">
        <f t="shared" si="202"/>
        <v>24450.461538461543</v>
      </c>
      <c r="G626" s="271">
        <f t="shared" si="202"/>
        <v>3351.1300828800831</v>
      </c>
      <c r="H626" s="271">
        <f t="shared" si="203"/>
        <v>14903.012121212121</v>
      </c>
      <c r="I626" s="271">
        <f t="shared" si="204"/>
        <v>8161.7142857142871</v>
      </c>
      <c r="J626" s="271">
        <f t="shared" si="204"/>
        <v>78.711359999999999</v>
      </c>
      <c r="K626" s="271">
        <f t="shared" si="205"/>
        <v>516973.32248826826</v>
      </c>
      <c r="L626" s="271">
        <f>K626*0.25</f>
        <v>129243.33062206706</v>
      </c>
      <c r="M626" s="272">
        <f t="shared" si="206"/>
        <v>646216.65311033535</v>
      </c>
      <c r="N626" s="271">
        <f>M626+M631</f>
        <v>708925.46013956377</v>
      </c>
      <c r="O626" s="271">
        <f>'DGSP_chitiet (truKH)'!K626</f>
        <v>508811.60820255399</v>
      </c>
      <c r="P626" s="271">
        <f>'DGSP_chitiet (truKH)'!L626</f>
        <v>127202.9020506385</v>
      </c>
      <c r="Q626" s="306">
        <f>'DGSP_chitiet (truKH)'!M626</f>
        <v>636014.51025319251</v>
      </c>
      <c r="R626" s="271">
        <f>'DGSP_chitiet (truKH)'!N626</f>
        <v>697859.52016048157</v>
      </c>
      <c r="S626" s="271">
        <f t="shared" si="207"/>
        <v>13226.946153846155</v>
      </c>
    </row>
    <row r="627" spans="1:19" s="240" customFormat="1" ht="13.15" customHeight="1">
      <c r="A627" s="1005"/>
      <c r="B627" s="1006"/>
      <c r="C627" s="1005"/>
      <c r="D627" s="242">
        <v>4</v>
      </c>
      <c r="E627" s="271">
        <f t="shared" si="202"/>
        <v>563005.4681382355</v>
      </c>
      <c r="F627" s="271">
        <f t="shared" si="202"/>
        <v>29326</v>
      </c>
      <c r="G627" s="271">
        <f t="shared" si="202"/>
        <v>4494.882425662573</v>
      </c>
      <c r="H627" s="271">
        <f t="shared" si="203"/>
        <v>12704.489075630252</v>
      </c>
      <c r="I627" s="271">
        <f t="shared" si="204"/>
        <v>11018.472000000002</v>
      </c>
      <c r="J627" s="271">
        <f t="shared" si="204"/>
        <v>105.77952000000001</v>
      </c>
      <c r="K627" s="271">
        <f t="shared" si="205"/>
        <v>620655.09115952824</v>
      </c>
      <c r="L627" s="271">
        <f>K627*0.25</f>
        <v>155163.77278988206</v>
      </c>
      <c r="M627" s="272">
        <f t="shared" si="206"/>
        <v>775818.86394941027</v>
      </c>
      <c r="N627" s="271">
        <f>M627+M632</f>
        <v>848194.02509522636</v>
      </c>
      <c r="O627" s="271">
        <f>'DGSP_chitiet (truKH)'!K627</f>
        <v>609636.61915952829</v>
      </c>
      <c r="P627" s="271">
        <f>'DGSP_chitiet (truKH)'!L627</f>
        <v>152409.15478988207</v>
      </c>
      <c r="Q627" s="306">
        <f>'DGSP_chitiet (truKH)'!M627</f>
        <v>762045.7739494103</v>
      </c>
      <c r="R627" s="271">
        <f>'DGSP_chitiet (truKH)'!N627</f>
        <v>833548.53506405116</v>
      </c>
      <c r="S627" s="271">
        <f t="shared" si="207"/>
        <v>15975.216451195862</v>
      </c>
    </row>
    <row r="628" spans="1:19" s="240" customFormat="1" ht="13.15" customHeight="1">
      <c r="A628" s="1005"/>
      <c r="B628" s="1006"/>
      <c r="C628" s="1005"/>
      <c r="D628" s="242">
        <v>5</v>
      </c>
      <c r="E628" s="271">
        <f t="shared" si="202"/>
        <v>677143.96761000028</v>
      </c>
      <c r="F628" s="271">
        <f t="shared" si="202"/>
        <v>35205.75384615385</v>
      </c>
      <c r="G628" s="271">
        <f t="shared" si="202"/>
        <v>5798.6491239316238</v>
      </c>
      <c r="H628" s="271">
        <f t="shared" si="203"/>
        <v>11072.085714285713</v>
      </c>
      <c r="I628" s="271">
        <f t="shared" si="204"/>
        <v>13874.914285714287</v>
      </c>
      <c r="J628" s="271">
        <f t="shared" si="204"/>
        <v>132.84768000000003</v>
      </c>
      <c r="K628" s="271">
        <f t="shared" si="205"/>
        <v>743228.21826008579</v>
      </c>
      <c r="L628" s="271">
        <f>K628*0.25</f>
        <v>185807.05456502145</v>
      </c>
      <c r="M628" s="272">
        <f t="shared" si="206"/>
        <v>929035.27282510721</v>
      </c>
      <c r="N628" s="271">
        <f>M628+M633</f>
        <v>1007589.7237616701</v>
      </c>
      <c r="O628" s="271">
        <f>'DGSP_chitiet (truKH)'!K628</f>
        <v>729353.30397437152</v>
      </c>
      <c r="P628" s="271">
        <f>'DGSP_chitiet (truKH)'!L628</f>
        <v>182338.32599359288</v>
      </c>
      <c r="Q628" s="306">
        <f>'DGSP_chitiet (truKH)'!M628</f>
        <v>911691.62996796437</v>
      </c>
      <c r="R628" s="271">
        <f>'DGSP_chitiet (truKH)'!N628</f>
        <v>989348.93349048635</v>
      </c>
      <c r="S628" s="271">
        <f t="shared" si="207"/>
        <v>19210.401208791209</v>
      </c>
    </row>
    <row r="629" spans="1:19" s="240" customFormat="1" ht="13.15" customHeight="1">
      <c r="A629" s="1005"/>
      <c r="B629" s="1006" t="s">
        <v>331</v>
      </c>
      <c r="C629" s="1005" t="s">
        <v>49</v>
      </c>
      <c r="D629" s="275" t="s">
        <v>18</v>
      </c>
      <c r="E629" s="271">
        <f t="shared" si="202"/>
        <v>35939.920060000011</v>
      </c>
      <c r="F629" s="271">
        <f t="shared" si="202"/>
        <v>0</v>
      </c>
      <c r="G629" s="271">
        <f t="shared" si="202"/>
        <v>624.43810665299156</v>
      </c>
      <c r="H629" s="271">
        <f t="shared" si="203"/>
        <v>16473.25</v>
      </c>
      <c r="I629" s="271">
        <f t="shared" si="204"/>
        <v>799.11062571428579</v>
      </c>
      <c r="J629" s="271">
        <f t="shared" si="204"/>
        <v>888.08496000000002</v>
      </c>
      <c r="K629" s="271">
        <f t="shared" si="205"/>
        <v>54724.80375236729</v>
      </c>
      <c r="L629" s="271">
        <f>K629*0.15</f>
        <v>8208.7205628550928</v>
      </c>
      <c r="M629" s="272">
        <f t="shared" si="206"/>
        <v>62933.524315222385</v>
      </c>
      <c r="N629" s="271"/>
      <c r="O629" s="271">
        <f>'DGSP_chitiet (truKH)'!K629</f>
        <v>53925.693126653001</v>
      </c>
      <c r="P629" s="271">
        <f>'DGSP_chitiet (truKH)'!L629</f>
        <v>8088.8539689979498</v>
      </c>
      <c r="Q629" s="306">
        <f>'DGSP_chitiet (truKH)'!M629</f>
        <v>62014.547095650953</v>
      </c>
      <c r="R629" s="271">
        <f>'DGSP_chitiet (truKH)'!N629</f>
        <v>0</v>
      </c>
      <c r="S629" s="271">
        <f t="shared" si="207"/>
        <v>982.02923076923071</v>
      </c>
    </row>
    <row r="630" spans="1:19" s="240" customFormat="1" ht="13.15" customHeight="1">
      <c r="A630" s="1005"/>
      <c r="B630" s="1006"/>
      <c r="C630" s="1005"/>
      <c r="D630" s="242">
        <v>2</v>
      </c>
      <c r="E630" s="271">
        <f t="shared" si="202"/>
        <v>36533.657809523822</v>
      </c>
      <c r="F630" s="271">
        <f t="shared" si="202"/>
        <v>0</v>
      </c>
      <c r="G630" s="271">
        <f t="shared" si="202"/>
        <v>628.19651271062276</v>
      </c>
      <c r="H630" s="271">
        <f t="shared" si="203"/>
        <v>15822.714285714286</v>
      </c>
      <c r="I630" s="271">
        <f t="shared" si="204"/>
        <v>737.86445564625865</v>
      </c>
      <c r="J630" s="271">
        <f t="shared" si="204"/>
        <v>874.13535999999988</v>
      </c>
      <c r="K630" s="271">
        <f t="shared" si="205"/>
        <v>54596.568423594996</v>
      </c>
      <c r="L630" s="271">
        <f>K630*0.15</f>
        <v>8189.485263539249</v>
      </c>
      <c r="M630" s="272">
        <f t="shared" si="206"/>
        <v>62786.053687134248</v>
      </c>
      <c r="N630" s="271"/>
      <c r="O630" s="271">
        <f>'DGSP_chitiet (truKH)'!K630</f>
        <v>53858.703967948735</v>
      </c>
      <c r="P630" s="271">
        <f>'DGSP_chitiet (truKH)'!L630</f>
        <v>8078.8055951923097</v>
      </c>
      <c r="Q630" s="306">
        <f>'DGSP_chitiet (truKH)'!M630</f>
        <v>61937.509563141044</v>
      </c>
      <c r="R630" s="271">
        <f>'DGSP_chitiet (truKH)'!N630</f>
        <v>0</v>
      </c>
      <c r="S630" s="271">
        <f t="shared" si="207"/>
        <v>990.12893772893767</v>
      </c>
    </row>
    <row r="631" spans="1:19" s="240" customFormat="1" ht="13.15" customHeight="1">
      <c r="A631" s="1005"/>
      <c r="B631" s="1006"/>
      <c r="C631" s="1005"/>
      <c r="D631" s="242">
        <v>3</v>
      </c>
      <c r="E631" s="271">
        <f t="shared" si="202"/>
        <v>36678.948240000012</v>
      </c>
      <c r="F631" s="271">
        <f t="shared" si="202"/>
        <v>0</v>
      </c>
      <c r="G631" s="271">
        <f t="shared" si="202"/>
        <v>672.49943611430535</v>
      </c>
      <c r="H631" s="271">
        <f t="shared" si="203"/>
        <v>15507.30303030303</v>
      </c>
      <c r="I631" s="271">
        <f t="shared" si="204"/>
        <v>751.12793212121233</v>
      </c>
      <c r="J631" s="271">
        <f t="shared" si="204"/>
        <v>919.51877818181822</v>
      </c>
      <c r="K631" s="271">
        <f t="shared" si="205"/>
        <v>54529.397416720378</v>
      </c>
      <c r="L631" s="271">
        <f>K631*0.15</f>
        <v>8179.4096125080559</v>
      </c>
      <c r="M631" s="272">
        <f t="shared" si="206"/>
        <v>62708.807029228432</v>
      </c>
      <c r="N631" s="271"/>
      <c r="O631" s="271">
        <f>'DGSP_chitiet (truKH)'!K631</f>
        <v>53778.269484599165</v>
      </c>
      <c r="P631" s="271">
        <f>'DGSP_chitiet (truKH)'!L631</f>
        <v>8066.7404226898743</v>
      </c>
      <c r="Q631" s="306">
        <f>'DGSP_chitiet (truKH)'!M631</f>
        <v>61845.009907289037</v>
      </c>
      <c r="R631" s="271">
        <f>'DGSP_chitiet (truKH)'!N631</f>
        <v>0</v>
      </c>
      <c r="S631" s="271">
        <f t="shared" si="207"/>
        <v>991.19384615384627</v>
      </c>
    </row>
    <row r="632" spans="1:19" s="240" customFormat="1" ht="13.15" customHeight="1">
      <c r="A632" s="1005"/>
      <c r="B632" s="1006"/>
      <c r="C632" s="1005"/>
      <c r="D632" s="242">
        <v>4</v>
      </c>
      <c r="E632" s="271">
        <f t="shared" si="202"/>
        <v>45245.759044033628</v>
      </c>
      <c r="F632" s="271">
        <f t="shared" si="202"/>
        <v>0</v>
      </c>
      <c r="G632" s="271">
        <f t="shared" si="202"/>
        <v>737.36687995802629</v>
      </c>
      <c r="H632" s="271">
        <f t="shared" si="203"/>
        <v>15210.44537815126</v>
      </c>
      <c r="I632" s="271">
        <f t="shared" si="204"/>
        <v>758.60872276110445</v>
      </c>
      <c r="J632" s="271">
        <f t="shared" si="204"/>
        <v>982.74271058823524</v>
      </c>
      <c r="K632" s="271">
        <f t="shared" si="205"/>
        <v>62934.922735492255</v>
      </c>
      <c r="L632" s="271">
        <f>K632*0.15</f>
        <v>9440.2384103238383</v>
      </c>
      <c r="M632" s="272">
        <f t="shared" si="206"/>
        <v>72375.161145816091</v>
      </c>
      <c r="N632" s="271"/>
      <c r="O632" s="271">
        <f>'DGSP_chitiet (truKH)'!K632</f>
        <v>62176.314012731149</v>
      </c>
      <c r="P632" s="271">
        <f>'DGSP_chitiet (truKH)'!L632</f>
        <v>9326.4471019096727</v>
      </c>
      <c r="Q632" s="306">
        <f>'DGSP_chitiet (truKH)'!M632</f>
        <v>71502.761114640816</v>
      </c>
      <c r="R632" s="271">
        <f>'DGSP_chitiet (truKH)'!N632</f>
        <v>0</v>
      </c>
      <c r="S632" s="271">
        <f t="shared" si="207"/>
        <v>1201.2904460245634</v>
      </c>
    </row>
    <row r="633" spans="1:19" s="240" customFormat="1" ht="13.15" customHeight="1">
      <c r="A633" s="1005"/>
      <c r="B633" s="1006"/>
      <c r="C633" s="1005"/>
      <c r="D633" s="242">
        <v>5</v>
      </c>
      <c r="E633" s="271">
        <f t="shared" si="202"/>
        <v>50667.57095085716</v>
      </c>
      <c r="F633" s="271">
        <f t="shared" si="202"/>
        <v>0</v>
      </c>
      <c r="G633" s="271">
        <f t="shared" si="202"/>
        <v>816.63849729865683</v>
      </c>
      <c r="H633" s="271">
        <f t="shared" si="203"/>
        <v>14990.028571428571</v>
      </c>
      <c r="I633" s="271">
        <f t="shared" si="204"/>
        <v>780.12818612244905</v>
      </c>
      <c r="J633" s="271">
        <f t="shared" si="204"/>
        <v>1053.8520000000001</v>
      </c>
      <c r="K633" s="271">
        <f t="shared" si="205"/>
        <v>68308.218205706842</v>
      </c>
      <c r="L633" s="271">
        <f>K633*0.15</f>
        <v>10246.232730856025</v>
      </c>
      <c r="M633" s="272">
        <f t="shared" si="206"/>
        <v>78554.450936562862</v>
      </c>
      <c r="N633" s="271"/>
      <c r="O633" s="271">
        <f>'DGSP_chitiet (truKH)'!K633</f>
        <v>67528.090019584386</v>
      </c>
      <c r="P633" s="271">
        <f>'DGSP_chitiet (truKH)'!L633</f>
        <v>10129.213502937657</v>
      </c>
      <c r="Q633" s="306">
        <f>'DGSP_chitiet (truKH)'!M633</f>
        <v>77657.303522522037</v>
      </c>
      <c r="R633" s="271">
        <f>'DGSP_chitiet (truKH)'!N633</f>
        <v>0</v>
      </c>
      <c r="S633" s="271">
        <f t="shared" si="207"/>
        <v>1334.1051428571427</v>
      </c>
    </row>
    <row r="634" spans="1:19" s="232" customFormat="1" ht="12.75" customHeight="1">
      <c r="A634" s="242" t="s">
        <v>335</v>
      </c>
      <c r="B634" s="277" t="s">
        <v>491</v>
      </c>
      <c r="C634" s="276"/>
      <c r="D634" s="242"/>
      <c r="E634" s="271"/>
      <c r="F634" s="271"/>
      <c r="G634" s="271"/>
      <c r="H634" s="271"/>
      <c r="I634" s="271"/>
      <c r="J634" s="271"/>
      <c r="K634" s="271"/>
      <c r="L634" s="271"/>
      <c r="M634" s="272"/>
      <c r="N634" s="271"/>
      <c r="O634" s="271">
        <f>'DGSP_chitiet (truKH)'!K634</f>
        <v>0</v>
      </c>
      <c r="P634" s="271">
        <f>'DGSP_chitiet (truKH)'!L634</f>
        <v>0</v>
      </c>
      <c r="Q634" s="306">
        <f>'DGSP_chitiet (truKH)'!M634</f>
        <v>0</v>
      </c>
      <c r="R634" s="271">
        <f>'DGSP_chitiet (truKH)'!N634</f>
        <v>0</v>
      </c>
      <c r="S634" s="271"/>
    </row>
    <row r="635" spans="1:19" s="232" customFormat="1" ht="13.9" customHeight="1">
      <c r="A635" s="1005"/>
      <c r="B635" s="1014" t="s">
        <v>389</v>
      </c>
      <c r="C635" s="1005" t="s">
        <v>49</v>
      </c>
      <c r="D635" s="275" t="s">
        <v>18</v>
      </c>
      <c r="E635" s="271">
        <f>E$667/100+(E$669+E$670)/$C595</f>
        <v>12373.218000000003</v>
      </c>
      <c r="F635" s="271"/>
      <c r="G635" s="271">
        <f t="shared" ref="G635:J639" si="208">G595</f>
        <v>780.5476333162394</v>
      </c>
      <c r="H635" s="271">
        <f t="shared" si="208"/>
        <v>16473.25</v>
      </c>
      <c r="I635" s="271">
        <f t="shared" si="208"/>
        <v>998.88828214285718</v>
      </c>
      <c r="J635" s="271">
        <f t="shared" si="208"/>
        <v>1110.1061999999999</v>
      </c>
      <c r="K635" s="271">
        <f>SUM(E635:J635)</f>
        <v>31736.010115459096</v>
      </c>
      <c r="L635" s="271">
        <f>K635*0.15</f>
        <v>4760.4015173188645</v>
      </c>
      <c r="M635" s="272">
        <f>K635+L635</f>
        <v>36496.411632777963</v>
      </c>
      <c r="N635" s="271">
        <f>M635</f>
        <v>36496.411632777963</v>
      </c>
      <c r="O635" s="271">
        <f>'DGSP_chitiet (truKH)'!K635</f>
        <v>30737.12183331624</v>
      </c>
      <c r="P635" s="271">
        <f>'DGSP_chitiet (truKH)'!L635</f>
        <v>4610.5682749974358</v>
      </c>
      <c r="Q635" s="306">
        <f>'DGSP_chitiet (truKH)'!M635</f>
        <v>35347.690108313676</v>
      </c>
      <c r="R635" s="271">
        <f>'DGSP_chitiet (truKH)'!N635</f>
        <v>35347.690108313676</v>
      </c>
      <c r="S635" s="271">
        <f>S$667/100+(S$669+S$670)/$C595</f>
        <v>350.30769230769226</v>
      </c>
    </row>
    <row r="636" spans="1:19" s="232" customFormat="1" ht="13.9" customHeight="1">
      <c r="A636" s="1005"/>
      <c r="B636" s="1014"/>
      <c r="C636" s="1005"/>
      <c r="D636" s="275" t="s">
        <v>20</v>
      </c>
      <c r="E636" s="271">
        <f>E$667/100+(E$669+E$670)/$C596</f>
        <v>11882.217285714289</v>
      </c>
      <c r="F636" s="271"/>
      <c r="G636" s="271">
        <f t="shared" si="208"/>
        <v>785.24564088827833</v>
      </c>
      <c r="H636" s="271">
        <f t="shared" si="208"/>
        <v>15822.714285714286</v>
      </c>
      <c r="I636" s="271">
        <f t="shared" si="208"/>
        <v>922.33056955782331</v>
      </c>
      <c r="J636" s="271">
        <f t="shared" si="208"/>
        <v>1092.6691999999998</v>
      </c>
      <c r="K636" s="271">
        <f>SUM(E636:J636)</f>
        <v>30505.17698187468</v>
      </c>
      <c r="L636" s="271">
        <f>K636*0.15</f>
        <v>4575.7765472812016</v>
      </c>
      <c r="M636" s="272">
        <f>K636+L636</f>
        <v>35080.953529155879</v>
      </c>
      <c r="N636" s="271">
        <f>M636</f>
        <v>35080.953529155879</v>
      </c>
      <c r="O636" s="271">
        <f>'DGSP_chitiet (truKH)'!K636</f>
        <v>29582.846412316856</v>
      </c>
      <c r="P636" s="271">
        <f>'DGSP_chitiet (truKH)'!L636</f>
        <v>4437.4269618475282</v>
      </c>
      <c r="Q636" s="306">
        <f>'DGSP_chitiet (truKH)'!M636</f>
        <v>34020.273374164382</v>
      </c>
      <c r="R636" s="271">
        <f>'DGSP_chitiet (truKH)'!N636</f>
        <v>34020.273374164382</v>
      </c>
      <c r="S636" s="271">
        <f>S$667/100+(S$669+S$670)/$C596</f>
        <v>336.4065934065934</v>
      </c>
    </row>
    <row r="637" spans="1:19" s="232" customFormat="1" ht="13.9" customHeight="1">
      <c r="A637" s="1005"/>
      <c r="B637" s="1014"/>
      <c r="C637" s="1005"/>
      <c r="D637" s="275" t="s">
        <v>35</v>
      </c>
      <c r="E637" s="271">
        <f>E$667/100+(E$669+E$670)/$C597</f>
        <v>11644.156333333336</v>
      </c>
      <c r="F637" s="271"/>
      <c r="G637" s="271">
        <f t="shared" si="208"/>
        <v>840.62429514288169</v>
      </c>
      <c r="H637" s="271">
        <f t="shared" si="208"/>
        <v>15507.30303030303</v>
      </c>
      <c r="I637" s="271">
        <f t="shared" si="208"/>
        <v>938.90991515151529</v>
      </c>
      <c r="J637" s="271">
        <f t="shared" si="208"/>
        <v>1149.3984727272727</v>
      </c>
      <c r="K637" s="271">
        <f>SUM(E637:J637)</f>
        <v>30080.392046658035</v>
      </c>
      <c r="L637" s="271">
        <f>K637*0.15</f>
        <v>4512.0588069987052</v>
      </c>
      <c r="M637" s="272">
        <f>K637+L637</f>
        <v>34592.450853656737</v>
      </c>
      <c r="N637" s="271">
        <f>M637</f>
        <v>34592.450853656737</v>
      </c>
      <c r="O637" s="271">
        <f>'DGSP_chitiet (truKH)'!K637</f>
        <v>29141.48213150652</v>
      </c>
      <c r="P637" s="271">
        <f>'DGSP_chitiet (truKH)'!L637</f>
        <v>4371.2223197259782</v>
      </c>
      <c r="Q637" s="306">
        <f>'DGSP_chitiet (truKH)'!M637</f>
        <v>33512.704451232501</v>
      </c>
      <c r="R637" s="271">
        <f>'DGSP_chitiet (truKH)'!N637</f>
        <v>33512.704451232501</v>
      </c>
      <c r="S637" s="271">
        <f>S$667/100+(S$669+S$670)/$C597</f>
        <v>329.66666666666663</v>
      </c>
    </row>
    <row r="638" spans="1:19" s="232" customFormat="1" ht="13.9" customHeight="1">
      <c r="A638" s="1005"/>
      <c r="B638" s="1014"/>
      <c r="C638" s="1005"/>
      <c r="D638" s="982" t="s">
        <v>33</v>
      </c>
      <c r="E638" s="271">
        <f>E$667/100+(E$669+E$670)/$C598</f>
        <v>11420.098966386558</v>
      </c>
      <c r="F638" s="271"/>
      <c r="G638" s="271">
        <f t="shared" si="208"/>
        <v>921.70859994753278</v>
      </c>
      <c r="H638" s="271">
        <f t="shared" si="208"/>
        <v>15210.44537815126</v>
      </c>
      <c r="I638" s="271">
        <f t="shared" si="208"/>
        <v>948.2609034513805</v>
      </c>
      <c r="J638" s="271">
        <f t="shared" si="208"/>
        <v>1228.4283882352941</v>
      </c>
      <c r="K638" s="271">
        <f>SUM(E638:J638)</f>
        <v>29728.942236172024</v>
      </c>
      <c r="L638" s="271">
        <f>K638*0.15</f>
        <v>4459.3413354258037</v>
      </c>
      <c r="M638" s="272">
        <f>K638+L638</f>
        <v>34188.283571597829</v>
      </c>
      <c r="N638" s="271">
        <f>M638</f>
        <v>34188.283571597829</v>
      </c>
      <c r="O638" s="271">
        <f>'DGSP_chitiet (truKH)'!K638</f>
        <v>28780.681332720644</v>
      </c>
      <c r="P638" s="271">
        <f>'DGSP_chitiet (truKH)'!L638</f>
        <v>4317.1021999080967</v>
      </c>
      <c r="Q638" s="306">
        <f>'DGSP_chitiet (truKH)'!M638</f>
        <v>33097.783532628739</v>
      </c>
      <c r="R638" s="271">
        <f>'DGSP_chitiet (truKH)'!N638</f>
        <v>33097.783532628739</v>
      </c>
      <c r="S638" s="271">
        <f>S$667/100+(S$669+S$670)/$C598</f>
        <v>323.32320620555913</v>
      </c>
    </row>
    <row r="639" spans="1:19" s="232" customFormat="1" ht="13.9" customHeight="1">
      <c r="A639" s="242"/>
      <c r="B639" s="277"/>
      <c r="C639" s="242"/>
      <c r="D639" s="987">
        <v>5</v>
      </c>
      <c r="E639" s="271">
        <f>E$667/100+(E$669+E$670)/$C599</f>
        <v>11253.736371428575</v>
      </c>
      <c r="F639" s="271"/>
      <c r="G639" s="271">
        <f t="shared" si="208"/>
        <v>1020.798121623321</v>
      </c>
      <c r="H639" s="271">
        <f t="shared" si="208"/>
        <v>14990.028571428571</v>
      </c>
      <c r="I639" s="271">
        <f t="shared" si="208"/>
        <v>975.16023265306126</v>
      </c>
      <c r="J639" s="271">
        <f t="shared" si="208"/>
        <v>1317.3150000000001</v>
      </c>
      <c r="K639" s="271">
        <f>SUM(E639:J639)</f>
        <v>29557.038297133528</v>
      </c>
      <c r="L639" s="271">
        <f>K639*0.15</f>
        <v>4433.5557445700288</v>
      </c>
      <c r="M639" s="272">
        <f>K639+L639</f>
        <v>33990.59404170356</v>
      </c>
      <c r="N639" s="271">
        <f>M639</f>
        <v>33990.59404170356</v>
      </c>
      <c r="O639" s="271">
        <f>'DGSP_chitiet (truKH)'!K639</f>
        <v>28581.878064480465</v>
      </c>
      <c r="P639" s="271">
        <f>'DGSP_chitiet (truKH)'!L639</f>
        <v>4287.2817096720692</v>
      </c>
      <c r="Q639" s="306">
        <f>'DGSP_chitiet (truKH)'!M639</f>
        <v>32869.159774152533</v>
      </c>
      <c r="R639" s="271">
        <f>'DGSP_chitiet (truKH)'!N639</f>
        <v>32869.159774152533</v>
      </c>
      <c r="S639" s="271">
        <f>S$667/100+(S$669+S$670)/$C599</f>
        <v>318.61318681318681</v>
      </c>
    </row>
    <row r="640" spans="1:19" s="240" customFormat="1">
      <c r="A640" s="242">
        <v>1</v>
      </c>
      <c r="B640" s="276" t="s">
        <v>190</v>
      </c>
      <c r="C640" s="275"/>
      <c r="D640" s="275"/>
      <c r="E640" s="271"/>
      <c r="F640" s="271"/>
      <c r="G640" s="271"/>
      <c r="H640" s="271"/>
      <c r="I640" s="271"/>
      <c r="J640" s="271"/>
      <c r="K640" s="271"/>
      <c r="L640" s="271"/>
      <c r="M640" s="971"/>
      <c r="N640" s="271"/>
      <c r="O640" s="271">
        <f>'DGSP_chitiet (truKH)'!K640</f>
        <v>0</v>
      </c>
      <c r="P640" s="271">
        <f>'DGSP_chitiet (truKH)'!L640</f>
        <v>0</v>
      </c>
      <c r="Q640" s="306">
        <f>'DGSP_chitiet (truKH)'!M640</f>
        <v>0</v>
      </c>
      <c r="R640" s="271">
        <f>'DGSP_chitiet (truKH)'!N640</f>
        <v>0</v>
      </c>
      <c r="S640" s="271"/>
    </row>
    <row r="641" spans="1:19" s="240" customFormat="1">
      <c r="A641" s="1010">
        <v>1.1000000000000001</v>
      </c>
      <c r="B641" s="1011" t="str">
        <f>NhanCong!B$150</f>
        <v>Đối soát thực địa (công nhóm/mảnh)</v>
      </c>
      <c r="C641" s="1013" t="s">
        <v>317</v>
      </c>
      <c r="D641" s="274" t="s">
        <v>18</v>
      </c>
      <c r="E641" s="271">
        <f>NhanCong!M$150</f>
        <v>565168.60400000005</v>
      </c>
      <c r="F641" s="271"/>
      <c r="G641" s="905">
        <f>Dcu!N$200</f>
        <v>4768.5538461538463</v>
      </c>
      <c r="H641" s="905">
        <f>VLieu!F$133/6.25</f>
        <v>647520</v>
      </c>
      <c r="I641" s="905"/>
      <c r="J641" s="905"/>
      <c r="K641" s="905">
        <f t="shared" ref="K641:K655" si="209">SUM(E641:J641)</f>
        <v>1217457.1578461539</v>
      </c>
      <c r="L641" s="905">
        <f>K641*0.25</f>
        <v>304364.28946153849</v>
      </c>
      <c r="M641" s="906">
        <f t="shared" ref="M641:M655" si="210">K641+L641</f>
        <v>1521821.4473076924</v>
      </c>
      <c r="N641" s="905"/>
      <c r="O641" s="271">
        <f>'DGSP_chitiet (truKH)'!K641</f>
        <v>1217457.1578461539</v>
      </c>
      <c r="P641" s="271">
        <f>'DGSP_chitiet (truKH)'!L641</f>
        <v>304364.28946153849</v>
      </c>
      <c r="Q641" s="306">
        <f>'DGSP_chitiet (truKH)'!M641</f>
        <v>1521821.4473076924</v>
      </c>
      <c r="R641" s="271">
        <f>'DGSP_chitiet (truKH)'!N641</f>
        <v>0</v>
      </c>
      <c r="S641" s="905">
        <f>NhanCong!N$150</f>
        <v>17204</v>
      </c>
    </row>
    <row r="642" spans="1:19" s="240" customFormat="1">
      <c r="A642" s="1010"/>
      <c r="B642" s="1011"/>
      <c r="C642" s="1013"/>
      <c r="D642" s="274" t="s">
        <v>20</v>
      </c>
      <c r="E642" s="271">
        <f>NhanCong!M$151</f>
        <v>733951.98800000013</v>
      </c>
      <c r="F642" s="271"/>
      <c r="G642" s="905">
        <f>Dcu!N$201</f>
        <v>5960.6923076923085</v>
      </c>
      <c r="H642" s="905">
        <f>VLieu!F$133/6.25</f>
        <v>647520</v>
      </c>
      <c r="I642" s="905"/>
      <c r="J642" s="905"/>
      <c r="K642" s="905">
        <f t="shared" si="209"/>
        <v>1387432.6803076924</v>
      </c>
      <c r="L642" s="905">
        <f t="shared" ref="L642:L655" si="211">K642*0.25</f>
        <v>346858.1700769231</v>
      </c>
      <c r="M642" s="906">
        <f t="shared" si="210"/>
        <v>1734290.8503846154</v>
      </c>
      <c r="N642" s="905"/>
      <c r="O642" s="271">
        <f>'DGSP_chitiet (truKH)'!K642</f>
        <v>1387432.6803076924</v>
      </c>
      <c r="P642" s="271">
        <f>'DGSP_chitiet (truKH)'!L642</f>
        <v>346858.1700769231</v>
      </c>
      <c r="Q642" s="306">
        <f>'DGSP_chitiet (truKH)'!M642</f>
        <v>1734290.8503846154</v>
      </c>
      <c r="R642" s="271">
        <f>'DGSP_chitiet (truKH)'!N642</f>
        <v>0</v>
      </c>
      <c r="S642" s="905">
        <f>NhanCong!N$151</f>
        <v>22341.846153846156</v>
      </c>
    </row>
    <row r="643" spans="1:19" s="240" customFormat="1">
      <c r="A643" s="1010"/>
      <c r="B643" s="1011"/>
      <c r="C643" s="1013"/>
      <c r="D643" s="274" t="s">
        <v>35</v>
      </c>
      <c r="E643" s="271">
        <f>NhanCong!M$152</f>
        <v>955160.51400000008</v>
      </c>
      <c r="F643" s="271"/>
      <c r="G643" s="905">
        <f>Dcu!N$202</f>
        <v>7947.5897435897441</v>
      </c>
      <c r="H643" s="905">
        <f>VLieu!F$133/6.25</f>
        <v>647520</v>
      </c>
      <c r="I643" s="905"/>
      <c r="J643" s="905"/>
      <c r="K643" s="905">
        <f t="shared" si="209"/>
        <v>1610628.1037435899</v>
      </c>
      <c r="L643" s="905">
        <f t="shared" si="211"/>
        <v>402657.02593589749</v>
      </c>
      <c r="M643" s="906">
        <f t="shared" si="210"/>
        <v>2013285.1296794876</v>
      </c>
      <c r="N643" s="905"/>
      <c r="O643" s="271">
        <f>'DGSP_chitiet (truKH)'!K643</f>
        <v>1610628.1037435899</v>
      </c>
      <c r="P643" s="271">
        <f>'DGSP_chitiet (truKH)'!L643</f>
        <v>402657.02593589749</v>
      </c>
      <c r="Q643" s="306">
        <f>'DGSP_chitiet (truKH)'!M643</f>
        <v>2013285.1296794876</v>
      </c>
      <c r="R643" s="271">
        <f>'DGSP_chitiet (truKH)'!N643</f>
        <v>0</v>
      </c>
      <c r="S643" s="905">
        <f>NhanCong!N$152</f>
        <v>29075.538461538461</v>
      </c>
    </row>
    <row r="644" spans="1:19" s="240" customFormat="1">
      <c r="A644" s="1010"/>
      <c r="B644" s="1011"/>
      <c r="C644" s="1013"/>
      <c r="D644" s="274" t="s">
        <v>33</v>
      </c>
      <c r="E644" s="271">
        <f>NhanCong!M$153</f>
        <v>1241580.8020000004</v>
      </c>
      <c r="F644" s="271"/>
      <c r="G644" s="905">
        <f>Dcu!N$203</f>
        <v>10729.246153846156</v>
      </c>
      <c r="H644" s="905">
        <f>VLieu!F$133/6.25</f>
        <v>647520</v>
      </c>
      <c r="I644" s="905"/>
      <c r="J644" s="905"/>
      <c r="K644" s="905">
        <f t="shared" si="209"/>
        <v>1899830.0481538465</v>
      </c>
      <c r="L644" s="905">
        <f t="shared" si="211"/>
        <v>474957.51203846163</v>
      </c>
      <c r="M644" s="906">
        <f t="shared" si="210"/>
        <v>2374787.5601923084</v>
      </c>
      <c r="N644" s="905"/>
      <c r="O644" s="271">
        <f>'DGSP_chitiet (truKH)'!K644</f>
        <v>1899830.0481538465</v>
      </c>
      <c r="P644" s="271">
        <f>'DGSP_chitiet (truKH)'!L644</f>
        <v>474957.51203846163</v>
      </c>
      <c r="Q644" s="306">
        <f>'DGSP_chitiet (truKH)'!M644</f>
        <v>2374787.5601923084</v>
      </c>
      <c r="R644" s="271">
        <f>'DGSP_chitiet (truKH)'!N644</f>
        <v>0</v>
      </c>
      <c r="S644" s="905">
        <f>NhanCong!N$153</f>
        <v>37794.307692307695</v>
      </c>
    </row>
    <row r="645" spans="1:19" s="240" customFormat="1">
      <c r="A645" s="1010"/>
      <c r="B645" s="1011"/>
      <c r="C645" s="1013"/>
      <c r="D645" s="274" t="s">
        <v>13</v>
      </c>
      <c r="E645" s="271">
        <f>NhanCong!M$154</f>
        <v>1613671.4440000001</v>
      </c>
      <c r="F645" s="271"/>
      <c r="G645" s="905">
        <f>Dcu!N$204</f>
        <v>13908.282051282053</v>
      </c>
      <c r="H645" s="905">
        <f>VLieu!F$133/6.25</f>
        <v>647520</v>
      </c>
      <c r="I645" s="905"/>
      <c r="J645" s="905"/>
      <c r="K645" s="905">
        <f t="shared" si="209"/>
        <v>2275099.7260512821</v>
      </c>
      <c r="L645" s="905">
        <f t="shared" si="211"/>
        <v>568774.93151282053</v>
      </c>
      <c r="M645" s="906">
        <f t="shared" si="210"/>
        <v>2843874.6575641027</v>
      </c>
      <c r="N645" s="905"/>
      <c r="O645" s="271">
        <f>'DGSP_chitiet (truKH)'!K645</f>
        <v>2275099.7260512821</v>
      </c>
      <c r="P645" s="271">
        <f>'DGSP_chitiet (truKH)'!L645</f>
        <v>568774.93151282053</v>
      </c>
      <c r="Q645" s="306">
        <f>'DGSP_chitiet (truKH)'!M645</f>
        <v>2843874.6575641027</v>
      </c>
      <c r="R645" s="271">
        <f>'DGSP_chitiet (truKH)'!N645</f>
        <v>0</v>
      </c>
      <c r="S645" s="905">
        <f>NhanCong!N$154</f>
        <v>49120.923076923078</v>
      </c>
    </row>
    <row r="646" spans="1:19" s="240" customFormat="1" ht="12.75" customHeight="1">
      <c r="A646" s="1010">
        <v>1.2</v>
      </c>
      <c r="B646" s="1011" t="str">
        <f>NhanCong!B$156</f>
        <v>Lưới đo vẽ (công nhóm/100 thửa có biến động cần chỉnh lý)</v>
      </c>
      <c r="C646" s="1015" t="s">
        <v>329</v>
      </c>
      <c r="D646" s="274" t="s">
        <v>18</v>
      </c>
      <c r="E646" s="271">
        <f>NhanCong!M$156</f>
        <v>2835529.1250000009</v>
      </c>
      <c r="F646" s="271"/>
      <c r="G646" s="905">
        <f>Dcu!N$222</f>
        <v>42758.455128205125</v>
      </c>
      <c r="H646" s="905">
        <f>VLieu!L$135</f>
        <v>9109</v>
      </c>
      <c r="I646" s="905">
        <f>TBi!N$312</f>
        <v>44792.5</v>
      </c>
      <c r="J646" s="905">
        <f>TBi!N$316</f>
        <v>445.20000000000005</v>
      </c>
      <c r="K646" s="905">
        <f t="shared" si="209"/>
        <v>2932634.2801282061</v>
      </c>
      <c r="L646" s="905">
        <f t="shared" si="211"/>
        <v>733158.57003205153</v>
      </c>
      <c r="M646" s="906">
        <f t="shared" si="210"/>
        <v>3665792.8501602579</v>
      </c>
      <c r="N646" s="905"/>
      <c r="O646" s="271">
        <f>'DGSP_chitiet (truKH)'!K646</f>
        <v>2887841.7801282061</v>
      </c>
      <c r="P646" s="271">
        <f>'DGSP_chitiet (truKH)'!L646</f>
        <v>721960.44503205153</v>
      </c>
      <c r="Q646" s="306">
        <f>'DGSP_chitiet (truKH)'!M646</f>
        <v>3609802.2251602579</v>
      </c>
      <c r="R646" s="271">
        <f>'DGSP_chitiet (truKH)'!N646</f>
        <v>0</v>
      </c>
      <c r="S646" s="905">
        <f>NhanCong!N$156</f>
        <v>80278.846153846156</v>
      </c>
    </row>
    <row r="647" spans="1:19" s="240" customFormat="1">
      <c r="A647" s="1010"/>
      <c r="B647" s="1011"/>
      <c r="C647" s="1013" t="s">
        <v>49</v>
      </c>
      <c r="D647" s="274" t="s">
        <v>20</v>
      </c>
      <c r="E647" s="271">
        <f>NhanCong!M$157</f>
        <v>3544411.4062500005</v>
      </c>
      <c r="F647" s="271"/>
      <c r="G647" s="905">
        <f>Dcu!N$223</f>
        <v>53448.068910256407</v>
      </c>
      <c r="H647" s="905">
        <f>VLieu!L$135</f>
        <v>9109</v>
      </c>
      <c r="I647" s="905">
        <f>TBi!O$312</f>
        <v>56101.928571428572</v>
      </c>
      <c r="J647" s="905">
        <f>TBi!O$316</f>
        <v>534.24</v>
      </c>
      <c r="K647" s="905">
        <f t="shared" si="209"/>
        <v>3663604.6437316858</v>
      </c>
      <c r="L647" s="905">
        <f t="shared" si="211"/>
        <v>915901.16093292146</v>
      </c>
      <c r="M647" s="906">
        <f t="shared" si="210"/>
        <v>4579505.8046646072</v>
      </c>
      <c r="N647" s="905"/>
      <c r="O647" s="271">
        <f>'DGSP_chitiet (truKH)'!K647</f>
        <v>3607502.7151602572</v>
      </c>
      <c r="P647" s="271">
        <f>'DGSP_chitiet (truKH)'!L647</f>
        <v>901875.6787900643</v>
      </c>
      <c r="Q647" s="306">
        <f>'DGSP_chitiet (truKH)'!M647</f>
        <v>4509378.3939503217</v>
      </c>
      <c r="R647" s="271">
        <f>'DGSP_chitiet (truKH)'!N647</f>
        <v>0</v>
      </c>
      <c r="S647" s="905">
        <f>NhanCong!N$157</f>
        <v>100348.55769230769</v>
      </c>
    </row>
    <row r="648" spans="1:19" s="240" customFormat="1">
      <c r="A648" s="1010"/>
      <c r="B648" s="1011"/>
      <c r="C648" s="1013"/>
      <c r="D648" s="274" t="s">
        <v>35</v>
      </c>
      <c r="E648" s="271">
        <f>NhanCong!M$158</f>
        <v>4725881.8750000019</v>
      </c>
      <c r="F648" s="271"/>
      <c r="G648" s="905">
        <f>Dcu!N$224</f>
        <v>71264.091880341875</v>
      </c>
      <c r="H648" s="905">
        <f>VLieu!L$135</f>
        <v>9109</v>
      </c>
      <c r="I648" s="905">
        <f>TBi!P$312</f>
        <v>74815.71428571429</v>
      </c>
      <c r="J648" s="905">
        <f>TBi!P$316</f>
        <v>712.32</v>
      </c>
      <c r="K648" s="905">
        <f t="shared" si="209"/>
        <v>4881783.0011660587</v>
      </c>
      <c r="L648" s="905">
        <f t="shared" si="211"/>
        <v>1220445.7502915147</v>
      </c>
      <c r="M648" s="906">
        <f t="shared" si="210"/>
        <v>6102228.7514575738</v>
      </c>
      <c r="N648" s="905"/>
      <c r="O648" s="271">
        <f>'DGSP_chitiet (truKH)'!K648</f>
        <v>4806967.2868803442</v>
      </c>
      <c r="P648" s="271">
        <f>'DGSP_chitiet (truKH)'!L648</f>
        <v>1201741.821720086</v>
      </c>
      <c r="Q648" s="306">
        <f>'DGSP_chitiet (truKH)'!M648</f>
        <v>6008709.1086004302</v>
      </c>
      <c r="R648" s="271">
        <f>'DGSP_chitiet (truKH)'!N648</f>
        <v>0</v>
      </c>
      <c r="S648" s="905">
        <f>NhanCong!N$158</f>
        <v>133798.07692307691</v>
      </c>
    </row>
    <row r="649" spans="1:19" s="240" customFormat="1">
      <c r="A649" s="1010"/>
      <c r="B649" s="1011"/>
      <c r="C649" s="1013"/>
      <c r="D649" s="274" t="s">
        <v>33</v>
      </c>
      <c r="E649" s="271">
        <f>NhanCong!M$159</f>
        <v>6379940.5312500019</v>
      </c>
      <c r="F649" s="271"/>
      <c r="G649" s="905">
        <f>Dcu!N$225</f>
        <v>96206.524038461532</v>
      </c>
      <c r="H649" s="905">
        <f>VLieu!L$135</f>
        <v>9109</v>
      </c>
      <c r="I649" s="905">
        <f>TBi!Q$312</f>
        <v>100894.42857142857</v>
      </c>
      <c r="J649" s="905">
        <f>TBi!Q$316</f>
        <v>979.44</v>
      </c>
      <c r="K649" s="905">
        <f t="shared" si="209"/>
        <v>6587129.9238598924</v>
      </c>
      <c r="L649" s="905">
        <f t="shared" si="211"/>
        <v>1646782.4809649731</v>
      </c>
      <c r="M649" s="906">
        <f t="shared" si="210"/>
        <v>8233912.404824866</v>
      </c>
      <c r="N649" s="905"/>
      <c r="O649" s="271">
        <f>'DGSP_chitiet (truKH)'!K649</f>
        <v>6486235.4952884642</v>
      </c>
      <c r="P649" s="271">
        <f>'DGSP_chitiet (truKH)'!L649</f>
        <v>1621558.8738221161</v>
      </c>
      <c r="Q649" s="306">
        <f>'DGSP_chitiet (truKH)'!M649</f>
        <v>8107794.3691105805</v>
      </c>
      <c r="R649" s="271">
        <f>'DGSP_chitiet (truKH)'!N649</f>
        <v>0</v>
      </c>
      <c r="S649" s="905">
        <f>NhanCong!N$159</f>
        <v>180627.40384615387</v>
      </c>
    </row>
    <row r="650" spans="1:19" s="240" customFormat="1">
      <c r="A650" s="1010"/>
      <c r="B650" s="1011"/>
      <c r="C650" s="1013"/>
      <c r="D650" s="274" t="s">
        <v>13</v>
      </c>
      <c r="E650" s="271">
        <f>NhanCong!M$160</f>
        <v>8033999.1875000028</v>
      </c>
      <c r="F650" s="271"/>
      <c r="G650" s="905">
        <f>Dcu!N$226</f>
        <v>124712.16079059828</v>
      </c>
      <c r="H650" s="905">
        <f>VLieu!L$135</f>
        <v>9109</v>
      </c>
      <c r="I650" s="905">
        <f>TBi!R$312</f>
        <v>126973.14285714287</v>
      </c>
      <c r="J650" s="905">
        <f>TBi!R$316</f>
        <v>1246.5600000000002</v>
      </c>
      <c r="K650" s="905">
        <f t="shared" si="209"/>
        <v>8296040.0511477431</v>
      </c>
      <c r="L650" s="905">
        <f t="shared" si="211"/>
        <v>2074010.0127869358</v>
      </c>
      <c r="M650" s="906">
        <f t="shared" si="210"/>
        <v>10370050.063934678</v>
      </c>
      <c r="N650" s="905"/>
      <c r="O650" s="271">
        <f>'DGSP_chitiet (truKH)'!K650</f>
        <v>8169066.9082906004</v>
      </c>
      <c r="P650" s="271">
        <f>'DGSP_chitiet (truKH)'!L650</f>
        <v>2042266.7270726501</v>
      </c>
      <c r="Q650" s="306">
        <f>'DGSP_chitiet (truKH)'!M650</f>
        <v>10211333.635363251</v>
      </c>
      <c r="R650" s="271">
        <f>'DGSP_chitiet (truKH)'!N650</f>
        <v>0</v>
      </c>
      <c r="S650" s="905">
        <f>NhanCong!N$160</f>
        <v>227456.73076923078</v>
      </c>
    </row>
    <row r="651" spans="1:19" s="240" customFormat="1" ht="12.75" customHeight="1">
      <c r="A651" s="1010">
        <v>1.3</v>
      </c>
      <c r="B651" s="1011" t="str">
        <f>NhanCong!B$162</f>
        <v>Đo đạc ranh giới thửa đất và các đối tượng địa lý có liên quan (công nhóm/100 thửa có biến động cần chỉnh lý)</v>
      </c>
      <c r="C651" s="1015" t="s">
        <v>329</v>
      </c>
      <c r="D651" s="274" t="s">
        <v>18</v>
      </c>
      <c r="E651" s="271">
        <f>NhanCong!M$162</f>
        <v>35830777.125000007</v>
      </c>
      <c r="F651" s="271">
        <f>NhanCong!M$163</f>
        <v>2121223.076923077</v>
      </c>
      <c r="G651" s="905">
        <f>Dcu!N$246</f>
        <v>198942.85897435897</v>
      </c>
      <c r="H651" s="905">
        <f>VLieu!L$145</f>
        <v>182180</v>
      </c>
      <c r="I651" s="905">
        <f>TBi!N$347</f>
        <v>567336.07142857148</v>
      </c>
      <c r="J651" s="905">
        <f>TBi!N$351</f>
        <v>5565</v>
      </c>
      <c r="K651" s="905">
        <f t="shared" si="209"/>
        <v>38906024.132326022</v>
      </c>
      <c r="L651" s="905">
        <f t="shared" si="211"/>
        <v>9726506.0330815054</v>
      </c>
      <c r="M651" s="906">
        <f t="shared" si="210"/>
        <v>48632530.165407524</v>
      </c>
      <c r="N651" s="905"/>
      <c r="O651" s="271">
        <f>'DGSP_chitiet (truKH)'!K651</f>
        <v>38338688.060897447</v>
      </c>
      <c r="P651" s="271">
        <f>'DGSP_chitiet (truKH)'!L651</f>
        <v>9584672.0152243618</v>
      </c>
      <c r="Q651" s="306">
        <f>'DGSP_chitiet (truKH)'!M651</f>
        <v>47923360.076121807</v>
      </c>
      <c r="R651" s="271">
        <f>'DGSP_chitiet (truKH)'!N651</f>
        <v>0</v>
      </c>
      <c r="S651" s="905">
        <f>NhanCong!N$162</f>
        <v>1014432.6923076924</v>
      </c>
    </row>
    <row r="652" spans="1:19" s="240" customFormat="1">
      <c r="A652" s="1010"/>
      <c r="B652" s="1011"/>
      <c r="C652" s="1013" t="s">
        <v>49</v>
      </c>
      <c r="D652" s="274" t="s">
        <v>20</v>
      </c>
      <c r="E652" s="271">
        <f>NhanCong!M$164</f>
        <v>43005525.062500015</v>
      </c>
      <c r="F652" s="271">
        <f>NhanCong!M$165</f>
        <v>2546923.076923077</v>
      </c>
      <c r="G652" s="905">
        <f>Dcu!N$247</f>
        <v>248678.57371794872</v>
      </c>
      <c r="H652" s="905">
        <f>VLieu!L$145</f>
        <v>182180</v>
      </c>
      <c r="I652" s="905">
        <f>TBi!O$347</f>
        <v>709039.07142857148</v>
      </c>
      <c r="J652" s="905">
        <f>TBi!O$351</f>
        <v>6900.6</v>
      </c>
      <c r="K652" s="905">
        <f t="shared" si="209"/>
        <v>46699246.384569623</v>
      </c>
      <c r="L652" s="905">
        <f t="shared" si="211"/>
        <v>11674811.596142406</v>
      </c>
      <c r="M652" s="906">
        <f t="shared" si="210"/>
        <v>58374057.980712026</v>
      </c>
      <c r="N652" s="905"/>
      <c r="O652" s="271">
        <f>'DGSP_chitiet (truKH)'!K652</f>
        <v>45990207.313141048</v>
      </c>
      <c r="P652" s="271">
        <f>'DGSP_chitiet (truKH)'!L652</f>
        <v>11497551.828285262</v>
      </c>
      <c r="Q652" s="306">
        <f>'DGSP_chitiet (truKH)'!M652</f>
        <v>57487759.14142631</v>
      </c>
      <c r="R652" s="271">
        <f>'DGSP_chitiet (truKH)'!N652</f>
        <v>0</v>
      </c>
      <c r="S652" s="905">
        <f>NhanCong!N$164</f>
        <v>1217562.4999999998</v>
      </c>
    </row>
    <row r="653" spans="1:19" s="240" customFormat="1">
      <c r="A653" s="1010"/>
      <c r="B653" s="1011"/>
      <c r="C653" s="1013"/>
      <c r="D653" s="274" t="s">
        <v>35</v>
      </c>
      <c r="E653" s="271">
        <f>NhanCong!M$166</f>
        <v>51598037.562500015</v>
      </c>
      <c r="F653" s="271">
        <f>NhanCong!M$167</f>
        <v>3056307.6923076925</v>
      </c>
      <c r="G653" s="905">
        <f>Dcu!N$248</f>
        <v>331571.43162393162</v>
      </c>
      <c r="H653" s="905">
        <f>VLieu!L$145</f>
        <v>182180</v>
      </c>
      <c r="I653" s="905">
        <f>TBi!P$347</f>
        <v>945398.57142857148</v>
      </c>
      <c r="J653" s="905">
        <f>TBi!P$351</f>
        <v>9126.5999999999985</v>
      </c>
      <c r="K653" s="905">
        <f t="shared" si="209"/>
        <v>56122621.857860215</v>
      </c>
      <c r="L653" s="905">
        <f t="shared" si="211"/>
        <v>14030655.464465054</v>
      </c>
      <c r="M653" s="906">
        <f t="shared" si="210"/>
        <v>70153277.322325274</v>
      </c>
      <c r="N653" s="905"/>
      <c r="O653" s="271">
        <f>'DGSP_chitiet (truKH)'!K653</f>
        <v>55177223.28643164</v>
      </c>
      <c r="P653" s="271">
        <f>'DGSP_chitiet (truKH)'!L653</f>
        <v>13794305.82160791</v>
      </c>
      <c r="Q653" s="306">
        <f>'DGSP_chitiet (truKH)'!M653</f>
        <v>68971529.108039558</v>
      </c>
      <c r="R653" s="271">
        <f>'DGSP_chitiet (truKH)'!N653</f>
        <v>0</v>
      </c>
      <c r="S653" s="905">
        <f>NhanCong!N$166</f>
        <v>1460831.7307692305</v>
      </c>
    </row>
    <row r="654" spans="1:19" s="240" customFormat="1">
      <c r="A654" s="1010"/>
      <c r="B654" s="1011"/>
      <c r="C654" s="1013"/>
      <c r="D654" s="274" t="s">
        <v>33</v>
      </c>
      <c r="E654" s="271">
        <f>NhanCong!M$168</f>
        <v>61909052.562500015</v>
      </c>
      <c r="F654" s="271">
        <f>NhanCong!M$169</f>
        <v>3665750</v>
      </c>
      <c r="G654" s="905">
        <f>Dcu!N$249</f>
        <v>447621.43269230775</v>
      </c>
      <c r="H654" s="905">
        <f>VLieu!L$145</f>
        <v>182180</v>
      </c>
      <c r="I654" s="905">
        <f>TBi!Q$347</f>
        <v>1276414.5714285714</v>
      </c>
      <c r="J654" s="905">
        <f>TBi!Q$351</f>
        <v>12243</v>
      </c>
      <c r="K654" s="905">
        <f t="shared" si="209"/>
        <v>67493261.566620886</v>
      </c>
      <c r="L654" s="905">
        <f t="shared" si="211"/>
        <v>16873315.391655222</v>
      </c>
      <c r="M654" s="906">
        <f t="shared" si="210"/>
        <v>84366576.958276108</v>
      </c>
      <c r="N654" s="905"/>
      <c r="O654" s="271">
        <f>'DGSP_chitiet (truKH)'!K654</f>
        <v>66216846.995192319</v>
      </c>
      <c r="P654" s="271">
        <f>'DGSP_chitiet (truKH)'!L654</f>
        <v>16554211.74879808</v>
      </c>
      <c r="Q654" s="306">
        <f>'DGSP_chitiet (truKH)'!M654</f>
        <v>82771058.743990391</v>
      </c>
      <c r="R654" s="271">
        <f>'DGSP_chitiet (truKH)'!N654</f>
        <v>0</v>
      </c>
      <c r="S654" s="905">
        <f>NhanCong!N$168</f>
        <v>1752754.8076923075</v>
      </c>
    </row>
    <row r="655" spans="1:19" s="240" customFormat="1">
      <c r="A655" s="1010"/>
      <c r="B655" s="1011"/>
      <c r="C655" s="1013"/>
      <c r="D655" s="274" t="s">
        <v>13</v>
      </c>
      <c r="E655" s="271">
        <f>NhanCong!M$170</f>
        <v>74303751.84375003</v>
      </c>
      <c r="F655" s="271">
        <f>NhanCong!M$171</f>
        <v>4400719.230769231</v>
      </c>
      <c r="G655" s="905">
        <f>Dcu!N$250</f>
        <v>580250.00534188037</v>
      </c>
      <c r="H655" s="905">
        <f>VLieu!L$145</f>
        <v>182180</v>
      </c>
      <c r="I655" s="905">
        <f>TBi!R$347</f>
        <v>1607391.142857143</v>
      </c>
      <c r="J655" s="905">
        <f>TBi!R$351</f>
        <v>15359.400000000001</v>
      </c>
      <c r="K655" s="905">
        <f t="shared" si="209"/>
        <v>81089651.622718304</v>
      </c>
      <c r="L655" s="905">
        <f t="shared" si="211"/>
        <v>20272412.905679576</v>
      </c>
      <c r="M655" s="906">
        <f t="shared" si="210"/>
        <v>101362064.52839789</v>
      </c>
      <c r="N655" s="905"/>
      <c r="O655" s="271">
        <f>'DGSP_chitiet (truKH)'!K655</f>
        <v>79482260.479861155</v>
      </c>
      <c r="P655" s="271">
        <f>'DGSP_chitiet (truKH)'!L655</f>
        <v>19870565.119965289</v>
      </c>
      <c r="Q655" s="306">
        <f>'DGSP_chitiet (truKH)'!M655</f>
        <v>99352825.59982644</v>
      </c>
      <c r="R655" s="271">
        <f>'DGSP_chitiet (truKH)'!N655</f>
        <v>0</v>
      </c>
      <c r="S655" s="905">
        <f>NhanCong!N$170</f>
        <v>2103670.673076923</v>
      </c>
    </row>
    <row r="656" spans="1:19" s="240" customFormat="1">
      <c r="A656" s="242">
        <v>2</v>
      </c>
      <c r="B656" s="276" t="s">
        <v>192</v>
      </c>
      <c r="C656" s="274"/>
      <c r="D656" s="274"/>
      <c r="E656" s="271"/>
      <c r="F656" s="271"/>
      <c r="G656" s="905"/>
      <c r="H656" s="905"/>
      <c r="I656" s="905"/>
      <c r="J656" s="905"/>
      <c r="K656" s="905"/>
      <c r="L656" s="905"/>
      <c r="M656" s="906"/>
      <c r="N656" s="905"/>
      <c r="O656" s="271">
        <f>'DGSP_chitiet (truKH)'!K656</f>
        <v>0</v>
      </c>
      <c r="P656" s="271">
        <f>'DGSP_chitiet (truKH)'!L656</f>
        <v>0</v>
      </c>
      <c r="Q656" s="306">
        <f>'DGSP_chitiet (truKH)'!M656</f>
        <v>0</v>
      </c>
      <c r="R656" s="271">
        <f>'DGSP_chitiet (truKH)'!N656</f>
        <v>0</v>
      </c>
      <c r="S656" s="905"/>
    </row>
    <row r="657" spans="1:19" s="240" customFormat="1">
      <c r="A657" s="1010" t="s">
        <v>268</v>
      </c>
      <c r="B657" s="1011" t="str">
        <f>NhanCong!B$173</f>
        <v>Số hóa BĐĐC: Áp dụng theo mức quy định tại Điều 8, Chương I</v>
      </c>
      <c r="C657" s="1013" t="s">
        <v>317</v>
      </c>
      <c r="D657" s="274" t="s">
        <v>18</v>
      </c>
      <c r="E657" s="271">
        <f t="shared" ref="E657:J661" si="212">E472</f>
        <v>277710.00400000002</v>
      </c>
      <c r="F657" s="271">
        <f t="shared" si="212"/>
        <v>0</v>
      </c>
      <c r="G657" s="271">
        <f t="shared" si="212"/>
        <v>4048.1521859829049</v>
      </c>
      <c r="H657" s="271">
        <f t="shared" si="212"/>
        <v>16368</v>
      </c>
      <c r="I657" s="271">
        <f t="shared" si="212"/>
        <v>24369.507314285715</v>
      </c>
      <c r="J657" s="271">
        <f t="shared" si="212"/>
        <v>7942.3680000000004</v>
      </c>
      <c r="K657" s="905">
        <f>SUM(E657:J657)</f>
        <v>330438.03150026867</v>
      </c>
      <c r="L657" s="905">
        <f>K657*0.15</f>
        <v>49565.704725040297</v>
      </c>
      <c r="M657" s="906">
        <f>K657+L657</f>
        <v>380003.73622530897</v>
      </c>
      <c r="N657" s="271">
        <f>N472</f>
        <v>0</v>
      </c>
      <c r="O657" s="271">
        <f>'DGSP_chitiet (truKH)'!K657</f>
        <v>306068.52418598294</v>
      </c>
      <c r="P657" s="271">
        <f>'DGSP_chitiet (truKH)'!L657</f>
        <v>45910.278627897438</v>
      </c>
      <c r="Q657" s="306">
        <f>'DGSP_chitiet (truKH)'!M657</f>
        <v>351978.80281388038</v>
      </c>
      <c r="R657" s="271">
        <f>'DGSP_chitiet (truKH)'!N657</f>
        <v>0</v>
      </c>
      <c r="S657" s="271">
        <f>S472</f>
        <v>7862.461538461539</v>
      </c>
    </row>
    <row r="658" spans="1:19" s="240" customFormat="1">
      <c r="A658" s="1010"/>
      <c r="B658" s="1011"/>
      <c r="C658" s="1013"/>
      <c r="D658" s="274" t="s">
        <v>20</v>
      </c>
      <c r="E658" s="271">
        <f t="shared" si="212"/>
        <v>306305.8856000001</v>
      </c>
      <c r="F658" s="271">
        <f t="shared" si="212"/>
        <v>0</v>
      </c>
      <c r="G658" s="271">
        <f t="shared" si="212"/>
        <v>4634.0689497435887</v>
      </c>
      <c r="H658" s="271">
        <f t="shared" si="212"/>
        <v>16368</v>
      </c>
      <c r="I658" s="271">
        <f t="shared" si="212"/>
        <v>28786.519657142861</v>
      </c>
      <c r="J658" s="271">
        <f t="shared" si="212"/>
        <v>9010.848</v>
      </c>
      <c r="K658" s="905">
        <f>SUM(E658:J658)</f>
        <v>365105.32220688654</v>
      </c>
      <c r="L658" s="905">
        <f>K658*0.15</f>
        <v>54765.79833103298</v>
      </c>
      <c r="M658" s="906">
        <f>K658+L658</f>
        <v>419871.12053791952</v>
      </c>
      <c r="N658" s="271">
        <f>N473</f>
        <v>0</v>
      </c>
      <c r="O658" s="271">
        <f>'DGSP_chitiet (truKH)'!K658</f>
        <v>336318.80254974368</v>
      </c>
      <c r="P658" s="271">
        <f>'DGSP_chitiet (truKH)'!L658</f>
        <v>50447.820382461548</v>
      </c>
      <c r="Q658" s="306">
        <f>'DGSP_chitiet (truKH)'!M658</f>
        <v>386766.62293220521</v>
      </c>
      <c r="R658" s="271">
        <f>'DGSP_chitiet (truKH)'!N658</f>
        <v>0</v>
      </c>
      <c r="S658" s="271">
        <f>S473</f>
        <v>8672.0615384615376</v>
      </c>
    </row>
    <row r="659" spans="1:19" s="240" customFormat="1">
      <c r="A659" s="1010"/>
      <c r="B659" s="1011"/>
      <c r="C659" s="1013"/>
      <c r="D659" s="274" t="s">
        <v>35</v>
      </c>
      <c r="E659" s="271">
        <f t="shared" si="212"/>
        <v>339851.05440000002</v>
      </c>
      <c r="F659" s="271">
        <f t="shared" si="212"/>
        <v>0</v>
      </c>
      <c r="G659" s="271">
        <f t="shared" si="212"/>
        <v>5326.5160341880328</v>
      </c>
      <c r="H659" s="271">
        <f t="shared" si="212"/>
        <v>16368</v>
      </c>
      <c r="I659" s="271">
        <f t="shared" si="212"/>
        <v>34112.717828571433</v>
      </c>
      <c r="J659" s="271">
        <f t="shared" si="212"/>
        <v>10364.256000000001</v>
      </c>
      <c r="K659" s="905">
        <f>SUM(E659:J659)</f>
        <v>406022.5442627595</v>
      </c>
      <c r="L659" s="905">
        <f>K659*0.15</f>
        <v>60903.381639413921</v>
      </c>
      <c r="M659" s="906">
        <f>K659+L659</f>
        <v>466925.92590217345</v>
      </c>
      <c r="N659" s="271">
        <f>N474</f>
        <v>0</v>
      </c>
      <c r="O659" s="271">
        <f>'DGSP_chitiet (truKH)'!K659</f>
        <v>371909.82643418806</v>
      </c>
      <c r="P659" s="271">
        <f>'DGSP_chitiet (truKH)'!L659</f>
        <v>55786.473965128207</v>
      </c>
      <c r="Q659" s="306">
        <f>'DGSP_chitiet (truKH)'!M659</f>
        <v>427696.30039931624</v>
      </c>
      <c r="R659" s="271">
        <f>'DGSP_chitiet (truKH)'!N659</f>
        <v>0</v>
      </c>
      <c r="S659" s="271">
        <f>S474</f>
        <v>9621.7846153846149</v>
      </c>
    </row>
    <row r="660" spans="1:19" s="240" customFormat="1">
      <c r="A660" s="1010"/>
      <c r="B660" s="1011"/>
      <c r="C660" s="1013"/>
      <c r="D660" s="274" t="s">
        <v>33</v>
      </c>
      <c r="E660" s="271">
        <f t="shared" si="212"/>
        <v>378345.51040000003</v>
      </c>
      <c r="F660" s="271">
        <f t="shared" si="212"/>
        <v>0</v>
      </c>
      <c r="G660" s="271">
        <f t="shared" si="212"/>
        <v>6125.4934393162375</v>
      </c>
      <c r="H660" s="271">
        <f t="shared" si="212"/>
        <v>16368</v>
      </c>
      <c r="I660" s="271">
        <f t="shared" si="212"/>
        <v>40348.101828571424</v>
      </c>
      <c r="J660" s="271">
        <f t="shared" si="212"/>
        <v>11966.976000000001</v>
      </c>
      <c r="K660" s="905">
        <f>SUM(E660:J660)</f>
        <v>453154.08166788769</v>
      </c>
      <c r="L660" s="905">
        <f>K660*0.15</f>
        <v>67973.112250183156</v>
      </c>
      <c r="M660" s="906">
        <f>K660+L660</f>
        <v>521127.19391807087</v>
      </c>
      <c r="N660" s="271">
        <f>N475</f>
        <v>0</v>
      </c>
      <c r="O660" s="271">
        <f>'DGSP_chitiet (truKH)'!K660</f>
        <v>412805.97983931628</v>
      </c>
      <c r="P660" s="271">
        <f>'DGSP_chitiet (truKH)'!L660</f>
        <v>61920.896975897442</v>
      </c>
      <c r="Q660" s="306">
        <f>'DGSP_chitiet (truKH)'!M660</f>
        <v>474726.87681521371</v>
      </c>
      <c r="R660" s="271">
        <f>'DGSP_chitiet (truKH)'!N660</f>
        <v>0</v>
      </c>
      <c r="S660" s="271">
        <f>S475</f>
        <v>10711.630769230767</v>
      </c>
    </row>
    <row r="661" spans="1:19" s="240" customFormat="1">
      <c r="A661" s="1010"/>
      <c r="B661" s="1011"/>
      <c r="C661" s="1013"/>
      <c r="D661" s="274" t="s">
        <v>13</v>
      </c>
      <c r="E661" s="271">
        <f t="shared" si="212"/>
        <v>422339.17440000008</v>
      </c>
      <c r="F661" s="271">
        <f t="shared" si="212"/>
        <v>0</v>
      </c>
      <c r="G661" s="271">
        <f t="shared" si="212"/>
        <v>7031.0011651282039</v>
      </c>
      <c r="H661" s="271">
        <f t="shared" si="212"/>
        <v>16368</v>
      </c>
      <c r="I661" s="271">
        <f t="shared" si="212"/>
        <v>47852.558971428574</v>
      </c>
      <c r="J661" s="271">
        <f t="shared" si="212"/>
        <v>13854.624</v>
      </c>
      <c r="K661" s="905">
        <f>SUM(E661:J661)</f>
        <v>507445.35853655689</v>
      </c>
      <c r="L661" s="905">
        <f>K661*0.15</f>
        <v>76116.803780483533</v>
      </c>
      <c r="M661" s="906">
        <f>K661+L661</f>
        <v>583562.16231704038</v>
      </c>
      <c r="N661" s="271">
        <f>N476</f>
        <v>0</v>
      </c>
      <c r="O661" s="271">
        <f>'DGSP_chitiet (truKH)'!K661</f>
        <v>459592.79956512828</v>
      </c>
      <c r="P661" s="271">
        <f>'DGSP_chitiet (truKH)'!L661</f>
        <v>68938.919934769234</v>
      </c>
      <c r="Q661" s="306">
        <f>'DGSP_chitiet (truKH)'!M661</f>
        <v>528531.71949989756</v>
      </c>
      <c r="R661" s="271">
        <f>'DGSP_chitiet (truKH)'!N661</f>
        <v>0</v>
      </c>
      <c r="S661" s="271">
        <f>S476</f>
        <v>11957.16923076923</v>
      </c>
    </row>
    <row r="662" spans="1:19" s="240" customFormat="1" ht="12.75" customHeight="1">
      <c r="A662" s="1010" t="s">
        <v>34</v>
      </c>
      <c r="B662" s="1011" t="str">
        <f>NhanCong!B$174</f>
        <v>Lập bản vẽ BĐĐC (Công nhóm/100 thửa chỉnh lý)</v>
      </c>
      <c r="C662" s="1015" t="s">
        <v>329</v>
      </c>
      <c r="D662" s="274" t="s">
        <v>18</v>
      </c>
      <c r="E662" s="271">
        <f>NhanCong!M$174</f>
        <v>1277171.8300000003</v>
      </c>
      <c r="F662" s="271"/>
      <c r="G662" s="905">
        <f>Dcu!N$271</f>
        <v>16242.609861538462</v>
      </c>
      <c r="H662" s="905">
        <f>VLieu!L$159</f>
        <v>626800</v>
      </c>
      <c r="I662" s="905">
        <f>TBi!N$384</f>
        <v>12263.928571428571</v>
      </c>
      <c r="J662" s="905">
        <f>TBi!N$388</f>
        <v>48793.920000000006</v>
      </c>
      <c r="K662" s="905">
        <f t="shared" ref="K662:K668" si="213">SUM(E662:J662)</f>
        <v>1981272.2884329674</v>
      </c>
      <c r="L662" s="905">
        <f t="shared" ref="L662:L670" si="214">K662*0.15</f>
        <v>297190.84326494508</v>
      </c>
      <c r="M662" s="906">
        <f t="shared" ref="M662:M668" si="215">K662+L662</f>
        <v>2278463.1316979127</v>
      </c>
      <c r="N662" s="905"/>
      <c r="O662" s="271">
        <f>'DGSP_chitiet (truKH)'!K662</f>
        <v>1969008.3598615387</v>
      </c>
      <c r="P662" s="271">
        <f>'DGSP_chitiet (truKH)'!L662</f>
        <v>295351.25397923082</v>
      </c>
      <c r="Q662" s="306">
        <f>'DGSP_chitiet (truKH)'!M662</f>
        <v>2264359.6138407695</v>
      </c>
      <c r="R662" s="271">
        <f>'DGSP_chitiet (truKH)'!N662</f>
        <v>0</v>
      </c>
      <c r="S662" s="905">
        <f>NhanCong!N$174</f>
        <v>31722.307692307688</v>
      </c>
    </row>
    <row r="663" spans="1:19" s="240" customFormat="1">
      <c r="A663" s="1010"/>
      <c r="B663" s="1011"/>
      <c r="C663" s="1013"/>
      <c r="D663" s="274" t="s">
        <v>20</v>
      </c>
      <c r="E663" s="271">
        <f>NhanCong!M$175</f>
        <v>1590588.2300000002</v>
      </c>
      <c r="F663" s="271"/>
      <c r="G663" s="905">
        <f>Dcu!N$272</f>
        <v>20303.262326923075</v>
      </c>
      <c r="H663" s="905">
        <f>VLieu!L$159</f>
        <v>626800</v>
      </c>
      <c r="I663" s="905">
        <f>TBi!O$384</f>
        <v>13313.713214285714</v>
      </c>
      <c r="J663" s="905">
        <f>TBi!O$388</f>
        <v>52800.719999999994</v>
      </c>
      <c r="K663" s="905">
        <f t="shared" si="213"/>
        <v>2303805.9255412091</v>
      </c>
      <c r="L663" s="905">
        <f t="shared" si="214"/>
        <v>345570.88883118134</v>
      </c>
      <c r="M663" s="906">
        <f t="shared" si="215"/>
        <v>2649376.8143723905</v>
      </c>
      <c r="N663" s="905"/>
      <c r="O663" s="271">
        <f>'DGSP_chitiet (truKH)'!K663</f>
        <v>2290492.2123269234</v>
      </c>
      <c r="P663" s="271">
        <f>'DGSP_chitiet (truKH)'!L663</f>
        <v>343573.83184903848</v>
      </c>
      <c r="Q663" s="306">
        <f>'DGSP_chitiet (truKH)'!M663</f>
        <v>2634066.044175962</v>
      </c>
      <c r="R663" s="271">
        <f>'DGSP_chitiet (truKH)'!N663</f>
        <v>0</v>
      </c>
      <c r="S663" s="905">
        <f>NhanCong!N$175</f>
        <v>39506.923076923071</v>
      </c>
    </row>
    <row r="664" spans="1:19" s="240" customFormat="1">
      <c r="A664" s="1010"/>
      <c r="B664" s="1011"/>
      <c r="C664" s="1013"/>
      <c r="D664" s="274" t="s">
        <v>35</v>
      </c>
      <c r="E664" s="271">
        <f>NhanCong!M$176</f>
        <v>1700283.9700000004</v>
      </c>
      <c r="F664" s="271"/>
      <c r="G664" s="905">
        <f>Dcu!N$273</f>
        <v>27071.016435897436</v>
      </c>
      <c r="H664" s="905">
        <f>VLieu!L$159</f>
        <v>626800</v>
      </c>
      <c r="I664" s="905">
        <f>TBi!P$384</f>
        <v>15124.970000000001</v>
      </c>
      <c r="J664" s="905">
        <f>TBi!P$388</f>
        <v>60146.52</v>
      </c>
      <c r="K664" s="905">
        <f t="shared" si="213"/>
        <v>2429426.4764358979</v>
      </c>
      <c r="L664" s="905">
        <f t="shared" si="214"/>
        <v>364413.97146538465</v>
      </c>
      <c r="M664" s="906">
        <f t="shared" si="215"/>
        <v>2793840.4479012825</v>
      </c>
      <c r="N664" s="905"/>
      <c r="O664" s="271">
        <f>'DGSP_chitiet (truKH)'!K664</f>
        <v>2414301.5064358977</v>
      </c>
      <c r="P664" s="271">
        <f>'DGSP_chitiet (truKH)'!L664</f>
        <v>362145.22596538463</v>
      </c>
      <c r="Q664" s="306">
        <f>'DGSP_chitiet (truKH)'!M664</f>
        <v>2776446.7324012825</v>
      </c>
      <c r="R664" s="271">
        <f>'DGSP_chitiet (truKH)'!N664</f>
        <v>0</v>
      </c>
      <c r="S664" s="905">
        <f>NhanCong!N$176</f>
        <v>42231.538461538461</v>
      </c>
    </row>
    <row r="665" spans="1:19" s="240" customFormat="1">
      <c r="A665" s="1010"/>
      <c r="B665" s="1011"/>
      <c r="C665" s="1013"/>
      <c r="D665" s="274" t="s">
        <v>33</v>
      </c>
      <c r="E665" s="271">
        <f>NhanCong!M$177</f>
        <v>2867760.060000001</v>
      </c>
      <c r="F665" s="271"/>
      <c r="G665" s="905">
        <f>Dcu!N$274</f>
        <v>36545.872188461544</v>
      </c>
      <c r="H665" s="905">
        <f>VLieu!L$159</f>
        <v>626800</v>
      </c>
      <c r="I665" s="905">
        <f>TBi!Q$384</f>
        <v>17660.193214285715</v>
      </c>
      <c r="J665" s="905">
        <f>TBi!Q$388</f>
        <v>69963.179999999993</v>
      </c>
      <c r="K665" s="905">
        <f t="shared" si="213"/>
        <v>3618729.3054027483</v>
      </c>
      <c r="L665" s="905">
        <f t="shared" si="214"/>
        <v>542809.39581041224</v>
      </c>
      <c r="M665" s="906">
        <f t="shared" si="215"/>
        <v>4161538.7012131605</v>
      </c>
      <c r="N665" s="905"/>
      <c r="O665" s="271">
        <f>'DGSP_chitiet (truKH)'!K665</f>
        <v>3601069.1121884626</v>
      </c>
      <c r="P665" s="271">
        <f>'DGSP_chitiet (truKH)'!L665</f>
        <v>540160.36682826933</v>
      </c>
      <c r="Q665" s="306">
        <f>'DGSP_chitiet (truKH)'!M665</f>
        <v>4141229.479016732</v>
      </c>
      <c r="R665" s="271">
        <f>'DGSP_chitiet (truKH)'!N665</f>
        <v>0</v>
      </c>
      <c r="S665" s="905">
        <f>NhanCong!N$177</f>
        <v>71229.230769230766</v>
      </c>
    </row>
    <row r="666" spans="1:19" s="240" customFormat="1">
      <c r="A666" s="1010"/>
      <c r="B666" s="1011"/>
      <c r="C666" s="1013"/>
      <c r="D666" s="274" t="s">
        <v>13</v>
      </c>
      <c r="E666" s="271">
        <f>NhanCong!M$178</f>
        <v>3612124.0100000012</v>
      </c>
      <c r="F666" s="271"/>
      <c r="G666" s="905">
        <f>Dcu!N$275</f>
        <v>47374.278762820511</v>
      </c>
      <c r="H666" s="905">
        <f>VLieu!L$159</f>
        <v>626800</v>
      </c>
      <c r="I666" s="905">
        <f>TBi!R$384</f>
        <v>20170.641428571427</v>
      </c>
      <c r="J666" s="905">
        <f>TBi!R$388</f>
        <v>79980.179999999993</v>
      </c>
      <c r="K666" s="905">
        <f t="shared" si="213"/>
        <v>4386449.1101913927</v>
      </c>
      <c r="L666" s="905">
        <f t="shared" si="214"/>
        <v>657967.36652870884</v>
      </c>
      <c r="M666" s="906">
        <f t="shared" si="215"/>
        <v>5044416.4767201012</v>
      </c>
      <c r="N666" s="905"/>
      <c r="O666" s="271">
        <f>'DGSP_chitiet (truKH)'!K666</f>
        <v>4366278.4687628215</v>
      </c>
      <c r="P666" s="271">
        <f>'DGSP_chitiet (truKH)'!L666</f>
        <v>654941.77031442325</v>
      </c>
      <c r="Q666" s="306">
        <f>'DGSP_chitiet (truKH)'!M666</f>
        <v>5021220.2390772449</v>
      </c>
      <c r="R666" s="271">
        <f>'DGSP_chitiet (truKH)'!N666</f>
        <v>0</v>
      </c>
      <c r="S666" s="905">
        <f>NhanCong!N$178</f>
        <v>89717.692307692312</v>
      </c>
    </row>
    <row r="667" spans="1:19" s="240" customFormat="1" ht="38.25" customHeight="1">
      <c r="A667" s="969" t="s">
        <v>246</v>
      </c>
      <c r="B667" s="970" t="str">
        <f>NhanCong!B$179</f>
        <v>Lập Phiếu đo đạc chỉnh lý thửa đất (Công/100 thửa chỉnh lý)</v>
      </c>
      <c r="C667" s="983" t="s">
        <v>329</v>
      </c>
      <c r="D667" s="983" t="s">
        <v>622</v>
      </c>
      <c r="E667" s="984">
        <f>NhanCong!M$179</f>
        <v>1031101.5000000002</v>
      </c>
      <c r="F667" s="984"/>
      <c r="G667" s="985">
        <f>Dcu!N$270</f>
        <v>27071.016435897436</v>
      </c>
      <c r="H667" s="905">
        <f>VLieu!L$159</f>
        <v>626800</v>
      </c>
      <c r="I667" s="985"/>
      <c r="J667" s="985"/>
      <c r="K667" s="985">
        <f t="shared" si="213"/>
        <v>1684972.5164358977</v>
      </c>
      <c r="L667" s="905">
        <f t="shared" si="214"/>
        <v>252745.87746538463</v>
      </c>
      <c r="M667" s="986">
        <f t="shared" si="215"/>
        <v>1937718.3939012822</v>
      </c>
      <c r="N667" s="985"/>
      <c r="O667" s="271">
        <f>'DGSP_chitiet (truKH)'!K667</f>
        <v>1684972.5164358977</v>
      </c>
      <c r="P667" s="271">
        <f>'DGSP_chitiet (truKH)'!L667</f>
        <v>252745.87746538463</v>
      </c>
      <c r="Q667" s="306">
        <f>'DGSP_chitiet (truKH)'!M667</f>
        <v>1937718.3939012822</v>
      </c>
      <c r="R667" s="271">
        <f>'DGSP_chitiet (truKH)'!N667</f>
        <v>0</v>
      </c>
      <c r="S667" s="985">
        <f>NhanCong!N$179</f>
        <v>29192.307692307691</v>
      </c>
    </row>
    <row r="668" spans="1:19" s="240" customFormat="1" ht="26">
      <c r="A668" s="969" t="s">
        <v>271</v>
      </c>
      <c r="B668" s="970" t="str">
        <f>NhanCong!B$180</f>
        <v>Bổ sung sổ mục kê (công nhóm/100 thửa chỉnh lý)</v>
      </c>
      <c r="C668" s="983" t="s">
        <v>329</v>
      </c>
      <c r="D668" s="983" t="s">
        <v>622</v>
      </c>
      <c r="E668" s="984">
        <f>NhanCong!M$180</f>
        <v>893621.30000000016</v>
      </c>
      <c r="F668" s="984"/>
      <c r="G668" s="985">
        <f>Dcu!N$290</f>
        <v>13800.392222222223</v>
      </c>
      <c r="H668" s="985">
        <f>VLieu!J$170</f>
        <v>120500</v>
      </c>
      <c r="I668" s="985">
        <f>TBi!N$411</f>
        <v>6891.4414285714283</v>
      </c>
      <c r="J668" s="985">
        <f>TBi!N$414</f>
        <v>27379.800000000003</v>
      </c>
      <c r="K668" s="985">
        <f t="shared" si="213"/>
        <v>1062192.9336507937</v>
      </c>
      <c r="L668" s="905">
        <f t="shared" si="214"/>
        <v>159328.94004761905</v>
      </c>
      <c r="M668" s="986">
        <f t="shared" si="215"/>
        <v>1221521.8736984129</v>
      </c>
      <c r="N668" s="985"/>
      <c r="O668" s="271">
        <f>'DGSP_chitiet (truKH)'!K668</f>
        <v>1055301.4922222223</v>
      </c>
      <c r="P668" s="271">
        <f>'DGSP_chitiet (truKH)'!L668</f>
        <v>158295.22383333332</v>
      </c>
      <c r="Q668" s="306">
        <f>'DGSP_chitiet (truKH)'!M668</f>
        <v>1213596.7160555555</v>
      </c>
      <c r="R668" s="271">
        <f>'DGSP_chitiet (truKH)'!N668</f>
        <v>0</v>
      </c>
      <c r="S668" s="985">
        <f>NhanCong!N$180</f>
        <v>25300</v>
      </c>
    </row>
    <row r="669" spans="1:19" s="240" customFormat="1" ht="25.5" customHeight="1">
      <c r="A669" s="969" t="s">
        <v>365</v>
      </c>
      <c r="B669" s="970" t="str">
        <f>NhanCong!B$181</f>
        <v>Biên tập bản đồ và in (công nhóm/mảnh)</v>
      </c>
      <c r="C669" s="983" t="s">
        <v>317</v>
      </c>
      <c r="D669" s="983" t="s">
        <v>622</v>
      </c>
      <c r="E669" s="984">
        <f>NhanCong!M$181</f>
        <v>32995.248</v>
      </c>
      <c r="F669" s="984"/>
      <c r="G669" s="985">
        <f>Dcu!N$304</f>
        <v>884.29538461538471</v>
      </c>
      <c r="H669" s="985">
        <f>VLieu!L$181</f>
        <v>23688</v>
      </c>
      <c r="I669" s="985">
        <f>TBi!N$423</f>
        <v>488.3997714285714</v>
      </c>
      <c r="J669" s="985">
        <f>TBi!N$427</f>
        <v>1068.48</v>
      </c>
      <c r="K669" s="985">
        <f>SUM(E669:J669)</f>
        <v>59124.423156043958</v>
      </c>
      <c r="L669" s="905">
        <f t="shared" si="214"/>
        <v>8868.6634734065938</v>
      </c>
      <c r="M669" s="986">
        <f>K669+L669</f>
        <v>67993.086629450554</v>
      </c>
      <c r="N669" s="985"/>
      <c r="O669" s="271">
        <f>'DGSP_chitiet (truKH)'!K669</f>
        <v>58636.023384615386</v>
      </c>
      <c r="P669" s="271">
        <f>'DGSP_chitiet (truKH)'!L669</f>
        <v>8795.4035076923083</v>
      </c>
      <c r="Q669" s="306">
        <f>'DGSP_chitiet (truKH)'!M669</f>
        <v>67431.426892307689</v>
      </c>
      <c r="R669" s="271">
        <f>'DGSP_chitiet (truKH)'!N669</f>
        <v>0</v>
      </c>
      <c r="S669" s="985">
        <f>NhanCong!N$181</f>
        <v>934.15384615384608</v>
      </c>
    </row>
    <row r="670" spans="1:19" s="240" customFormat="1" ht="25.5" customHeight="1">
      <c r="A670" s="969" t="s">
        <v>366</v>
      </c>
      <c r="B670" s="970" t="str">
        <f>NhanCong!B$182</f>
        <v>Xác nhận hồ sơ các cấp (công nhóm/mảnh)</v>
      </c>
      <c r="C670" s="983" t="s">
        <v>317</v>
      </c>
      <c r="D670" s="983" t="s">
        <v>622</v>
      </c>
      <c r="E670" s="984">
        <f>NhanCong!M$182</f>
        <v>32995.248</v>
      </c>
      <c r="F670" s="984"/>
      <c r="G670" s="985">
        <f>Dcu!N$304</f>
        <v>884.29538461538471</v>
      </c>
      <c r="H670" s="985">
        <f>VLieu!L$181</f>
        <v>23688</v>
      </c>
      <c r="I670" s="985">
        <f>TBi!N$423</f>
        <v>488.3997714285714</v>
      </c>
      <c r="J670" s="985">
        <f>TBi!N$427</f>
        <v>1068.48</v>
      </c>
      <c r="K670" s="985">
        <f>SUM(E670:J670)</f>
        <v>59124.423156043958</v>
      </c>
      <c r="L670" s="905">
        <f t="shared" si="214"/>
        <v>8868.6634734065938</v>
      </c>
      <c r="M670" s="986">
        <f>K670+L670</f>
        <v>67993.086629450554</v>
      </c>
      <c r="N670" s="985"/>
      <c r="O670" s="271">
        <f>'DGSP_chitiet (truKH)'!K670</f>
        <v>58636.023384615386</v>
      </c>
      <c r="P670" s="271">
        <f>'DGSP_chitiet (truKH)'!L670</f>
        <v>8795.4035076923083</v>
      </c>
      <c r="Q670" s="306">
        <f>'DGSP_chitiet (truKH)'!M670</f>
        <v>67431.426892307689</v>
      </c>
      <c r="R670" s="271">
        <f>'DGSP_chitiet (truKH)'!N670</f>
        <v>0</v>
      </c>
      <c r="S670" s="985">
        <f>NhanCong!N$182</f>
        <v>934.15384615384608</v>
      </c>
    </row>
    <row r="671" spans="1:19" s="240" customFormat="1" ht="25.5" customHeight="1">
      <c r="A671" s="969" t="s">
        <v>367</v>
      </c>
      <c r="B671" s="970" t="str">
        <f>NhanCong!B$183</f>
        <v>Giao nộp sản phẩm (công nhóm/mảnh)</v>
      </c>
      <c r="C671" s="983" t="s">
        <v>317</v>
      </c>
      <c r="D671" s="983" t="s">
        <v>622</v>
      </c>
      <c r="E671" s="984">
        <f>NhanCong!M$183</f>
        <v>69290.020800000013</v>
      </c>
      <c r="F671" s="984"/>
      <c r="G671" s="985">
        <f>Dcu!N$304</f>
        <v>884.29538461538471</v>
      </c>
      <c r="H671" s="985">
        <f>VLieu!L$181</f>
        <v>23688</v>
      </c>
      <c r="I671" s="985">
        <f>TBi!N$423</f>
        <v>488.3997714285714</v>
      </c>
      <c r="J671" s="985">
        <f>TBi!N$427</f>
        <v>1068.48</v>
      </c>
      <c r="K671" s="985">
        <f>SUM(E671:J671)</f>
        <v>95419.195956043957</v>
      </c>
      <c r="L671" s="905">
        <f>K671*0.15</f>
        <v>14312.879393406592</v>
      </c>
      <c r="M671" s="986">
        <f>K671+L671</f>
        <v>109732.07534945055</v>
      </c>
      <c r="N671" s="985"/>
      <c r="O671" s="271">
        <f>'DGSP_chitiet (truKH)'!K671</f>
        <v>94930.796184615392</v>
      </c>
      <c r="P671" s="271">
        <f>'DGSP_chitiet (truKH)'!L671</f>
        <v>14239.619427692309</v>
      </c>
      <c r="Q671" s="306">
        <f>'DGSP_chitiet (truKH)'!M671</f>
        <v>109170.4156123077</v>
      </c>
      <c r="R671" s="271">
        <f>'DGSP_chitiet (truKH)'!N671</f>
        <v>0</v>
      </c>
      <c r="S671" s="985">
        <f>NhanCong!N$183</f>
        <v>1961.7230769230769</v>
      </c>
    </row>
    <row r="672" spans="1:19" s="240" customFormat="1">
      <c r="A672" s="242" t="s">
        <v>28</v>
      </c>
      <c r="B672" s="276" t="s">
        <v>204</v>
      </c>
      <c r="C672" s="981" t="s">
        <v>349</v>
      </c>
      <c r="D672" s="275"/>
      <c r="E672" s="271"/>
      <c r="F672" s="271"/>
      <c r="G672" s="271"/>
      <c r="H672" s="271"/>
      <c r="I672" s="271"/>
      <c r="J672" s="271"/>
      <c r="K672" s="271"/>
      <c r="L672" s="271"/>
      <c r="M672" s="971">
        <v>25</v>
      </c>
      <c r="N672" s="271" t="s">
        <v>21</v>
      </c>
      <c r="O672" s="271">
        <f>'DGSP_chitiet (truKH)'!K672</f>
        <v>0</v>
      </c>
      <c r="P672" s="271">
        <f>'DGSP_chitiet (truKH)'!L672</f>
        <v>0</v>
      </c>
      <c r="Q672" s="306">
        <f>'DGSP_chitiet (truKH)'!M672</f>
        <v>25</v>
      </c>
      <c r="R672" s="271" t="str">
        <f>'DGSP_chitiet (truKH)'!N672</f>
        <v>ha</v>
      </c>
      <c r="S672" s="271"/>
    </row>
    <row r="673" spans="1:21" s="240" customFormat="1" ht="13.15" customHeight="1">
      <c r="A673" s="276"/>
      <c r="B673" s="1014" t="s">
        <v>190</v>
      </c>
      <c r="C673" s="242">
        <f>HeSoKK!B32</f>
        <v>34.5</v>
      </c>
      <c r="D673" s="242">
        <v>1</v>
      </c>
      <c r="E673" s="271">
        <f>E724/C673+(E729+E734)/100</f>
        <v>144697.40106250002</v>
      </c>
      <c r="F673" s="271">
        <f>F724/C673+(F729+F734)/100</f>
        <v>7731.7307692307695</v>
      </c>
      <c r="G673" s="271">
        <f>G724/C673+(G729+G734)/100</f>
        <v>970.23326923076922</v>
      </c>
      <c r="H673" s="271">
        <f>H724/C673+(H729+H734)/100</f>
        <v>119143.94782608697</v>
      </c>
      <c r="I673" s="271">
        <f>I724/C673+(I729+I734)/100</f>
        <v>2414.7042857142856</v>
      </c>
      <c r="J673" s="271">
        <f>J724/C673+(J729+J734)/100</f>
        <v>22.482599999999998</v>
      </c>
      <c r="K673" s="271">
        <f t="shared" ref="K673:K682" si="216">SUM(E673:J673)</f>
        <v>274980.49981276284</v>
      </c>
      <c r="L673" s="271">
        <f>K673*0.25</f>
        <v>68745.124953190709</v>
      </c>
      <c r="M673" s="272">
        <f t="shared" ref="M673:M682" si="217">K673+L673</f>
        <v>343725.62476595351</v>
      </c>
      <c r="N673" s="271">
        <f>M673+M678</f>
        <v>394686.98811418994</v>
      </c>
      <c r="O673" s="271">
        <f>'DGSP_chitiet (truKH)'!K673</f>
        <v>272565.79552704853</v>
      </c>
      <c r="P673" s="271">
        <f>'DGSP_chitiet (truKH)'!L673</f>
        <v>68141.448881762131</v>
      </c>
      <c r="Q673" s="306">
        <f>'DGSP_chitiet (truKH)'!M673</f>
        <v>340707.24440881063</v>
      </c>
      <c r="R673" s="271">
        <f>'DGSP_chitiet (truKH)'!N673</f>
        <v>391043.15961847559</v>
      </c>
      <c r="S673" s="271">
        <f>S724/C673+(S729+S734)/100</f>
        <v>4109.7163461538457</v>
      </c>
      <c r="U673" s="241"/>
    </row>
    <row r="674" spans="1:21" s="240" customFormat="1" ht="13.15" customHeight="1">
      <c r="A674" s="276"/>
      <c r="B674" s="1014"/>
      <c r="C674" s="242">
        <f>HeSoKK!D32</f>
        <v>44.5</v>
      </c>
      <c r="D674" s="242">
        <v>2</v>
      </c>
      <c r="E674" s="271">
        <f>E725/C674+(E730+E735)/100</f>
        <v>172886.91465730342</v>
      </c>
      <c r="F674" s="271">
        <f>F725/C674+(F730+F735)/100</f>
        <v>9296.2692307692323</v>
      </c>
      <c r="G674" s="271">
        <f>G725/C674+(G730+G735)/100</f>
        <v>1198.235982966004</v>
      </c>
      <c r="H674" s="271">
        <f>H725/C674+(H730+H735)/100</f>
        <v>92783.420224719113</v>
      </c>
      <c r="I674" s="271">
        <f>I725/C674+(I730+I735)/100</f>
        <v>3015.1685714285718</v>
      </c>
      <c r="J674" s="271">
        <f>J725/C674+(J730+J735)/100</f>
        <v>28.492799999999999</v>
      </c>
      <c r="K674" s="271">
        <f t="shared" si="216"/>
        <v>279208.50146718632</v>
      </c>
      <c r="L674" s="271">
        <f>K674*0.25</f>
        <v>69802.125366796579</v>
      </c>
      <c r="M674" s="272">
        <f t="shared" si="217"/>
        <v>349010.62683398288</v>
      </c>
      <c r="N674" s="271">
        <f>M674+M679</f>
        <v>400172.2031912331</v>
      </c>
      <c r="O674" s="271">
        <f>'DGSP_chitiet (truKH)'!K674</f>
        <v>276193.33289575775</v>
      </c>
      <c r="P674" s="271">
        <f>'DGSP_chitiet (truKH)'!L674</f>
        <v>69048.333223939437</v>
      </c>
      <c r="Q674" s="306">
        <f>'DGSP_chitiet (truKH)'!M674</f>
        <v>345241.66611969715</v>
      </c>
      <c r="R674" s="271">
        <f>'DGSP_chitiet (truKH)'!N674</f>
        <v>395851.71355621901</v>
      </c>
      <c r="S674" s="271">
        <f>S725/C674+(S730+S735)/100</f>
        <v>4907.9157303370785</v>
      </c>
      <c r="U674" s="241"/>
    </row>
    <row r="675" spans="1:21" s="240" customFormat="1" ht="13.15" customHeight="1">
      <c r="A675" s="276"/>
      <c r="B675" s="1014"/>
      <c r="C675" s="242">
        <f>HeSoKK!F32</f>
        <v>54.5</v>
      </c>
      <c r="D675" s="242">
        <v>3</v>
      </c>
      <c r="E675" s="271">
        <f>E726/C675+(E731+E736)/100</f>
        <v>207634.0651605505</v>
      </c>
      <c r="F675" s="271">
        <f>F726/C675+(F731+F736)/100</f>
        <v>11133.69230769231</v>
      </c>
      <c r="G675" s="271">
        <f>G726/C675+(G731+G736)/100</f>
        <v>1585.3625137222616</v>
      </c>
      <c r="H675" s="271">
        <f>H726/C675+(H731+H736)/100</f>
        <v>76096.480733944962</v>
      </c>
      <c r="I675" s="271">
        <f>I726/C675+(I731+I736)/100</f>
        <v>4013.2371428571432</v>
      </c>
      <c r="J675" s="271">
        <f>J726/C675+(J731+J736)/100</f>
        <v>38.064600000000006</v>
      </c>
      <c r="K675" s="271">
        <f t="shared" si="216"/>
        <v>300500.90245876717</v>
      </c>
      <c r="L675" s="271">
        <f>K675*0.25</f>
        <v>75125.225614691793</v>
      </c>
      <c r="M675" s="272">
        <f t="shared" si="217"/>
        <v>375626.12807345897</v>
      </c>
      <c r="N675" s="271">
        <f>M675+M680</f>
        <v>428315.11579249904</v>
      </c>
      <c r="O675" s="271">
        <f>'DGSP_chitiet (truKH)'!K675</f>
        <v>296487.66531591001</v>
      </c>
      <c r="P675" s="271">
        <f>'DGSP_chitiet (truKH)'!L675</f>
        <v>74121.916328977502</v>
      </c>
      <c r="Q675" s="306">
        <f>'DGSP_chitiet (truKH)'!M675</f>
        <v>370609.58164488751</v>
      </c>
      <c r="R675" s="271">
        <f>'DGSP_chitiet (truKH)'!N675</f>
        <v>422766.46322455339</v>
      </c>
      <c r="S675" s="271">
        <f>S726/C675+(S731+S736)/100</f>
        <v>5892.4717713479176</v>
      </c>
      <c r="U675" s="241"/>
    </row>
    <row r="676" spans="1:21" s="240" customFormat="1" ht="13.15" customHeight="1">
      <c r="A676" s="276"/>
      <c r="B676" s="1014"/>
      <c r="C676" s="242">
        <f>HeSoKK!H32</f>
        <v>17</v>
      </c>
      <c r="D676" s="242">
        <v>4</v>
      </c>
      <c r="E676" s="271">
        <f>E727/C676+(E732+E737)/100</f>
        <v>270761.32644485298</v>
      </c>
      <c r="F676" s="271">
        <f>F727/C676+(F732+F737)/100</f>
        <v>13371.346153846154</v>
      </c>
      <c r="G676" s="271">
        <f>G727/C676+(G732+G737)/100</f>
        <v>2303.0443693438915</v>
      </c>
      <c r="H676" s="271">
        <f>H727/C676+(H732+H737)/100</f>
        <v>239898.42352941178</v>
      </c>
      <c r="I676" s="271">
        <f>I727/C676+(I732+I737)/100</f>
        <v>5429.8728571428564</v>
      </c>
      <c r="J676" s="271">
        <f>J727/C676+(J732+J737)/100</f>
        <v>50.752800000000008</v>
      </c>
      <c r="K676" s="271">
        <f t="shared" si="216"/>
        <v>531814.76615459763</v>
      </c>
      <c r="L676" s="271">
        <f>K676*0.25</f>
        <v>132953.69153864941</v>
      </c>
      <c r="M676" s="272">
        <f t="shared" si="217"/>
        <v>664768.45769324701</v>
      </c>
      <c r="N676" s="271">
        <f>M676+M681</f>
        <v>732785.75401290227</v>
      </c>
      <c r="O676" s="271">
        <f>'DGSP_chitiet (truKH)'!K676</f>
        <v>526384.89329745481</v>
      </c>
      <c r="P676" s="271">
        <f>'DGSP_chitiet (truKH)'!L676</f>
        <v>131596.2233243637</v>
      </c>
      <c r="Q676" s="306">
        <f>'DGSP_chitiet (truKH)'!M676</f>
        <v>657981.11662181851</v>
      </c>
      <c r="R676" s="271">
        <f>'DGSP_chitiet (truKH)'!N676</f>
        <v>724550.48457114818</v>
      </c>
      <c r="S676" s="271">
        <f>S727/C676+(S732+S737)/100</f>
        <v>7724.012726244342</v>
      </c>
      <c r="U676" s="241"/>
    </row>
    <row r="677" spans="1:21" s="240" customFormat="1" ht="13.15" customHeight="1">
      <c r="A677" s="276"/>
      <c r="B677" s="1014"/>
      <c r="C677" s="242">
        <f>HeSoKK!J32</f>
        <v>22.5</v>
      </c>
      <c r="D677" s="242">
        <v>5</v>
      </c>
      <c r="E677" s="271">
        <f>E728/C677+(E733+E738)/100</f>
        <v>320328.82594166673</v>
      </c>
      <c r="F677" s="271">
        <f>F728/C677+(F733+F738)/100</f>
        <v>16045.615384615387</v>
      </c>
      <c r="G677" s="271">
        <f>G728/C677+(G733+G738)/100</f>
        <v>2910.4527332621083</v>
      </c>
      <c r="H677" s="271">
        <f>H728/C677+(H733+H738)/100</f>
        <v>181706.26666666666</v>
      </c>
      <c r="I677" s="271">
        <f>I728/C677+(I733+I738)/100</f>
        <v>7022.7707142857134</v>
      </c>
      <c r="J677" s="271">
        <f>J728/C677+(J733+J738)/100</f>
        <v>66.557399999999987</v>
      </c>
      <c r="K677" s="271">
        <f t="shared" si="216"/>
        <v>528080.48884049663</v>
      </c>
      <c r="L677" s="271">
        <f>K677*0.25</f>
        <v>132020.12221012416</v>
      </c>
      <c r="M677" s="272">
        <f t="shared" si="217"/>
        <v>660100.61105062079</v>
      </c>
      <c r="N677" s="271">
        <f>M677+M682</f>
        <v>728980.07862103602</v>
      </c>
      <c r="O677" s="271">
        <f>'DGSP_chitiet (truKH)'!K677</f>
        <v>521057.71812621085</v>
      </c>
      <c r="P677" s="271">
        <f>'DGSP_chitiet (truKH)'!L677</f>
        <v>130264.42953155271</v>
      </c>
      <c r="Q677" s="306">
        <f>'DGSP_chitiet (truKH)'!M677</f>
        <v>651322.14765776356</v>
      </c>
      <c r="R677" s="271">
        <f>'DGSP_chitiet (truKH)'!N677</f>
        <v>718629.46992804389</v>
      </c>
      <c r="S677" s="271">
        <f>S728/C677+(S733+S738)/100</f>
        <v>9126.3262820512809</v>
      </c>
      <c r="U677" s="241"/>
    </row>
    <row r="678" spans="1:21" s="240" customFormat="1">
      <c r="A678" s="1005"/>
      <c r="B678" s="1014" t="s">
        <v>192</v>
      </c>
      <c r="C678" s="242">
        <f>C673</f>
        <v>34.5</v>
      </c>
      <c r="D678" s="242">
        <v>1</v>
      </c>
      <c r="E678" s="271">
        <f>(E740+E752+E753+E754)/C678+(E745+E750+E751)/100</f>
        <v>28211.10563333334</v>
      </c>
      <c r="F678" s="271">
        <f>(F740+F752+F753+F754)/C678+(F745+F750+F751)/100</f>
        <v>0</v>
      </c>
      <c r="G678" s="271">
        <f>(G740+G752+G753+G754)/C678+(G745+G750+G751)/100</f>
        <v>486.60142724489037</v>
      </c>
      <c r="H678" s="271">
        <f>(H740+H752+H753+H754)/C678+(H745+H750+H751)/100</f>
        <v>14292.008695652174</v>
      </c>
      <c r="I678" s="271">
        <f>(I740+I752+I753+I754)/C678+(I745+I750+I751)/100</f>
        <v>543.86794658385088</v>
      </c>
      <c r="J678" s="271">
        <f>(J740+J752+J753+J754)/C678+(J745+J750+J751)/100</f>
        <v>780.6452956521739</v>
      </c>
      <c r="K678" s="271">
        <f t="shared" si="216"/>
        <v>44314.228998466431</v>
      </c>
      <c r="L678" s="271">
        <f>K678*0.15</f>
        <v>6647.1343497699645</v>
      </c>
      <c r="M678" s="272">
        <f t="shared" si="217"/>
        <v>50961.363348236395</v>
      </c>
      <c r="N678" s="271"/>
      <c r="O678" s="271">
        <f>'DGSP_chitiet (truKH)'!K678</f>
        <v>43770.361051882581</v>
      </c>
      <c r="P678" s="271">
        <f>'DGSP_chitiet (truKH)'!L678</f>
        <v>6565.5541577823869</v>
      </c>
      <c r="Q678" s="306">
        <f>'DGSP_chitiet (truKH)'!M678</f>
        <v>50335.91520966497</v>
      </c>
      <c r="R678" s="271">
        <f>'DGSP_chitiet (truKH)'!N678</f>
        <v>0</v>
      </c>
      <c r="S678" s="271">
        <f>(S740+S752+S753+S754)/C678+(S745+S750+S751)/100</f>
        <v>783.73589743589741</v>
      </c>
    </row>
    <row r="679" spans="1:21" s="240" customFormat="1">
      <c r="A679" s="1005"/>
      <c r="B679" s="1014"/>
      <c r="C679" s="242">
        <f>C674</f>
        <v>44.5</v>
      </c>
      <c r="D679" s="242">
        <v>2</v>
      </c>
      <c r="E679" s="271">
        <f>(E741+E752+E753+E754)/C679+(E746+E750+E751)/100</f>
        <v>28571.074239325848</v>
      </c>
      <c r="F679" s="271">
        <f>(F741+F752+F753+F754)/C679+(F746+F750+F751)/100</f>
        <v>0</v>
      </c>
      <c r="G679" s="271">
        <f>(G741+G752+G753+G754)/C679+(G746+G750+G751)/100</f>
        <v>500.88336536828956</v>
      </c>
      <c r="H679" s="271">
        <f>(H741+H752+H753+H754)/C679+(H746+H750+H751)/100</f>
        <v>14168.186516853933</v>
      </c>
      <c r="I679" s="271">
        <f>(I741+I752+I753+I754)/C679+(I746+I750+I751)/100</f>
        <v>479.59036585072232</v>
      </c>
      <c r="J679" s="271">
        <f>(J741+J752+J753+J754)/C679+(J746+J750+J751)/100</f>
        <v>768.59277977528086</v>
      </c>
      <c r="K679" s="271">
        <f t="shared" si="216"/>
        <v>44488.327267174078</v>
      </c>
      <c r="L679" s="271">
        <f>K679*0.15</f>
        <v>6673.2490900761113</v>
      </c>
      <c r="M679" s="272">
        <f t="shared" si="217"/>
        <v>51161.576357250189</v>
      </c>
      <c r="N679" s="271"/>
      <c r="O679" s="271">
        <f>'DGSP_chitiet (truKH)'!K679</f>
        <v>44008.736901323355</v>
      </c>
      <c r="P679" s="271">
        <f>'DGSP_chitiet (truKH)'!L679</f>
        <v>6601.3105351985032</v>
      </c>
      <c r="Q679" s="306">
        <f>'DGSP_chitiet (truKH)'!M679</f>
        <v>50610.047436521854</v>
      </c>
      <c r="R679" s="271">
        <f>'DGSP_chitiet (truKH)'!N679</f>
        <v>0</v>
      </c>
      <c r="S679" s="271">
        <f>(S741+S752+S753+S754)/C679+(S746+S750+S751)/100</f>
        <v>790.11659464131367</v>
      </c>
    </row>
    <row r="680" spans="1:21" s="240" customFormat="1">
      <c r="A680" s="1005"/>
      <c r="B680" s="1014"/>
      <c r="C680" s="242">
        <f>C675</f>
        <v>54.5</v>
      </c>
      <c r="D680" s="242">
        <v>3</v>
      </c>
      <c r="E680" s="271">
        <f>(E742+E752+E753+E754)/C680+(E747+E750+E751)/100</f>
        <v>29944.522935779823</v>
      </c>
      <c r="F680" s="271">
        <f>(F742+F752+F753+F754)/C680+(F747+F750+F751)/100</f>
        <v>0</v>
      </c>
      <c r="G680" s="271">
        <f>(G742+G752+G753+G754)/C680+(G747+G750+G751)/100</f>
        <v>537.20171331137772</v>
      </c>
      <c r="H680" s="271">
        <f>(H742+H752+H753+H754)/C680+(H747+H750+H751)/100</f>
        <v>14089.80366972477</v>
      </c>
      <c r="I680" s="271">
        <f>(I742+I752+I753+I754)/C680+(I747+I750+I751)/100</f>
        <v>462.70099076015731</v>
      </c>
      <c r="J680" s="271">
        <f>(J742+J752+J753+J754)/C680+(J747+J750+J751)/100</f>
        <v>782.28175045871569</v>
      </c>
      <c r="K680" s="271">
        <f t="shared" si="216"/>
        <v>45816.511060034842</v>
      </c>
      <c r="L680" s="271">
        <f>K680*0.15</f>
        <v>6872.4766590052259</v>
      </c>
      <c r="M680" s="272">
        <f t="shared" si="217"/>
        <v>52688.987719040066</v>
      </c>
      <c r="N680" s="271"/>
      <c r="O680" s="271">
        <f>'DGSP_chitiet (truKH)'!K680</f>
        <v>45353.810069274681</v>
      </c>
      <c r="P680" s="271">
        <f>'DGSP_chitiet (truKH)'!L680</f>
        <v>6803.0715103912016</v>
      </c>
      <c r="Q680" s="306">
        <f>'DGSP_chitiet (truKH)'!M680</f>
        <v>52156.881579665882</v>
      </c>
      <c r="R680" s="271">
        <f>'DGSP_chitiet (truKH)'!N680</f>
        <v>0</v>
      </c>
      <c r="S680" s="271">
        <f>(S742+S752+S753+S754)/C680+(S747+S750+S751)/100</f>
        <v>822.74100211714892</v>
      </c>
    </row>
    <row r="681" spans="1:21" s="240" customFormat="1">
      <c r="A681" s="1005"/>
      <c r="B681" s="1014"/>
      <c r="C681" s="242">
        <f>C676</f>
        <v>17</v>
      </c>
      <c r="D681" s="242">
        <v>4</v>
      </c>
      <c r="E681" s="271">
        <f>(E743+E752+E753+E754)/C681+(E748+E750+E751)/100</f>
        <v>41215.04834117648</v>
      </c>
      <c r="F681" s="271">
        <f>(F743+F752+F753+F754)/C681+(F748+F750+F751)/100</f>
        <v>0</v>
      </c>
      <c r="G681" s="271">
        <f>(G743+G752+G753+G754)/C681+(G748+G750+G751)/100</f>
        <v>746.48337128406229</v>
      </c>
      <c r="H681" s="271">
        <f>(H743+H752+H753+H754)/C681+(H748+H750+H751)/100</f>
        <v>14859.223529411765</v>
      </c>
      <c r="I681" s="271">
        <f>(I743+I752+I753+I754)/C681+(I748+I750+I751)/100</f>
        <v>1259.0681481092433</v>
      </c>
      <c r="J681" s="271">
        <f>(J743+J752+J753+J754)/C681+(J748+J750+J751)/100</f>
        <v>1065.6516705882352</v>
      </c>
      <c r="K681" s="271">
        <f t="shared" si="216"/>
        <v>59145.475060569792</v>
      </c>
      <c r="L681" s="271">
        <f>K681*0.15</f>
        <v>8871.8212590854691</v>
      </c>
      <c r="M681" s="272">
        <f t="shared" si="217"/>
        <v>68017.296319655259</v>
      </c>
      <c r="N681" s="271"/>
      <c r="O681" s="271">
        <f>'DGSP_chitiet (truKH)'!K681</f>
        <v>57886.406912460545</v>
      </c>
      <c r="P681" s="271">
        <f>'DGSP_chitiet (truKH)'!L681</f>
        <v>8682.961036869081</v>
      </c>
      <c r="Q681" s="306">
        <f>'DGSP_chitiet (truKH)'!M681</f>
        <v>66569.367949329622</v>
      </c>
      <c r="R681" s="271">
        <f>'DGSP_chitiet (truKH)'!N681</f>
        <v>0</v>
      </c>
      <c r="S681" s="271">
        <f>(S743+S752+S753+S754)/C681+(S748+S750+S751)/100</f>
        <v>1133.1194570135747</v>
      </c>
    </row>
    <row r="682" spans="1:21" s="240" customFormat="1">
      <c r="A682" s="1005"/>
      <c r="B682" s="1014"/>
      <c r="C682" s="242">
        <f>C677</f>
        <v>22.5</v>
      </c>
      <c r="D682" s="242">
        <v>5</v>
      </c>
      <c r="E682" s="271">
        <f>(E744+E752+E753+E754)/C682+(E749+E750+E751)/100</f>
        <v>42047.993362222231</v>
      </c>
      <c r="F682" s="271">
        <f>(F744+F752+F753+F754)/C682+(F749+F750+F751)/100</f>
        <v>0</v>
      </c>
      <c r="G682" s="271">
        <f>(G744+G752+G753+G754)/C682+(G749+G750+G751)/100</f>
        <v>781.50502642735034</v>
      </c>
      <c r="H682" s="271">
        <f>(H744+H752+H753+H754)/C682+(H749+H750+H751)/100</f>
        <v>14585.880000000001</v>
      </c>
      <c r="I682" s="271">
        <f>(I744+I752+I753+I754)/C682+(I749+I750+I751)/100</f>
        <v>1367.0828696825392</v>
      </c>
      <c r="J682" s="271">
        <f>(J744+J752+J753+J754)/C682+(J749+J750+J751)/100</f>
        <v>1112.7279333333333</v>
      </c>
      <c r="K682" s="271">
        <f t="shared" si="216"/>
        <v>59895.189191665457</v>
      </c>
      <c r="L682" s="271">
        <f>K682*0.15</f>
        <v>8984.2783787498174</v>
      </c>
      <c r="M682" s="272">
        <f t="shared" si="217"/>
        <v>68879.467570415276</v>
      </c>
      <c r="N682" s="271"/>
      <c r="O682" s="271">
        <f>'DGSP_chitiet (truKH)'!K682</f>
        <v>58528.106321982916</v>
      </c>
      <c r="P682" s="271">
        <f>'DGSP_chitiet (truKH)'!L682</f>
        <v>8779.2159482974366</v>
      </c>
      <c r="Q682" s="306">
        <f>'DGSP_chitiet (truKH)'!M682</f>
        <v>67307.322270280347</v>
      </c>
      <c r="R682" s="271">
        <f>'DGSP_chitiet (truKH)'!N682</f>
        <v>0</v>
      </c>
      <c r="S682" s="271">
        <f>(S744+S752+S753+S754)/C682+(S749+S750+S751)/100</f>
        <v>1146.6305982905983</v>
      </c>
    </row>
    <row r="683" spans="1:21" s="240" customFormat="1" ht="13.5">
      <c r="A683" s="242"/>
      <c r="B683" s="277" t="s">
        <v>332</v>
      </c>
      <c r="C683" s="242"/>
      <c r="D683" s="242"/>
      <c r="E683" s="271"/>
      <c r="F683" s="271"/>
      <c r="G683" s="271"/>
      <c r="H683" s="271"/>
      <c r="I683" s="271"/>
      <c r="J683" s="271"/>
      <c r="K683" s="271"/>
      <c r="L683" s="271"/>
      <c r="M683" s="272"/>
      <c r="N683" s="271"/>
      <c r="O683" s="271">
        <f>'DGSP_chitiet (truKH)'!K683</f>
        <v>0</v>
      </c>
      <c r="P683" s="271">
        <f>'DGSP_chitiet (truKH)'!L683</f>
        <v>0</v>
      </c>
      <c r="Q683" s="306">
        <f>'DGSP_chitiet (truKH)'!M683</f>
        <v>0</v>
      </c>
      <c r="R683" s="271">
        <f>'DGSP_chitiet (truKH)'!N683</f>
        <v>0</v>
      </c>
      <c r="S683" s="271"/>
    </row>
    <row r="684" spans="1:21" s="240" customFormat="1" ht="13.5">
      <c r="A684" s="242" t="s">
        <v>502</v>
      </c>
      <c r="B684" s="277" t="s">
        <v>333</v>
      </c>
      <c r="C684" s="242"/>
      <c r="D684" s="242"/>
      <c r="E684" s="271"/>
      <c r="F684" s="271"/>
      <c r="G684" s="271"/>
      <c r="H684" s="271"/>
      <c r="I684" s="271"/>
      <c r="J684" s="271"/>
      <c r="K684" s="271"/>
      <c r="L684" s="271"/>
      <c r="M684" s="272"/>
      <c r="N684" s="271"/>
      <c r="O684" s="271">
        <f>'DGSP_chitiet (truKH)'!K684</f>
        <v>0</v>
      </c>
      <c r="P684" s="271">
        <f>'DGSP_chitiet (truKH)'!L684</f>
        <v>0</v>
      </c>
      <c r="Q684" s="306">
        <f>'DGSP_chitiet (truKH)'!M684</f>
        <v>0</v>
      </c>
      <c r="R684" s="271">
        <f>'DGSP_chitiet (truKH)'!N684</f>
        <v>0</v>
      </c>
      <c r="S684" s="271"/>
    </row>
    <row r="685" spans="1:21" s="240" customFormat="1" ht="13.15" customHeight="1">
      <c r="A685" s="1016"/>
      <c r="B685" s="1014" t="s">
        <v>330</v>
      </c>
      <c r="C685" s="1005" t="s">
        <v>49</v>
      </c>
      <c r="D685" s="242">
        <v>1</v>
      </c>
      <c r="E685" s="271">
        <f t="shared" ref="E685:J689" si="218">E673-E729/100</f>
        <v>136964.13981250001</v>
      </c>
      <c r="F685" s="271">
        <f t="shared" si="218"/>
        <v>7731.7307692307695</v>
      </c>
      <c r="G685" s="271">
        <f t="shared" si="218"/>
        <v>853.61833333333334</v>
      </c>
      <c r="H685" s="271">
        <f t="shared" si="218"/>
        <v>119056.34782608696</v>
      </c>
      <c r="I685" s="271">
        <f t="shared" si="218"/>
        <v>2289.9457142857141</v>
      </c>
      <c r="J685" s="271">
        <f t="shared" si="218"/>
        <v>21.146999999999998</v>
      </c>
      <c r="K685" s="271">
        <f t="shared" ref="K685:K694" si="219">SUM(E685:J685)</f>
        <v>266916.92945543682</v>
      </c>
      <c r="L685" s="271">
        <f>K685*0.25</f>
        <v>66729.232363859206</v>
      </c>
      <c r="M685" s="272">
        <f t="shared" ref="M685:M694" si="220">K685+L685</f>
        <v>333646.16181929602</v>
      </c>
      <c r="N685" s="271">
        <f>M685+M690</f>
        <v>384607.52516753238</v>
      </c>
      <c r="O685" s="271">
        <f>'DGSP_chitiet (truKH)'!K685</f>
        <v>264626.98374115111</v>
      </c>
      <c r="P685" s="271">
        <f>'DGSP_chitiet (truKH)'!L685</f>
        <v>66156.745935287778</v>
      </c>
      <c r="Q685" s="306">
        <f>'DGSP_chitiet (truKH)'!M685</f>
        <v>330783.7296764389</v>
      </c>
      <c r="R685" s="271">
        <f>'DGSP_chitiet (truKH)'!N685</f>
        <v>381119.64488610387</v>
      </c>
      <c r="S685" s="271">
        <f>S673-S729/100</f>
        <v>3890.7740384615381</v>
      </c>
    </row>
    <row r="686" spans="1:21" s="240" customFormat="1" ht="13.15" customHeight="1">
      <c r="A686" s="1017"/>
      <c r="B686" s="1014"/>
      <c r="C686" s="1005"/>
      <c r="D686" s="242">
        <v>2</v>
      </c>
      <c r="E686" s="271">
        <f t="shared" si="218"/>
        <v>163220.33809480342</v>
      </c>
      <c r="F686" s="271">
        <f t="shared" si="218"/>
        <v>9296.2692307692323</v>
      </c>
      <c r="G686" s="271">
        <f t="shared" si="218"/>
        <v>1052.4673130942092</v>
      </c>
      <c r="H686" s="271">
        <f t="shared" si="218"/>
        <v>92695.820224719108</v>
      </c>
      <c r="I686" s="271">
        <f t="shared" si="218"/>
        <v>2862.2350000000006</v>
      </c>
      <c r="J686" s="271">
        <f t="shared" si="218"/>
        <v>27.1572</v>
      </c>
      <c r="K686" s="271">
        <f t="shared" si="219"/>
        <v>269154.28706338594</v>
      </c>
      <c r="L686" s="271">
        <f>K686*0.25</f>
        <v>67288.571765846486</v>
      </c>
      <c r="M686" s="272">
        <f t="shared" si="220"/>
        <v>336442.8588292324</v>
      </c>
      <c r="N686" s="271">
        <f>M686+M691</f>
        <v>387604.43518648262</v>
      </c>
      <c r="O686" s="271">
        <f>'DGSP_chitiet (truKH)'!K686</f>
        <v>266292.05206338596</v>
      </c>
      <c r="P686" s="271">
        <f>'DGSP_chitiet (truKH)'!L686</f>
        <v>66573.013015846489</v>
      </c>
      <c r="Q686" s="306">
        <f>'DGSP_chitiet (truKH)'!M686</f>
        <v>332865.06507923244</v>
      </c>
      <c r="R686" s="271">
        <f>'DGSP_chitiet (truKH)'!N686</f>
        <v>383475.1125157543</v>
      </c>
      <c r="S686" s="271">
        <f>S674-S730/100</f>
        <v>4634.2378457216937</v>
      </c>
    </row>
    <row r="687" spans="1:21" s="240" customFormat="1" ht="13.15" customHeight="1">
      <c r="A687" s="1017"/>
      <c r="B687" s="1014"/>
      <c r="C687" s="1005"/>
      <c r="D687" s="242">
        <v>3</v>
      </c>
      <c r="E687" s="271">
        <f t="shared" si="218"/>
        <v>194745.29641055048</v>
      </c>
      <c r="F687" s="271">
        <f t="shared" si="218"/>
        <v>11133.69230769231</v>
      </c>
      <c r="G687" s="271">
        <f t="shared" si="218"/>
        <v>1391.0042872265351</v>
      </c>
      <c r="H687" s="271">
        <f t="shared" si="218"/>
        <v>76008.880733944956</v>
      </c>
      <c r="I687" s="271">
        <f t="shared" si="218"/>
        <v>3809.1942857142863</v>
      </c>
      <c r="J687" s="271">
        <f t="shared" si="218"/>
        <v>36.061200000000007</v>
      </c>
      <c r="K687" s="271">
        <f t="shared" si="219"/>
        <v>287124.12922512856</v>
      </c>
      <c r="L687" s="271">
        <f>K687*0.25</f>
        <v>71781.032306282141</v>
      </c>
      <c r="M687" s="272">
        <f t="shared" si="220"/>
        <v>358905.1615314107</v>
      </c>
      <c r="N687" s="271">
        <f>M687+M692</f>
        <v>411594.14925045078</v>
      </c>
      <c r="O687" s="271">
        <f>'DGSP_chitiet (truKH)'!K687</f>
        <v>283314.93493941426</v>
      </c>
      <c r="P687" s="271">
        <f>'DGSP_chitiet (truKH)'!L687</f>
        <v>70828.733734853566</v>
      </c>
      <c r="Q687" s="306">
        <f>'DGSP_chitiet (truKH)'!M687</f>
        <v>354143.66867426783</v>
      </c>
      <c r="R687" s="271">
        <f>'DGSP_chitiet (truKH)'!N687</f>
        <v>406300.5502539337</v>
      </c>
      <c r="S687" s="271">
        <f>S675-S731/100</f>
        <v>5527.567925194071</v>
      </c>
    </row>
    <row r="688" spans="1:21" s="240" customFormat="1" ht="13.15" customHeight="1">
      <c r="A688" s="1017"/>
      <c r="B688" s="1014"/>
      <c r="C688" s="1005"/>
      <c r="D688" s="242">
        <v>4</v>
      </c>
      <c r="E688" s="271">
        <f t="shared" si="218"/>
        <v>253361.48863235296</v>
      </c>
      <c r="F688" s="271">
        <f t="shared" si="218"/>
        <v>13371.346153846154</v>
      </c>
      <c r="G688" s="271">
        <f t="shared" si="218"/>
        <v>2040.6607635746607</v>
      </c>
      <c r="H688" s="271">
        <f t="shared" si="218"/>
        <v>239810.82352941178</v>
      </c>
      <c r="I688" s="271">
        <f t="shared" si="218"/>
        <v>5152.1807142857133</v>
      </c>
      <c r="J688" s="271">
        <f t="shared" si="218"/>
        <v>48.081600000000009</v>
      </c>
      <c r="K688" s="271">
        <f t="shared" si="219"/>
        <v>513784.58139347116</v>
      </c>
      <c r="L688" s="271">
        <f>K688*0.25</f>
        <v>128446.14534836779</v>
      </c>
      <c r="M688" s="272">
        <f t="shared" si="220"/>
        <v>642230.72674183897</v>
      </c>
      <c r="N688" s="271">
        <f>M688+M693</f>
        <v>710248.02306149423</v>
      </c>
      <c r="O688" s="271">
        <f>'DGSP_chitiet (truKH)'!K688</f>
        <v>508632.40067918546</v>
      </c>
      <c r="P688" s="271">
        <f>'DGSP_chitiet (truKH)'!L688</f>
        <v>127158.10016979637</v>
      </c>
      <c r="Q688" s="306">
        <f>'DGSP_chitiet (truKH)'!M688</f>
        <v>635790.50084898178</v>
      </c>
      <c r="R688" s="271">
        <f>'DGSP_chitiet (truKH)'!N688</f>
        <v>702359.86879831145</v>
      </c>
      <c r="S688" s="271">
        <f>S676-S732/100</f>
        <v>7231.3925339366497</v>
      </c>
    </row>
    <row r="689" spans="1:19" s="240" customFormat="1" ht="13.15" customHeight="1">
      <c r="A689" s="1018"/>
      <c r="B689" s="1014"/>
      <c r="C689" s="1005"/>
      <c r="D689" s="242">
        <v>5</v>
      </c>
      <c r="E689" s="271">
        <f t="shared" si="218"/>
        <v>297988.2934416667</v>
      </c>
      <c r="F689" s="271">
        <f t="shared" si="218"/>
        <v>16045.615384615387</v>
      </c>
      <c r="G689" s="271">
        <f t="shared" si="218"/>
        <v>2570.3258368945872</v>
      </c>
      <c r="H689" s="271">
        <f t="shared" si="218"/>
        <v>181618.66666666666</v>
      </c>
      <c r="I689" s="271">
        <f t="shared" si="218"/>
        <v>6671.4292857142846</v>
      </c>
      <c r="J689" s="271">
        <f t="shared" si="218"/>
        <v>63.218399999999988</v>
      </c>
      <c r="K689" s="271">
        <f t="shared" si="219"/>
        <v>504957.54901555763</v>
      </c>
      <c r="L689" s="271">
        <f>K689*0.25</f>
        <v>126239.38725388941</v>
      </c>
      <c r="M689" s="272">
        <f t="shared" si="220"/>
        <v>631196.93626944697</v>
      </c>
      <c r="N689" s="271">
        <f>M689+M694</f>
        <v>700076.40383986221</v>
      </c>
      <c r="O689" s="271">
        <f>'DGSP_chitiet (truKH)'!K689</f>
        <v>498286.11972984334</v>
      </c>
      <c r="P689" s="271">
        <f>'DGSP_chitiet (truKH)'!L689</f>
        <v>124571.52993246083</v>
      </c>
      <c r="Q689" s="306">
        <f>'DGSP_chitiet (truKH)'!M689</f>
        <v>622857.6496623042</v>
      </c>
      <c r="R689" s="271">
        <f>'DGSP_chitiet (truKH)'!N689</f>
        <v>690164.97193258454</v>
      </c>
      <c r="S689" s="271">
        <f>S677-S733/100</f>
        <v>8493.8262820512809</v>
      </c>
    </row>
    <row r="690" spans="1:19" s="240" customFormat="1" ht="13.15" customHeight="1">
      <c r="A690" s="1005"/>
      <c r="B690" s="1014" t="s">
        <v>331</v>
      </c>
      <c r="C690" s="1005" t="s">
        <v>49</v>
      </c>
      <c r="D690" s="242">
        <v>1</v>
      </c>
      <c r="E690" s="271">
        <f t="shared" ref="E690:J694" si="221">E678</f>
        <v>28211.10563333334</v>
      </c>
      <c r="F690" s="271">
        <f t="shared" si="221"/>
        <v>0</v>
      </c>
      <c r="G690" s="271">
        <f t="shared" si="221"/>
        <v>486.60142724489037</v>
      </c>
      <c r="H690" s="271">
        <f t="shared" si="221"/>
        <v>14292.008695652174</v>
      </c>
      <c r="I690" s="271">
        <f t="shared" si="221"/>
        <v>543.86794658385088</v>
      </c>
      <c r="J690" s="271">
        <f t="shared" si="221"/>
        <v>780.6452956521739</v>
      </c>
      <c r="K690" s="271">
        <f t="shared" si="219"/>
        <v>44314.228998466431</v>
      </c>
      <c r="L690" s="271">
        <f>K690*0.15</f>
        <v>6647.1343497699645</v>
      </c>
      <c r="M690" s="272">
        <f t="shared" si="220"/>
        <v>50961.363348236395</v>
      </c>
      <c r="N690" s="271"/>
      <c r="O690" s="271">
        <f>'DGSP_chitiet (truKH)'!K690</f>
        <v>43770.361051882581</v>
      </c>
      <c r="P690" s="271">
        <f>'DGSP_chitiet (truKH)'!L690</f>
        <v>6565.5541577823869</v>
      </c>
      <c r="Q690" s="306">
        <f>'DGSP_chitiet (truKH)'!M690</f>
        <v>50335.91520966497</v>
      </c>
      <c r="R690" s="271">
        <f>'DGSP_chitiet (truKH)'!N690</f>
        <v>0</v>
      </c>
      <c r="S690" s="271">
        <f>S678</f>
        <v>783.73589743589741</v>
      </c>
    </row>
    <row r="691" spans="1:19" s="240" customFormat="1" ht="13.15" customHeight="1">
      <c r="A691" s="1005"/>
      <c r="B691" s="1014"/>
      <c r="C691" s="1005"/>
      <c r="D691" s="242">
        <v>2</v>
      </c>
      <c r="E691" s="271">
        <f t="shared" si="221"/>
        <v>28571.074239325848</v>
      </c>
      <c r="F691" s="271">
        <f t="shared" si="221"/>
        <v>0</v>
      </c>
      <c r="G691" s="271">
        <f t="shared" si="221"/>
        <v>500.88336536828956</v>
      </c>
      <c r="H691" s="271">
        <f t="shared" si="221"/>
        <v>14168.186516853933</v>
      </c>
      <c r="I691" s="271">
        <f t="shared" si="221"/>
        <v>479.59036585072232</v>
      </c>
      <c r="J691" s="271">
        <f t="shared" si="221"/>
        <v>768.59277977528086</v>
      </c>
      <c r="K691" s="271">
        <f t="shared" si="219"/>
        <v>44488.327267174078</v>
      </c>
      <c r="L691" s="271">
        <f>K691*0.15</f>
        <v>6673.2490900761113</v>
      </c>
      <c r="M691" s="272">
        <f t="shared" si="220"/>
        <v>51161.576357250189</v>
      </c>
      <c r="N691" s="271"/>
      <c r="O691" s="271">
        <f>'DGSP_chitiet (truKH)'!K691</f>
        <v>44008.736901323355</v>
      </c>
      <c r="P691" s="271">
        <f>'DGSP_chitiet (truKH)'!L691</f>
        <v>6601.3105351985032</v>
      </c>
      <c r="Q691" s="306">
        <f>'DGSP_chitiet (truKH)'!M691</f>
        <v>50610.047436521854</v>
      </c>
      <c r="R691" s="271">
        <f>'DGSP_chitiet (truKH)'!N691</f>
        <v>0</v>
      </c>
      <c r="S691" s="271">
        <f>S679</f>
        <v>790.11659464131367</v>
      </c>
    </row>
    <row r="692" spans="1:19" s="240" customFormat="1" ht="13.15" customHeight="1">
      <c r="A692" s="1005"/>
      <c r="B692" s="1014"/>
      <c r="C692" s="1005"/>
      <c r="D692" s="242">
        <v>3</v>
      </c>
      <c r="E692" s="271">
        <f t="shared" si="221"/>
        <v>29944.522935779823</v>
      </c>
      <c r="F692" s="271">
        <f t="shared" si="221"/>
        <v>0</v>
      </c>
      <c r="G692" s="271">
        <f t="shared" si="221"/>
        <v>537.20171331137772</v>
      </c>
      <c r="H692" s="271">
        <f t="shared" si="221"/>
        <v>14089.80366972477</v>
      </c>
      <c r="I692" s="271">
        <f t="shared" si="221"/>
        <v>462.70099076015731</v>
      </c>
      <c r="J692" s="271">
        <f t="shared" si="221"/>
        <v>782.28175045871569</v>
      </c>
      <c r="K692" s="271">
        <f t="shared" si="219"/>
        <v>45816.511060034842</v>
      </c>
      <c r="L692" s="271">
        <f>K692*0.15</f>
        <v>6872.4766590052259</v>
      </c>
      <c r="M692" s="272">
        <f t="shared" si="220"/>
        <v>52688.987719040066</v>
      </c>
      <c r="N692" s="271"/>
      <c r="O692" s="271">
        <f>'DGSP_chitiet (truKH)'!K692</f>
        <v>45353.810069274681</v>
      </c>
      <c r="P692" s="271">
        <f>'DGSP_chitiet (truKH)'!L692</f>
        <v>6803.0715103912016</v>
      </c>
      <c r="Q692" s="306">
        <f>'DGSP_chitiet (truKH)'!M692</f>
        <v>52156.881579665882</v>
      </c>
      <c r="R692" s="271">
        <f>'DGSP_chitiet (truKH)'!N692</f>
        <v>0</v>
      </c>
      <c r="S692" s="271">
        <f>S680</f>
        <v>822.74100211714892</v>
      </c>
    </row>
    <row r="693" spans="1:19" s="240" customFormat="1" ht="13.15" customHeight="1">
      <c r="A693" s="1005"/>
      <c r="B693" s="1014"/>
      <c r="C693" s="1005"/>
      <c r="D693" s="242">
        <v>4</v>
      </c>
      <c r="E693" s="271">
        <f t="shared" si="221"/>
        <v>41215.04834117648</v>
      </c>
      <c r="F693" s="271">
        <f t="shared" si="221"/>
        <v>0</v>
      </c>
      <c r="G693" s="271">
        <f t="shared" si="221"/>
        <v>746.48337128406229</v>
      </c>
      <c r="H693" s="271">
        <f t="shared" si="221"/>
        <v>14859.223529411765</v>
      </c>
      <c r="I693" s="271">
        <f t="shared" si="221"/>
        <v>1259.0681481092433</v>
      </c>
      <c r="J693" s="271">
        <f t="shared" si="221"/>
        <v>1065.6516705882352</v>
      </c>
      <c r="K693" s="271">
        <f t="shared" si="219"/>
        <v>59145.475060569792</v>
      </c>
      <c r="L693" s="271">
        <f>K693*0.15</f>
        <v>8871.8212590854691</v>
      </c>
      <c r="M693" s="272">
        <f t="shared" si="220"/>
        <v>68017.296319655259</v>
      </c>
      <c r="N693" s="271"/>
      <c r="O693" s="271">
        <f>'DGSP_chitiet (truKH)'!K693</f>
        <v>57886.406912460545</v>
      </c>
      <c r="P693" s="271">
        <f>'DGSP_chitiet (truKH)'!L693</f>
        <v>8682.961036869081</v>
      </c>
      <c r="Q693" s="306">
        <f>'DGSP_chitiet (truKH)'!M693</f>
        <v>66569.367949329622</v>
      </c>
      <c r="R693" s="271">
        <f>'DGSP_chitiet (truKH)'!N693</f>
        <v>0</v>
      </c>
      <c r="S693" s="271">
        <f>S681</f>
        <v>1133.1194570135747</v>
      </c>
    </row>
    <row r="694" spans="1:19" s="240" customFormat="1" ht="13.15" customHeight="1">
      <c r="A694" s="1005"/>
      <c r="B694" s="1014"/>
      <c r="C694" s="1005"/>
      <c r="D694" s="242">
        <v>5</v>
      </c>
      <c r="E694" s="271">
        <f t="shared" si="221"/>
        <v>42047.993362222231</v>
      </c>
      <c r="F694" s="271">
        <f t="shared" si="221"/>
        <v>0</v>
      </c>
      <c r="G694" s="271">
        <f t="shared" si="221"/>
        <v>781.50502642735034</v>
      </c>
      <c r="H694" s="271">
        <f t="shared" si="221"/>
        <v>14585.880000000001</v>
      </c>
      <c r="I694" s="271">
        <f t="shared" si="221"/>
        <v>1367.0828696825392</v>
      </c>
      <c r="J694" s="271">
        <f t="shared" si="221"/>
        <v>1112.7279333333333</v>
      </c>
      <c r="K694" s="271">
        <f t="shared" si="219"/>
        <v>59895.189191665457</v>
      </c>
      <c r="L694" s="271">
        <f>K694*0.15</f>
        <v>8984.2783787498174</v>
      </c>
      <c r="M694" s="272">
        <f t="shared" si="220"/>
        <v>68879.467570415276</v>
      </c>
      <c r="N694" s="271"/>
      <c r="O694" s="271">
        <f>'DGSP_chitiet (truKH)'!K694</f>
        <v>58528.106321982916</v>
      </c>
      <c r="P694" s="271">
        <f>'DGSP_chitiet (truKH)'!L694</f>
        <v>8779.2159482974366</v>
      </c>
      <c r="Q694" s="306">
        <f>'DGSP_chitiet (truKH)'!M694</f>
        <v>67307.322270280347</v>
      </c>
      <c r="R694" s="271">
        <f>'DGSP_chitiet (truKH)'!N694</f>
        <v>0</v>
      </c>
      <c r="S694" s="271">
        <f>S682</f>
        <v>1146.6305982905983</v>
      </c>
    </row>
    <row r="695" spans="1:19" s="240" customFormat="1" ht="13.5">
      <c r="A695" s="242" t="s">
        <v>503</v>
      </c>
      <c r="B695" s="277" t="s">
        <v>423</v>
      </c>
      <c r="C695" s="242"/>
      <c r="D695" s="242"/>
      <c r="E695" s="271"/>
      <c r="F695" s="271"/>
      <c r="G695" s="271"/>
      <c r="H695" s="271"/>
      <c r="I695" s="271"/>
      <c r="J695" s="271"/>
      <c r="K695" s="271"/>
      <c r="L695" s="271"/>
      <c r="M695" s="272"/>
      <c r="N695" s="271"/>
      <c r="O695" s="271">
        <f>'DGSP_chitiet (truKH)'!K695</f>
        <v>0</v>
      </c>
      <c r="P695" s="271">
        <f>'DGSP_chitiet (truKH)'!L695</f>
        <v>0</v>
      </c>
      <c r="Q695" s="306">
        <f>'DGSP_chitiet (truKH)'!M695</f>
        <v>0</v>
      </c>
      <c r="R695" s="271">
        <f>'DGSP_chitiet (truKH)'!N695</f>
        <v>0</v>
      </c>
      <c r="S695" s="271"/>
    </row>
    <row r="696" spans="1:19" s="240" customFormat="1" ht="13.15" customHeight="1">
      <c r="A696" s="1016"/>
      <c r="B696" s="1014" t="s">
        <v>330</v>
      </c>
      <c r="C696" s="1005" t="s">
        <v>49</v>
      </c>
      <c r="D696" s="242">
        <v>1</v>
      </c>
      <c r="E696" s="271">
        <f t="shared" ref="E696:G705" si="222">E673*0.9</f>
        <v>130227.66095625002</v>
      </c>
      <c r="F696" s="271">
        <f t="shared" si="222"/>
        <v>6958.5576923076924</v>
      </c>
      <c r="G696" s="271">
        <f t="shared" si="222"/>
        <v>873.20994230769236</v>
      </c>
      <c r="H696" s="271">
        <f t="shared" ref="H696:H705" si="223">H673</f>
        <v>119143.94782608697</v>
      </c>
      <c r="I696" s="271">
        <f t="shared" ref="I696:J705" si="224">I673*0.9</f>
        <v>2173.2338571428572</v>
      </c>
      <c r="J696" s="271">
        <f t="shared" si="224"/>
        <v>20.23434</v>
      </c>
      <c r="K696" s="271">
        <f t="shared" ref="K696:K705" si="225">SUM(E696:J696)</f>
        <v>259396.84461409526</v>
      </c>
      <c r="L696" s="271">
        <f>K696*0.25</f>
        <v>64849.211153523815</v>
      </c>
      <c r="M696" s="272">
        <f t="shared" ref="M696:M705" si="226">K696+L696</f>
        <v>324246.05576761905</v>
      </c>
      <c r="N696" s="271">
        <f>M696+M701</f>
        <v>371754.8637810318</v>
      </c>
      <c r="O696" s="271">
        <f>'DGSP_chitiet (truKH)'!K696</f>
        <v>257223.6107569524</v>
      </c>
      <c r="P696" s="271">
        <f>'DGSP_chitiet (truKH)'!L696</f>
        <v>64305.902689238101</v>
      </c>
      <c r="Q696" s="306">
        <f>'DGSP_chitiet (truKH)'!M696</f>
        <v>321529.51344619051</v>
      </c>
      <c r="R696" s="271">
        <f>'DGSP_chitiet (truKH)'!N696</f>
        <v>368475.41813488898</v>
      </c>
      <c r="S696" s="271">
        <f t="shared" ref="S696:S705" si="227">S673*0.9</f>
        <v>3698.7447115384612</v>
      </c>
    </row>
    <row r="697" spans="1:19" s="240" customFormat="1" ht="13.15" customHeight="1">
      <c r="A697" s="1017"/>
      <c r="B697" s="1014"/>
      <c r="C697" s="1005"/>
      <c r="D697" s="242">
        <v>2</v>
      </c>
      <c r="E697" s="271">
        <f t="shared" si="222"/>
        <v>155598.22319157308</v>
      </c>
      <c r="F697" s="271">
        <f t="shared" si="222"/>
        <v>8366.6423076923093</v>
      </c>
      <c r="G697" s="271">
        <f t="shared" si="222"/>
        <v>1078.4123846694038</v>
      </c>
      <c r="H697" s="271">
        <f t="shared" si="223"/>
        <v>92783.420224719113</v>
      </c>
      <c r="I697" s="271">
        <f t="shared" si="224"/>
        <v>2713.6517142857147</v>
      </c>
      <c r="J697" s="271">
        <f t="shared" si="224"/>
        <v>25.643519999999999</v>
      </c>
      <c r="K697" s="271">
        <f t="shared" si="225"/>
        <v>260565.99334293962</v>
      </c>
      <c r="L697" s="271">
        <f>K697*0.25</f>
        <v>65141.498335734905</v>
      </c>
      <c r="M697" s="272">
        <f t="shared" si="226"/>
        <v>325707.49167867453</v>
      </c>
      <c r="N697" s="271">
        <f>M697+M702</f>
        <v>373382.25184963789</v>
      </c>
      <c r="O697" s="271">
        <f>'DGSP_chitiet (truKH)'!K697</f>
        <v>257852.3416286539</v>
      </c>
      <c r="P697" s="271">
        <f>'DGSP_chitiet (truKH)'!L697</f>
        <v>64463.085407163475</v>
      </c>
      <c r="Q697" s="306">
        <f>'DGSP_chitiet (truKH)'!M697</f>
        <v>322315.42703581735</v>
      </c>
      <c r="R697" s="271">
        <f>'DGSP_chitiet (truKH)'!N697</f>
        <v>369493.81117812521</v>
      </c>
      <c r="S697" s="271">
        <f t="shared" si="227"/>
        <v>4417.1241573033703</v>
      </c>
    </row>
    <row r="698" spans="1:19" s="240" customFormat="1" ht="13.15" customHeight="1">
      <c r="A698" s="1017"/>
      <c r="B698" s="1014"/>
      <c r="C698" s="1005"/>
      <c r="D698" s="242">
        <v>3</v>
      </c>
      <c r="E698" s="271">
        <f t="shared" si="222"/>
        <v>186870.65864449544</v>
      </c>
      <c r="F698" s="271">
        <f t="shared" si="222"/>
        <v>10020.323076923079</v>
      </c>
      <c r="G698" s="271">
        <f t="shared" si="222"/>
        <v>1426.8262623500354</v>
      </c>
      <c r="H698" s="271">
        <f t="shared" si="223"/>
        <v>76096.480733944962</v>
      </c>
      <c r="I698" s="271">
        <f t="shared" si="224"/>
        <v>3611.913428571429</v>
      </c>
      <c r="J698" s="271">
        <f t="shared" si="224"/>
        <v>34.258140000000004</v>
      </c>
      <c r="K698" s="271">
        <f t="shared" si="225"/>
        <v>278060.46028628497</v>
      </c>
      <c r="L698" s="271">
        <f>K698*0.25</f>
        <v>69515.115071571243</v>
      </c>
      <c r="M698" s="272">
        <f t="shared" si="226"/>
        <v>347575.57535785623</v>
      </c>
      <c r="N698" s="271">
        <f>M698+M703</f>
        <v>396615.99172701064</v>
      </c>
      <c r="O698" s="271">
        <f>'DGSP_chitiet (truKH)'!K698</f>
        <v>274448.54685771355</v>
      </c>
      <c r="P698" s="271">
        <f>'DGSP_chitiet (truKH)'!L698</f>
        <v>68612.136714428387</v>
      </c>
      <c r="Q698" s="306">
        <f>'DGSP_chitiet (truKH)'!M698</f>
        <v>343060.68357214192</v>
      </c>
      <c r="R698" s="271">
        <f>'DGSP_chitiet (truKH)'!N698</f>
        <v>391622.20441585954</v>
      </c>
      <c r="S698" s="271">
        <f t="shared" si="227"/>
        <v>5303.2245942131258</v>
      </c>
    </row>
    <row r="699" spans="1:19" s="240" customFormat="1" ht="13.15" customHeight="1">
      <c r="A699" s="1017"/>
      <c r="B699" s="1014"/>
      <c r="C699" s="1005"/>
      <c r="D699" s="242">
        <v>4</v>
      </c>
      <c r="E699" s="271">
        <f t="shared" si="222"/>
        <v>243685.19380036768</v>
      </c>
      <c r="F699" s="271">
        <f t="shared" si="222"/>
        <v>12034.211538461539</v>
      </c>
      <c r="G699" s="271">
        <f t="shared" si="222"/>
        <v>2072.7399324095022</v>
      </c>
      <c r="H699" s="271">
        <f t="shared" si="223"/>
        <v>239898.42352941178</v>
      </c>
      <c r="I699" s="271">
        <f t="shared" si="224"/>
        <v>4886.885571428571</v>
      </c>
      <c r="J699" s="271">
        <f t="shared" si="224"/>
        <v>45.677520000000008</v>
      </c>
      <c r="K699" s="271">
        <f t="shared" si="225"/>
        <v>502623.13189207908</v>
      </c>
      <c r="L699" s="271">
        <f>K699*0.25</f>
        <v>125655.78297301977</v>
      </c>
      <c r="M699" s="272">
        <f t="shared" si="226"/>
        <v>628278.91486509889</v>
      </c>
      <c r="N699" s="271">
        <f>M699+M704</f>
        <v>691203.29225867102</v>
      </c>
      <c r="O699" s="271">
        <f>'DGSP_chitiet (truKH)'!K699</f>
        <v>497736.24632065051</v>
      </c>
      <c r="P699" s="271">
        <f>'DGSP_chitiet (truKH)'!L699</f>
        <v>124434.06158016263</v>
      </c>
      <c r="Q699" s="306">
        <f>'DGSP_chitiet (truKH)'!M699</f>
        <v>622170.30790081318</v>
      </c>
      <c r="R699" s="271">
        <f>'DGSP_chitiet (truKH)'!N699</f>
        <v>683791.54976109217</v>
      </c>
      <c r="S699" s="271">
        <f t="shared" si="227"/>
        <v>6951.6114536199084</v>
      </c>
    </row>
    <row r="700" spans="1:19" s="240" customFormat="1" ht="13.15" customHeight="1">
      <c r="A700" s="1018"/>
      <c r="B700" s="1014"/>
      <c r="C700" s="1005"/>
      <c r="D700" s="242">
        <v>5</v>
      </c>
      <c r="E700" s="271">
        <f t="shared" si="222"/>
        <v>288295.94334750006</v>
      </c>
      <c r="F700" s="271">
        <f t="shared" si="222"/>
        <v>14441.053846153849</v>
      </c>
      <c r="G700" s="271">
        <f t="shared" si="222"/>
        <v>2619.4074599358974</v>
      </c>
      <c r="H700" s="271">
        <f t="shared" si="223"/>
        <v>181706.26666666666</v>
      </c>
      <c r="I700" s="271">
        <f t="shared" si="224"/>
        <v>6320.4936428571418</v>
      </c>
      <c r="J700" s="271">
        <f t="shared" si="224"/>
        <v>59.901659999999993</v>
      </c>
      <c r="K700" s="271">
        <f t="shared" si="225"/>
        <v>493443.06662311353</v>
      </c>
      <c r="L700" s="271">
        <f>K700*0.25</f>
        <v>123360.76665577838</v>
      </c>
      <c r="M700" s="272">
        <f t="shared" si="226"/>
        <v>616803.83327889186</v>
      </c>
      <c r="N700" s="271">
        <f>M700+M705</f>
        <v>680472.73029226565</v>
      </c>
      <c r="O700" s="271">
        <f>'DGSP_chitiet (truKH)'!K700</f>
        <v>487122.5729802564</v>
      </c>
      <c r="P700" s="271">
        <f>'DGSP_chitiet (truKH)'!L700</f>
        <v>121780.6432450641</v>
      </c>
      <c r="Q700" s="306">
        <f>'DGSP_chitiet (truKH)'!M700</f>
        <v>608903.21622532047</v>
      </c>
      <c r="R700" s="271">
        <f>'DGSP_chitiet (truKH)'!N700</f>
        <v>671157.18246857275</v>
      </c>
      <c r="S700" s="271">
        <f t="shared" si="227"/>
        <v>8213.6936538461523</v>
      </c>
    </row>
    <row r="701" spans="1:19" s="240" customFormat="1">
      <c r="A701" s="1005"/>
      <c r="B701" s="1006" t="s">
        <v>331</v>
      </c>
      <c r="C701" s="1005" t="s">
        <v>49</v>
      </c>
      <c r="D701" s="275" t="s">
        <v>18</v>
      </c>
      <c r="E701" s="271">
        <f t="shared" si="222"/>
        <v>25389.995070000008</v>
      </c>
      <c r="F701" s="271">
        <f t="shared" si="222"/>
        <v>0</v>
      </c>
      <c r="G701" s="271">
        <f t="shared" si="222"/>
        <v>437.94128452040133</v>
      </c>
      <c r="H701" s="271">
        <f t="shared" si="223"/>
        <v>14292.008695652174</v>
      </c>
      <c r="I701" s="271">
        <f t="shared" si="224"/>
        <v>489.48115192546578</v>
      </c>
      <c r="J701" s="271">
        <f t="shared" si="224"/>
        <v>702.58076608695649</v>
      </c>
      <c r="K701" s="271">
        <f t="shared" si="225"/>
        <v>41312.006968185</v>
      </c>
      <c r="L701" s="271">
        <f>K701*0.15</f>
        <v>6196.8010452277495</v>
      </c>
      <c r="M701" s="272">
        <f t="shared" si="226"/>
        <v>47508.808013412752</v>
      </c>
      <c r="N701" s="271"/>
      <c r="O701" s="271">
        <f>'DGSP_chitiet (truKH)'!K701</f>
        <v>40822.525816259535</v>
      </c>
      <c r="P701" s="271">
        <f>'DGSP_chitiet (truKH)'!L701</f>
        <v>6123.3788724389296</v>
      </c>
      <c r="Q701" s="306">
        <f>'DGSP_chitiet (truKH)'!M701</f>
        <v>46945.904688698465</v>
      </c>
      <c r="R701" s="271">
        <f>'DGSP_chitiet (truKH)'!N701</f>
        <v>0</v>
      </c>
      <c r="S701" s="271">
        <f t="shared" si="227"/>
        <v>705.3623076923077</v>
      </c>
    </row>
    <row r="702" spans="1:19" s="240" customFormat="1">
      <c r="A702" s="1005"/>
      <c r="B702" s="1014"/>
      <c r="C702" s="1005"/>
      <c r="D702" s="242">
        <v>2</v>
      </c>
      <c r="E702" s="271">
        <f t="shared" si="222"/>
        <v>25713.966815393265</v>
      </c>
      <c r="F702" s="271">
        <f t="shared" si="222"/>
        <v>0</v>
      </c>
      <c r="G702" s="271">
        <f t="shared" si="222"/>
        <v>450.79502883146063</v>
      </c>
      <c r="H702" s="271">
        <f t="shared" si="223"/>
        <v>14168.186516853933</v>
      </c>
      <c r="I702" s="271">
        <f t="shared" si="224"/>
        <v>431.63132926565009</v>
      </c>
      <c r="J702" s="271">
        <f t="shared" si="224"/>
        <v>691.73350179775275</v>
      </c>
      <c r="K702" s="271">
        <f t="shared" si="225"/>
        <v>41456.313192142057</v>
      </c>
      <c r="L702" s="271">
        <f>K702*0.15</f>
        <v>6218.4469788213082</v>
      </c>
      <c r="M702" s="272">
        <f t="shared" si="226"/>
        <v>47674.760170963367</v>
      </c>
      <c r="N702" s="271"/>
      <c r="O702" s="271">
        <f>'DGSP_chitiet (truKH)'!K702</f>
        <v>41024.681862876409</v>
      </c>
      <c r="P702" s="271">
        <f>'DGSP_chitiet (truKH)'!L702</f>
        <v>6153.7022794314607</v>
      </c>
      <c r="Q702" s="306">
        <f>'DGSP_chitiet (truKH)'!M702</f>
        <v>47178.38414230787</v>
      </c>
      <c r="R702" s="271">
        <f>'DGSP_chitiet (truKH)'!N702</f>
        <v>0</v>
      </c>
      <c r="S702" s="271">
        <f t="shared" si="227"/>
        <v>711.10493517718237</v>
      </c>
    </row>
    <row r="703" spans="1:19" s="240" customFormat="1">
      <c r="A703" s="1005"/>
      <c r="B703" s="1014"/>
      <c r="C703" s="1005"/>
      <c r="D703" s="242">
        <v>3</v>
      </c>
      <c r="E703" s="271">
        <f t="shared" si="222"/>
        <v>26950.070642201841</v>
      </c>
      <c r="F703" s="271">
        <f t="shared" si="222"/>
        <v>0</v>
      </c>
      <c r="G703" s="271">
        <f t="shared" si="222"/>
        <v>483.48154198023997</v>
      </c>
      <c r="H703" s="271">
        <f t="shared" si="223"/>
        <v>14089.80366972477</v>
      </c>
      <c r="I703" s="271">
        <f t="shared" si="224"/>
        <v>416.43089168414161</v>
      </c>
      <c r="J703" s="271">
        <f t="shared" si="224"/>
        <v>704.05357541284411</v>
      </c>
      <c r="K703" s="271">
        <f t="shared" si="225"/>
        <v>42643.84032100383</v>
      </c>
      <c r="L703" s="271">
        <f>K703*0.15</f>
        <v>6396.576048150574</v>
      </c>
      <c r="M703" s="272">
        <f t="shared" si="226"/>
        <v>49040.416369154402</v>
      </c>
      <c r="N703" s="271"/>
      <c r="O703" s="271">
        <f>'DGSP_chitiet (truKH)'!K703</f>
        <v>42227.40942931969</v>
      </c>
      <c r="P703" s="271">
        <f>'DGSP_chitiet (truKH)'!L703</f>
        <v>6334.111414397953</v>
      </c>
      <c r="Q703" s="306">
        <f>'DGSP_chitiet (truKH)'!M703</f>
        <v>48561.520843717641</v>
      </c>
      <c r="R703" s="271">
        <f>'DGSP_chitiet (truKH)'!N703</f>
        <v>0</v>
      </c>
      <c r="S703" s="271">
        <f t="shared" si="227"/>
        <v>740.46690190543404</v>
      </c>
    </row>
    <row r="704" spans="1:19" s="240" customFormat="1">
      <c r="A704" s="1005"/>
      <c r="B704" s="1014"/>
      <c r="C704" s="1005"/>
      <c r="D704" s="242">
        <v>4</v>
      </c>
      <c r="E704" s="271">
        <f t="shared" si="222"/>
        <v>37093.543507058836</v>
      </c>
      <c r="F704" s="271">
        <f t="shared" si="222"/>
        <v>0</v>
      </c>
      <c r="G704" s="271">
        <f t="shared" si="222"/>
        <v>671.8350341556561</v>
      </c>
      <c r="H704" s="271">
        <f t="shared" si="223"/>
        <v>14859.223529411765</v>
      </c>
      <c r="I704" s="271">
        <f t="shared" si="224"/>
        <v>1133.1613332983191</v>
      </c>
      <c r="J704" s="271">
        <f t="shared" si="224"/>
        <v>959.08650352941174</v>
      </c>
      <c r="K704" s="271">
        <f t="shared" si="225"/>
        <v>54716.849907453987</v>
      </c>
      <c r="L704" s="271">
        <f>K704*0.15</f>
        <v>8207.5274861180969</v>
      </c>
      <c r="M704" s="272">
        <f t="shared" si="226"/>
        <v>62924.377393572082</v>
      </c>
      <c r="N704" s="271"/>
      <c r="O704" s="271">
        <f>'DGSP_chitiet (truKH)'!K704</f>
        <v>53583.688574155669</v>
      </c>
      <c r="P704" s="271">
        <f>'DGSP_chitiet (truKH)'!L704</f>
        <v>8037.5532861233496</v>
      </c>
      <c r="Q704" s="306">
        <f>'DGSP_chitiet (truKH)'!M704</f>
        <v>61621.24186027902</v>
      </c>
      <c r="R704" s="271">
        <f>'DGSP_chitiet (truKH)'!N704</f>
        <v>0</v>
      </c>
      <c r="S704" s="271">
        <f t="shared" si="227"/>
        <v>1019.8075113122172</v>
      </c>
    </row>
    <row r="705" spans="1:19" s="240" customFormat="1">
      <c r="A705" s="1005"/>
      <c r="B705" s="1014"/>
      <c r="C705" s="1005"/>
      <c r="D705" s="242">
        <v>5</v>
      </c>
      <c r="E705" s="271">
        <f t="shared" si="222"/>
        <v>37843.194026000012</v>
      </c>
      <c r="F705" s="271">
        <f t="shared" si="222"/>
        <v>0</v>
      </c>
      <c r="G705" s="271">
        <f t="shared" si="222"/>
        <v>703.35452378461537</v>
      </c>
      <c r="H705" s="271">
        <f t="shared" si="223"/>
        <v>14585.880000000001</v>
      </c>
      <c r="I705" s="271">
        <f t="shared" si="224"/>
        <v>1230.3745827142855</v>
      </c>
      <c r="J705" s="271">
        <f t="shared" si="224"/>
        <v>1001.45514</v>
      </c>
      <c r="K705" s="271">
        <f t="shared" si="225"/>
        <v>55364.258272498912</v>
      </c>
      <c r="L705" s="271">
        <f>K705*0.15</f>
        <v>8304.638740874836</v>
      </c>
      <c r="M705" s="272">
        <f t="shared" si="226"/>
        <v>63668.897013373746</v>
      </c>
      <c r="N705" s="271"/>
      <c r="O705" s="271">
        <f>'DGSP_chitiet (truKH)'!K705</f>
        <v>54133.883689784627</v>
      </c>
      <c r="P705" s="271">
        <f>'DGSP_chitiet (truKH)'!L705</f>
        <v>8120.0825534676933</v>
      </c>
      <c r="Q705" s="306">
        <f>'DGSP_chitiet (truKH)'!M705</f>
        <v>62253.966243252318</v>
      </c>
      <c r="R705" s="271">
        <f>'DGSP_chitiet (truKH)'!N705</f>
        <v>0</v>
      </c>
      <c r="S705" s="271">
        <f t="shared" si="227"/>
        <v>1031.9675384615384</v>
      </c>
    </row>
    <row r="706" spans="1:19" s="240" customFormat="1" ht="13.5">
      <c r="A706" s="242" t="s">
        <v>504</v>
      </c>
      <c r="B706" s="277" t="s">
        <v>424</v>
      </c>
      <c r="C706" s="242"/>
      <c r="D706" s="242"/>
      <c r="E706" s="271"/>
      <c r="F706" s="271"/>
      <c r="G706" s="271"/>
      <c r="H706" s="271"/>
      <c r="I706" s="271"/>
      <c r="J706" s="271"/>
      <c r="K706" s="271"/>
      <c r="L706" s="271"/>
      <c r="M706" s="272"/>
      <c r="N706" s="271"/>
      <c r="O706" s="271">
        <f>'DGSP_chitiet (truKH)'!K706</f>
        <v>0</v>
      </c>
      <c r="P706" s="271">
        <f>'DGSP_chitiet (truKH)'!L706</f>
        <v>0</v>
      </c>
      <c r="Q706" s="306">
        <f>'DGSP_chitiet (truKH)'!M706</f>
        <v>0</v>
      </c>
      <c r="R706" s="271">
        <f>'DGSP_chitiet (truKH)'!N706</f>
        <v>0</v>
      </c>
      <c r="S706" s="271"/>
    </row>
    <row r="707" spans="1:19" s="240" customFormat="1" ht="13.15" customHeight="1">
      <c r="A707" s="1016"/>
      <c r="B707" s="1014" t="s">
        <v>330</v>
      </c>
      <c r="C707" s="1005" t="s">
        <v>49</v>
      </c>
      <c r="D707" s="242">
        <v>1</v>
      </c>
      <c r="E707" s="271">
        <f t="shared" ref="E707:G716" si="228">E673*0.8</f>
        <v>115757.92085000002</v>
      </c>
      <c r="F707" s="271">
        <f t="shared" si="228"/>
        <v>6185.3846153846162</v>
      </c>
      <c r="G707" s="271">
        <f t="shared" si="228"/>
        <v>776.18661538461538</v>
      </c>
      <c r="H707" s="271">
        <f t="shared" ref="H707:H716" si="229">H673</f>
        <v>119143.94782608697</v>
      </c>
      <c r="I707" s="271">
        <f t="shared" ref="I707:J716" si="230">I673*0.8</f>
        <v>1931.7634285714284</v>
      </c>
      <c r="J707" s="271">
        <f t="shared" si="230"/>
        <v>17.986079999999998</v>
      </c>
      <c r="K707" s="271">
        <f t="shared" ref="K707:K716" si="231">SUM(E707:J707)</f>
        <v>243813.18941542765</v>
      </c>
      <c r="L707" s="271">
        <f>K707*0.25</f>
        <v>60953.297353856913</v>
      </c>
      <c r="M707" s="272">
        <f t="shared" ref="M707:M716" si="232">K707+L707</f>
        <v>304766.48676928459</v>
      </c>
      <c r="N707" s="271">
        <f>M707+M712</f>
        <v>348822.73944787367</v>
      </c>
      <c r="O707" s="271">
        <f>'DGSP_chitiet (truKH)'!K707</f>
        <v>241881.42598685622</v>
      </c>
      <c r="P707" s="271">
        <f>'DGSP_chitiet (truKH)'!L707</f>
        <v>60470.356496714056</v>
      </c>
      <c r="Q707" s="306">
        <f>'DGSP_chitiet (truKH)'!M707</f>
        <v>302351.78248357028</v>
      </c>
      <c r="R707" s="271">
        <f>'DGSP_chitiet (truKH)'!N707</f>
        <v>345907.67665130226</v>
      </c>
      <c r="S707" s="271">
        <f t="shared" ref="S707:S716" si="233">S673*0.8</f>
        <v>3287.7730769230766</v>
      </c>
    </row>
    <row r="708" spans="1:19" s="240" customFormat="1" ht="13.15" customHeight="1">
      <c r="A708" s="1017"/>
      <c r="B708" s="1014"/>
      <c r="C708" s="1005"/>
      <c r="D708" s="242">
        <v>2</v>
      </c>
      <c r="E708" s="271">
        <f t="shared" si="228"/>
        <v>138309.53172584274</v>
      </c>
      <c r="F708" s="271">
        <f t="shared" si="228"/>
        <v>7437.0153846153862</v>
      </c>
      <c r="G708" s="271">
        <f t="shared" si="228"/>
        <v>958.58878637280327</v>
      </c>
      <c r="H708" s="271">
        <f t="shared" si="229"/>
        <v>92783.420224719113</v>
      </c>
      <c r="I708" s="271">
        <f t="shared" si="230"/>
        <v>2412.1348571428575</v>
      </c>
      <c r="J708" s="271">
        <f t="shared" si="230"/>
        <v>22.794240000000002</v>
      </c>
      <c r="K708" s="271">
        <f t="shared" si="231"/>
        <v>241923.48521869289</v>
      </c>
      <c r="L708" s="271">
        <f>K708*0.25</f>
        <v>60480.871304673223</v>
      </c>
      <c r="M708" s="272">
        <f t="shared" si="232"/>
        <v>302404.35652336612</v>
      </c>
      <c r="N708" s="271">
        <f>M708+M713</f>
        <v>346592.30050804268</v>
      </c>
      <c r="O708" s="271">
        <f>'DGSP_chitiet (truKH)'!K708</f>
        <v>239511.35036155002</v>
      </c>
      <c r="P708" s="271">
        <f>'DGSP_chitiet (truKH)'!L708</f>
        <v>59877.837590387506</v>
      </c>
      <c r="Q708" s="306">
        <f>'DGSP_chitiet (truKH)'!M708</f>
        <v>299389.18795193755</v>
      </c>
      <c r="R708" s="271">
        <f>'DGSP_chitiet (truKH)'!N708</f>
        <v>343135.90880003141</v>
      </c>
      <c r="S708" s="271">
        <f t="shared" si="233"/>
        <v>3926.3325842696631</v>
      </c>
    </row>
    <row r="709" spans="1:19" s="240" customFormat="1" ht="13.15" customHeight="1">
      <c r="A709" s="1017"/>
      <c r="B709" s="1014"/>
      <c r="C709" s="1005"/>
      <c r="D709" s="242">
        <v>3</v>
      </c>
      <c r="E709" s="271">
        <f t="shared" si="228"/>
        <v>166107.25212844042</v>
      </c>
      <c r="F709" s="271">
        <f t="shared" si="228"/>
        <v>8906.9538461538486</v>
      </c>
      <c r="G709" s="271">
        <f t="shared" si="228"/>
        <v>1268.2900109778093</v>
      </c>
      <c r="H709" s="271">
        <f t="shared" si="229"/>
        <v>76096.480733944962</v>
      </c>
      <c r="I709" s="271">
        <f t="shared" si="230"/>
        <v>3210.5897142857148</v>
      </c>
      <c r="J709" s="271">
        <f t="shared" si="230"/>
        <v>30.451680000000007</v>
      </c>
      <c r="K709" s="271">
        <f t="shared" si="231"/>
        <v>255620.01811380274</v>
      </c>
      <c r="L709" s="271">
        <f>K709*0.25</f>
        <v>63905.004528450685</v>
      </c>
      <c r="M709" s="272">
        <f t="shared" si="232"/>
        <v>319525.02264225343</v>
      </c>
      <c r="N709" s="271">
        <f>M709+M714</f>
        <v>364916.86766152218</v>
      </c>
      <c r="O709" s="271">
        <f>'DGSP_chitiet (truKH)'!K709</f>
        <v>252409.42839951703</v>
      </c>
      <c r="P709" s="271">
        <f>'DGSP_chitiet (truKH)'!L709</f>
        <v>63102.357099879257</v>
      </c>
      <c r="Q709" s="306">
        <f>'DGSP_chitiet (truKH)'!M709</f>
        <v>315511.78549939627</v>
      </c>
      <c r="R709" s="271">
        <f>'DGSP_chitiet (truKH)'!N709</f>
        <v>360477.94560716569</v>
      </c>
      <c r="S709" s="271">
        <f t="shared" si="233"/>
        <v>4713.9774170783339</v>
      </c>
    </row>
    <row r="710" spans="1:19" s="240" customFormat="1" ht="13.15" customHeight="1">
      <c r="A710" s="1017"/>
      <c r="B710" s="1014"/>
      <c r="C710" s="1005"/>
      <c r="D710" s="242">
        <v>4</v>
      </c>
      <c r="E710" s="271">
        <f t="shared" si="228"/>
        <v>216609.0611558824</v>
      </c>
      <c r="F710" s="271">
        <f t="shared" si="228"/>
        <v>10697.076923076924</v>
      </c>
      <c r="G710" s="271">
        <f t="shared" si="228"/>
        <v>1842.4354954751134</v>
      </c>
      <c r="H710" s="271">
        <f t="shared" si="229"/>
        <v>239898.42352941178</v>
      </c>
      <c r="I710" s="271">
        <f t="shared" si="230"/>
        <v>4343.8982857142855</v>
      </c>
      <c r="J710" s="271">
        <f t="shared" si="230"/>
        <v>40.602240000000009</v>
      </c>
      <c r="K710" s="271">
        <f t="shared" si="231"/>
        <v>473431.49762956047</v>
      </c>
      <c r="L710" s="271">
        <f>K710*0.25</f>
        <v>118357.87440739012</v>
      </c>
      <c r="M710" s="272">
        <f t="shared" si="232"/>
        <v>591789.37203695055</v>
      </c>
      <c r="N710" s="271">
        <f>M710+M715</f>
        <v>649620.83050443942</v>
      </c>
      <c r="O710" s="271">
        <f>'DGSP_chitiet (truKH)'!K710</f>
        <v>469087.5993438462</v>
      </c>
      <c r="P710" s="271">
        <f>'DGSP_chitiet (truKH)'!L710</f>
        <v>117271.89983596155</v>
      </c>
      <c r="Q710" s="306">
        <f>'DGSP_chitiet (truKH)'!M710</f>
        <v>586359.49917980772</v>
      </c>
      <c r="R710" s="271">
        <f>'DGSP_chitiet (truKH)'!N710</f>
        <v>643032.61495103617</v>
      </c>
      <c r="S710" s="271">
        <f t="shared" si="233"/>
        <v>6179.2101809954738</v>
      </c>
    </row>
    <row r="711" spans="1:19" s="240" customFormat="1" ht="13.15" customHeight="1">
      <c r="A711" s="1018"/>
      <c r="B711" s="1014"/>
      <c r="C711" s="1005"/>
      <c r="D711" s="242">
        <v>5</v>
      </c>
      <c r="E711" s="271">
        <f t="shared" si="228"/>
        <v>256263.06075333338</v>
      </c>
      <c r="F711" s="271">
        <f t="shared" si="228"/>
        <v>12836.49230769231</v>
      </c>
      <c r="G711" s="271">
        <f t="shared" si="228"/>
        <v>2328.3621866096869</v>
      </c>
      <c r="H711" s="271">
        <f t="shared" si="229"/>
        <v>181706.26666666666</v>
      </c>
      <c r="I711" s="271">
        <f t="shared" si="230"/>
        <v>5618.2165714285711</v>
      </c>
      <c r="J711" s="271">
        <f t="shared" si="230"/>
        <v>53.245919999999991</v>
      </c>
      <c r="K711" s="271">
        <f t="shared" si="231"/>
        <v>458805.64440573065</v>
      </c>
      <c r="L711" s="271">
        <f>K711*0.25</f>
        <v>114701.41110143266</v>
      </c>
      <c r="M711" s="272">
        <f t="shared" si="232"/>
        <v>573507.05550716328</v>
      </c>
      <c r="N711" s="271">
        <f>M711+M716</f>
        <v>631965.38196349551</v>
      </c>
      <c r="O711" s="271">
        <f>'DGSP_chitiet (truKH)'!K711</f>
        <v>453187.42783430207</v>
      </c>
      <c r="P711" s="271">
        <f>'DGSP_chitiet (truKH)'!L711</f>
        <v>113296.85695857552</v>
      </c>
      <c r="Q711" s="306">
        <f>'DGSP_chitiet (truKH)'!M711</f>
        <v>566484.28479287762</v>
      </c>
      <c r="R711" s="271">
        <f>'DGSP_chitiet (truKH)'!N711</f>
        <v>623684.89500910195</v>
      </c>
      <c r="S711" s="271">
        <f t="shared" si="233"/>
        <v>7301.0610256410255</v>
      </c>
    </row>
    <row r="712" spans="1:19" s="240" customFormat="1" ht="13.15" customHeight="1">
      <c r="A712" s="1016"/>
      <c r="B712" s="1014" t="s">
        <v>331</v>
      </c>
      <c r="C712" s="1005" t="s">
        <v>49</v>
      </c>
      <c r="D712" s="242" t="s">
        <v>18</v>
      </c>
      <c r="E712" s="271">
        <f t="shared" si="228"/>
        <v>22568.884506666673</v>
      </c>
      <c r="F712" s="271">
        <f t="shared" si="228"/>
        <v>0</v>
      </c>
      <c r="G712" s="271">
        <f t="shared" si="228"/>
        <v>389.28114179591233</v>
      </c>
      <c r="H712" s="271">
        <f t="shared" si="229"/>
        <v>14292.008695652174</v>
      </c>
      <c r="I712" s="271">
        <f t="shared" si="230"/>
        <v>435.09435726708074</v>
      </c>
      <c r="J712" s="271">
        <f t="shared" si="230"/>
        <v>624.51623652173919</v>
      </c>
      <c r="K712" s="271">
        <f t="shared" si="231"/>
        <v>38309.784937903576</v>
      </c>
      <c r="L712" s="271">
        <f>K712*0.15</f>
        <v>5746.4677406855362</v>
      </c>
      <c r="M712" s="272">
        <f t="shared" si="232"/>
        <v>44056.25267858911</v>
      </c>
      <c r="N712" s="271"/>
      <c r="O712" s="271">
        <f>'DGSP_chitiet (truKH)'!K712</f>
        <v>37874.690580636496</v>
      </c>
      <c r="P712" s="271">
        <f>'DGSP_chitiet (truKH)'!L712</f>
        <v>5681.2035870954742</v>
      </c>
      <c r="Q712" s="306">
        <f>'DGSP_chitiet (truKH)'!M712</f>
        <v>43555.894167731967</v>
      </c>
      <c r="R712" s="271">
        <f>'DGSP_chitiet (truKH)'!N712</f>
        <v>0</v>
      </c>
      <c r="S712" s="271">
        <f t="shared" si="233"/>
        <v>626.98871794871798</v>
      </c>
    </row>
    <row r="713" spans="1:19" s="240" customFormat="1" ht="13.15" customHeight="1">
      <c r="A713" s="1017"/>
      <c r="B713" s="1014"/>
      <c r="C713" s="1005"/>
      <c r="D713" s="242">
        <v>2</v>
      </c>
      <c r="E713" s="271">
        <f t="shared" si="228"/>
        <v>22856.859391460679</v>
      </c>
      <c r="F713" s="271">
        <f t="shared" si="228"/>
        <v>0</v>
      </c>
      <c r="G713" s="271">
        <f t="shared" si="228"/>
        <v>400.70669229463169</v>
      </c>
      <c r="H713" s="271">
        <f t="shared" si="229"/>
        <v>14168.186516853933</v>
      </c>
      <c r="I713" s="271">
        <f t="shared" si="230"/>
        <v>383.67229268057787</v>
      </c>
      <c r="J713" s="271">
        <f t="shared" si="230"/>
        <v>614.87422382022476</v>
      </c>
      <c r="K713" s="271">
        <f t="shared" si="231"/>
        <v>38424.299117110051</v>
      </c>
      <c r="L713" s="271">
        <f>K713*0.15</f>
        <v>5763.6448675665079</v>
      </c>
      <c r="M713" s="272">
        <f t="shared" si="232"/>
        <v>44187.94398467656</v>
      </c>
      <c r="N713" s="271"/>
      <c r="O713" s="271">
        <f>'DGSP_chitiet (truKH)'!K713</f>
        <v>38040.62682442947</v>
      </c>
      <c r="P713" s="271">
        <f>'DGSP_chitiet (truKH)'!L713</f>
        <v>5706.0940236644201</v>
      </c>
      <c r="Q713" s="306">
        <f>'DGSP_chitiet (truKH)'!M713</f>
        <v>43746.720848093886</v>
      </c>
      <c r="R713" s="271">
        <f>'DGSP_chitiet (truKH)'!N713</f>
        <v>0</v>
      </c>
      <c r="S713" s="271">
        <f t="shared" si="233"/>
        <v>632.09327571305096</v>
      </c>
    </row>
    <row r="714" spans="1:19" s="240" customFormat="1" ht="13.15" customHeight="1">
      <c r="A714" s="1017"/>
      <c r="B714" s="1014"/>
      <c r="C714" s="1005"/>
      <c r="D714" s="242">
        <v>3</v>
      </c>
      <c r="E714" s="271">
        <f t="shared" si="228"/>
        <v>23955.618348623859</v>
      </c>
      <c r="F714" s="271">
        <f t="shared" si="228"/>
        <v>0</v>
      </c>
      <c r="G714" s="271">
        <f t="shared" si="228"/>
        <v>429.76137064910222</v>
      </c>
      <c r="H714" s="271">
        <f t="shared" si="229"/>
        <v>14089.80366972477</v>
      </c>
      <c r="I714" s="271">
        <f t="shared" si="230"/>
        <v>370.16079260812586</v>
      </c>
      <c r="J714" s="271">
        <f t="shared" si="230"/>
        <v>625.82540036697264</v>
      </c>
      <c r="K714" s="271">
        <f t="shared" si="231"/>
        <v>39471.169581972827</v>
      </c>
      <c r="L714" s="271">
        <f>K714*0.15</f>
        <v>5920.675437295924</v>
      </c>
      <c r="M714" s="272">
        <f t="shared" si="232"/>
        <v>45391.845019268752</v>
      </c>
      <c r="N714" s="271"/>
      <c r="O714" s="271">
        <f>'DGSP_chitiet (truKH)'!K714</f>
        <v>39101.0087893647</v>
      </c>
      <c r="P714" s="271">
        <f>'DGSP_chitiet (truKH)'!L714</f>
        <v>5865.1513184047044</v>
      </c>
      <c r="Q714" s="306">
        <f>'DGSP_chitiet (truKH)'!M714</f>
        <v>44966.160107769407</v>
      </c>
      <c r="R714" s="271">
        <f>'DGSP_chitiet (truKH)'!N714</f>
        <v>0</v>
      </c>
      <c r="S714" s="271">
        <f t="shared" si="233"/>
        <v>658.19280169371916</v>
      </c>
    </row>
    <row r="715" spans="1:19" s="240" customFormat="1" ht="13.15" customHeight="1">
      <c r="A715" s="1017"/>
      <c r="B715" s="1014"/>
      <c r="C715" s="1005"/>
      <c r="D715" s="242">
        <v>4</v>
      </c>
      <c r="E715" s="271">
        <f t="shared" si="228"/>
        <v>32972.038672941184</v>
      </c>
      <c r="F715" s="271">
        <f t="shared" si="228"/>
        <v>0</v>
      </c>
      <c r="G715" s="271">
        <f t="shared" si="228"/>
        <v>597.18669702724981</v>
      </c>
      <c r="H715" s="271">
        <f t="shared" si="229"/>
        <v>14859.223529411765</v>
      </c>
      <c r="I715" s="271">
        <f t="shared" si="230"/>
        <v>1007.2545184873948</v>
      </c>
      <c r="J715" s="271">
        <f t="shared" si="230"/>
        <v>852.52133647058827</v>
      </c>
      <c r="K715" s="271">
        <f t="shared" si="231"/>
        <v>50288.224754338182</v>
      </c>
      <c r="L715" s="271">
        <f>K715*0.15</f>
        <v>7543.2337131507265</v>
      </c>
      <c r="M715" s="272">
        <f t="shared" si="232"/>
        <v>57831.458467488905</v>
      </c>
      <c r="N715" s="271"/>
      <c r="O715" s="271">
        <f>'DGSP_chitiet (truKH)'!K715</f>
        <v>49280.970235850786</v>
      </c>
      <c r="P715" s="271">
        <f>'DGSP_chitiet (truKH)'!L715</f>
        <v>7392.1455353776173</v>
      </c>
      <c r="Q715" s="306">
        <f>'DGSP_chitiet (truKH)'!M715</f>
        <v>56673.115771228404</v>
      </c>
      <c r="R715" s="271">
        <f>'DGSP_chitiet (truKH)'!N715</f>
        <v>0</v>
      </c>
      <c r="S715" s="271">
        <f t="shared" si="233"/>
        <v>906.49556561085979</v>
      </c>
    </row>
    <row r="716" spans="1:19" s="240" customFormat="1" ht="13.15" customHeight="1">
      <c r="A716" s="1018"/>
      <c r="B716" s="1014"/>
      <c r="C716" s="1005"/>
      <c r="D716" s="242">
        <v>5</v>
      </c>
      <c r="E716" s="271">
        <f t="shared" si="228"/>
        <v>33638.394689777786</v>
      </c>
      <c r="F716" s="271">
        <f t="shared" si="228"/>
        <v>0</v>
      </c>
      <c r="G716" s="271">
        <f t="shared" si="228"/>
        <v>625.20402114188028</v>
      </c>
      <c r="H716" s="271">
        <f t="shared" si="229"/>
        <v>14585.880000000001</v>
      </c>
      <c r="I716" s="271">
        <f t="shared" si="230"/>
        <v>1093.6662957460314</v>
      </c>
      <c r="J716" s="271">
        <f t="shared" si="230"/>
        <v>890.18234666666672</v>
      </c>
      <c r="K716" s="271">
        <f t="shared" si="231"/>
        <v>50833.327353332359</v>
      </c>
      <c r="L716" s="271">
        <f>K716*0.15</f>
        <v>7624.9991029998537</v>
      </c>
      <c r="M716" s="272">
        <f t="shared" si="232"/>
        <v>58458.326456332215</v>
      </c>
      <c r="N716" s="271"/>
      <c r="O716" s="271">
        <f>'DGSP_chitiet (truKH)'!K716</f>
        <v>49739.661057586331</v>
      </c>
      <c r="P716" s="271">
        <f>'DGSP_chitiet (truKH)'!L716</f>
        <v>7460.949158637949</v>
      </c>
      <c r="Q716" s="306">
        <f>'DGSP_chitiet (truKH)'!M716</f>
        <v>57200.610216224282</v>
      </c>
      <c r="R716" s="271">
        <f>'DGSP_chitiet (truKH)'!N716</f>
        <v>0</v>
      </c>
      <c r="S716" s="271">
        <f t="shared" si="233"/>
        <v>917.30447863247866</v>
      </c>
    </row>
    <row r="717" spans="1:19" s="232" customFormat="1" ht="12.75" customHeight="1">
      <c r="A717" s="242" t="s">
        <v>492</v>
      </c>
      <c r="B717" s="277" t="s">
        <v>491</v>
      </c>
      <c r="C717" s="242"/>
      <c r="D717" s="242"/>
      <c r="E717" s="271"/>
      <c r="F717" s="271"/>
      <c r="G717" s="271"/>
      <c r="H717" s="271"/>
      <c r="I717" s="271"/>
      <c r="J717" s="271"/>
      <c r="K717" s="271"/>
      <c r="L717" s="271"/>
      <c r="M717" s="272"/>
      <c r="N717" s="271"/>
      <c r="O717" s="271">
        <f>'DGSP_chitiet (truKH)'!K717</f>
        <v>0</v>
      </c>
      <c r="P717" s="271">
        <f>'DGSP_chitiet (truKH)'!L717</f>
        <v>0</v>
      </c>
      <c r="Q717" s="306">
        <f>'DGSP_chitiet (truKH)'!M717</f>
        <v>0</v>
      </c>
      <c r="R717" s="271">
        <f>'DGSP_chitiet (truKH)'!N717</f>
        <v>0</v>
      </c>
      <c r="S717" s="271"/>
    </row>
    <row r="718" spans="1:19" s="240" customFormat="1" ht="13.15" customHeight="1">
      <c r="A718" s="276"/>
      <c r="B718" s="1014" t="s">
        <v>192</v>
      </c>
      <c r="C718" s="1005" t="s">
        <v>49</v>
      </c>
      <c r="D718" s="242" t="s">
        <v>18</v>
      </c>
      <c r="E718" s="271">
        <f>E$750/100+(E$752+E$753)/$C678</f>
        <v>10900.785133333336</v>
      </c>
      <c r="F718" s="271"/>
      <c r="G718" s="271">
        <f t="shared" ref="G718:J722" si="234">G673</f>
        <v>970.23326923076922</v>
      </c>
      <c r="H718" s="271">
        <f t="shared" si="234"/>
        <v>119143.94782608697</v>
      </c>
      <c r="I718" s="271">
        <f t="shared" si="234"/>
        <v>2414.7042857142856</v>
      </c>
      <c r="J718" s="271">
        <f t="shared" si="234"/>
        <v>22.482599999999998</v>
      </c>
      <c r="K718" s="271">
        <f>SUM(E718:J718)</f>
        <v>133452.15311436536</v>
      </c>
      <c r="L718" s="271">
        <f>K718*0.15</f>
        <v>20017.822967154803</v>
      </c>
      <c r="M718" s="272">
        <f>K718+L718</f>
        <v>153469.97608152014</v>
      </c>
      <c r="N718" s="271">
        <f>M718</f>
        <v>153469.97608152014</v>
      </c>
      <c r="O718" s="271">
        <f>'DGSP_chitiet (truKH)'!K718</f>
        <v>131037.44882865108</v>
      </c>
      <c r="P718" s="271">
        <f>'DGSP_chitiet (truKH)'!L718</f>
        <v>19655.617324297662</v>
      </c>
      <c r="Q718" s="306">
        <f>'DGSP_chitiet (truKH)'!M718</f>
        <v>150693.06615294874</v>
      </c>
      <c r="R718" s="271">
        <f>'DGSP_chitiet (truKH)'!N718</f>
        <v>150693.06615294874</v>
      </c>
      <c r="S718" s="271">
        <f>S$750/100+(S$752+S$753)/$C678</f>
        <v>308.62051282051283</v>
      </c>
    </row>
    <row r="719" spans="1:19" s="240" customFormat="1" ht="13.15" customHeight="1">
      <c r="A719" s="276"/>
      <c r="B719" s="1014"/>
      <c r="C719" s="1005"/>
      <c r="D719" s="242" t="s">
        <v>20</v>
      </c>
      <c r="E719" s="271">
        <f>E$750/100+(E$752+E$753)/$C679</f>
        <v>10768.252519101126</v>
      </c>
      <c r="F719" s="271"/>
      <c r="G719" s="271">
        <f t="shared" si="234"/>
        <v>1198.235982966004</v>
      </c>
      <c r="H719" s="271">
        <f t="shared" si="234"/>
        <v>92783.420224719113</v>
      </c>
      <c r="I719" s="271">
        <f t="shared" si="234"/>
        <v>3015.1685714285718</v>
      </c>
      <c r="J719" s="271">
        <f t="shared" si="234"/>
        <v>28.492799999999999</v>
      </c>
      <c r="K719" s="271">
        <f>SUM(E719:J719)</f>
        <v>107793.57009821483</v>
      </c>
      <c r="L719" s="271">
        <f>K719*0.15</f>
        <v>16169.035514732223</v>
      </c>
      <c r="M719" s="272">
        <f>K719+L719</f>
        <v>123962.60561294705</v>
      </c>
      <c r="N719" s="271">
        <f>M719</f>
        <v>123962.60561294705</v>
      </c>
      <c r="O719" s="271">
        <f>'DGSP_chitiet (truKH)'!K719</f>
        <v>104778.40152678626</v>
      </c>
      <c r="P719" s="271">
        <f>'DGSP_chitiet (truKH)'!L719</f>
        <v>15716.760229017938</v>
      </c>
      <c r="Q719" s="306">
        <f>'DGSP_chitiet (truKH)'!M719</f>
        <v>120495.16175580419</v>
      </c>
      <c r="R719" s="271">
        <f>'DGSP_chitiet (truKH)'!N719</f>
        <v>120495.16175580419</v>
      </c>
      <c r="S719" s="271">
        <f>S$750/100+(S$752+S$753)/$C679</f>
        <v>304.86828003457214</v>
      </c>
    </row>
    <row r="720" spans="1:19" s="240" customFormat="1" ht="13.15" customHeight="1">
      <c r="A720" s="276"/>
      <c r="B720" s="1014"/>
      <c r="C720" s="1005"/>
      <c r="D720" s="242" t="s">
        <v>35</v>
      </c>
      <c r="E720" s="271">
        <f>E$750/100+(E$752+E$753)/$C680</f>
        <v>10684.355726605507</v>
      </c>
      <c r="F720" s="271"/>
      <c r="G720" s="271">
        <f t="shared" si="234"/>
        <v>1585.3625137222616</v>
      </c>
      <c r="H720" s="271">
        <f t="shared" si="234"/>
        <v>76096.480733944962</v>
      </c>
      <c r="I720" s="271">
        <f t="shared" si="234"/>
        <v>4013.2371428571432</v>
      </c>
      <c r="J720" s="271">
        <f t="shared" si="234"/>
        <v>38.064600000000006</v>
      </c>
      <c r="K720" s="271">
        <f>SUM(E720:J720)</f>
        <v>92417.500717129878</v>
      </c>
      <c r="L720" s="271">
        <f>K720*0.15</f>
        <v>13862.625107569482</v>
      </c>
      <c r="M720" s="272">
        <f>K720+L720</f>
        <v>106280.12582469935</v>
      </c>
      <c r="N720" s="271">
        <f>M720</f>
        <v>106280.12582469935</v>
      </c>
      <c r="O720" s="271">
        <f>'DGSP_chitiet (truKH)'!K720</f>
        <v>88404.263574272729</v>
      </c>
      <c r="P720" s="271">
        <f>'DGSP_chitiet (truKH)'!L720</f>
        <v>13260.639536140909</v>
      </c>
      <c r="Q720" s="306">
        <f>'DGSP_chitiet (truKH)'!M720</f>
        <v>101664.90311041364</v>
      </c>
      <c r="R720" s="271">
        <f>'DGSP_chitiet (truKH)'!N720</f>
        <v>101664.90311041364</v>
      </c>
      <c r="S720" s="271">
        <f>S$750/100+(S$752+S$753)/$C680</f>
        <v>302.49301340860973</v>
      </c>
    </row>
    <row r="721" spans="1:19" s="240" customFormat="1" ht="13.15" customHeight="1">
      <c r="A721" s="276"/>
      <c r="B721" s="1014"/>
      <c r="C721" s="1005"/>
      <c r="D721" s="242" t="s">
        <v>33</v>
      </c>
      <c r="E721" s="271">
        <f>E$750/100+(E$752+E$753)/$C681</f>
        <v>11507.901447058826</v>
      </c>
      <c r="F721" s="271"/>
      <c r="G721" s="271">
        <f t="shared" si="234"/>
        <v>2303.0443693438915</v>
      </c>
      <c r="H721" s="271">
        <f t="shared" si="234"/>
        <v>239898.42352941178</v>
      </c>
      <c r="I721" s="271">
        <f t="shared" si="234"/>
        <v>5429.8728571428564</v>
      </c>
      <c r="J721" s="271">
        <f t="shared" si="234"/>
        <v>50.752800000000008</v>
      </c>
      <c r="K721" s="271">
        <f>SUM(E721:J721)</f>
        <v>259189.99500295735</v>
      </c>
      <c r="L721" s="271">
        <f>K721*0.15</f>
        <v>38878.499250443601</v>
      </c>
      <c r="M721" s="272">
        <f>K721+L721</f>
        <v>298068.49425340095</v>
      </c>
      <c r="N721" s="271">
        <f>M721</f>
        <v>298068.49425340095</v>
      </c>
      <c r="O721" s="271">
        <f>'DGSP_chitiet (truKH)'!K721</f>
        <v>253760.1221458145</v>
      </c>
      <c r="P721" s="271">
        <f>'DGSP_chitiet (truKH)'!L721</f>
        <v>38064.018321872172</v>
      </c>
      <c r="Q721" s="306">
        <f>'DGSP_chitiet (truKH)'!M721</f>
        <v>291824.1404676867</v>
      </c>
      <c r="R721" s="271">
        <f>'DGSP_chitiet (truKH)'!N721</f>
        <v>291824.1404676867</v>
      </c>
      <c r="S721" s="271">
        <f>S$750/100+(S$752+S$753)/$C681</f>
        <v>325.80904977375565</v>
      </c>
    </row>
    <row r="722" spans="1:19" s="240" customFormat="1" ht="13.15" customHeight="1">
      <c r="A722" s="276"/>
      <c r="B722" s="1014"/>
      <c r="C722" s="1005"/>
      <c r="D722" s="242">
        <v>5</v>
      </c>
      <c r="E722" s="271">
        <f>E$750/100+(E$752+E$753)/$C682</f>
        <v>11215.329204444448</v>
      </c>
      <c r="F722" s="271"/>
      <c r="G722" s="271">
        <f t="shared" si="234"/>
        <v>2910.4527332621083</v>
      </c>
      <c r="H722" s="271">
        <f t="shared" si="234"/>
        <v>181706.26666666666</v>
      </c>
      <c r="I722" s="271">
        <f t="shared" si="234"/>
        <v>7022.7707142857134</v>
      </c>
      <c r="J722" s="271">
        <f t="shared" si="234"/>
        <v>66.557399999999987</v>
      </c>
      <c r="K722" s="271">
        <f>SUM(E722:J722)</f>
        <v>202921.37671865892</v>
      </c>
      <c r="L722" s="271">
        <f>K722*0.15</f>
        <v>30438.206507798837</v>
      </c>
      <c r="M722" s="272">
        <f>K722+L722</f>
        <v>233359.58322645776</v>
      </c>
      <c r="N722" s="271">
        <f>M722</f>
        <v>233359.58322645776</v>
      </c>
      <c r="O722" s="271">
        <f>'DGSP_chitiet (truKH)'!K722</f>
        <v>195898.6060043732</v>
      </c>
      <c r="P722" s="271">
        <f>'DGSP_chitiet (truKH)'!L722</f>
        <v>29384.790900655978</v>
      </c>
      <c r="Q722" s="306">
        <f>'DGSP_chitiet (truKH)'!M722</f>
        <v>225283.39690502919</v>
      </c>
      <c r="R722" s="271">
        <f>'DGSP_chitiet (truKH)'!N722</f>
        <v>225283.39690502919</v>
      </c>
      <c r="S722" s="271">
        <f>S$750/100+(S$752+S$753)/$C682</f>
        <v>317.52581196581195</v>
      </c>
    </row>
    <row r="723" spans="1:19" s="240" customFormat="1">
      <c r="A723" s="242">
        <v>1</v>
      </c>
      <c r="B723" s="276" t="s">
        <v>190</v>
      </c>
      <c r="C723" s="275"/>
      <c r="D723" s="275"/>
      <c r="E723" s="271"/>
      <c r="F723" s="271"/>
      <c r="G723" s="271"/>
      <c r="H723" s="271"/>
      <c r="I723" s="271"/>
      <c r="J723" s="271"/>
      <c r="K723" s="271"/>
      <c r="L723" s="271"/>
      <c r="M723" s="971"/>
      <c r="N723" s="271"/>
      <c r="O723" s="271">
        <f>'DGSP_chitiet (truKH)'!K723</f>
        <v>0</v>
      </c>
      <c r="P723" s="271">
        <f>'DGSP_chitiet (truKH)'!L723</f>
        <v>0</v>
      </c>
      <c r="Q723" s="306">
        <f>'DGSP_chitiet (truKH)'!M723</f>
        <v>0</v>
      </c>
      <c r="R723" s="271">
        <f>'DGSP_chitiet (truKH)'!N723</f>
        <v>0</v>
      </c>
      <c r="S723" s="271"/>
    </row>
    <row r="724" spans="1:19" s="240" customFormat="1">
      <c r="A724" s="1010">
        <v>1.1000000000000001</v>
      </c>
      <c r="B724" s="1011" t="str">
        <f>NhanCong!B$150</f>
        <v>Đối soát thực địa (công nhóm/mảnh)</v>
      </c>
      <c r="C724" s="1013" t="s">
        <v>317</v>
      </c>
      <c r="D724" s="274" t="s">
        <v>18</v>
      </c>
      <c r="E724" s="271">
        <f>NhanCong!Q$150</f>
        <v>211938.22650000002</v>
      </c>
      <c r="F724" s="271"/>
      <c r="G724" s="905">
        <f>Dcu!O$200</f>
        <v>1787.7192307692308</v>
      </c>
      <c r="H724" s="905">
        <f>VLieu!F$133</f>
        <v>4047000</v>
      </c>
      <c r="I724" s="905"/>
      <c r="J724" s="905"/>
      <c r="K724" s="905">
        <f t="shared" ref="K724:K738" si="235">SUM(E724:J724)</f>
        <v>4260725.9457307691</v>
      </c>
      <c r="L724" s="905">
        <f>K724*0.25</f>
        <v>1065181.4864326923</v>
      </c>
      <c r="M724" s="906">
        <f t="shared" ref="M724:M738" si="236">K724+L724</f>
        <v>5325907.4321634611</v>
      </c>
      <c r="N724" s="905"/>
      <c r="O724" s="271">
        <f>'DGSP_chitiet (truKH)'!K724</f>
        <v>4260725.9457307691</v>
      </c>
      <c r="P724" s="271">
        <f>'DGSP_chitiet (truKH)'!L724</f>
        <v>1065181.4864326923</v>
      </c>
      <c r="Q724" s="306">
        <f>'DGSP_chitiet (truKH)'!M724</f>
        <v>5325907.4321634611</v>
      </c>
      <c r="R724" s="271">
        <f>'DGSP_chitiet (truKH)'!N724</f>
        <v>0</v>
      </c>
      <c r="S724" s="905">
        <f>NhanCong!R$150</f>
        <v>6451.5</v>
      </c>
    </row>
    <row r="725" spans="1:19" s="240" customFormat="1">
      <c r="A725" s="1010"/>
      <c r="B725" s="1011"/>
      <c r="C725" s="1013"/>
      <c r="D725" s="274" t="s">
        <v>20</v>
      </c>
      <c r="E725" s="271">
        <f>NhanCong!Q$151</f>
        <v>275551.66100000002</v>
      </c>
      <c r="F725" s="271"/>
      <c r="G725" s="905">
        <f>Dcu!O$201</f>
        <v>2234.6490384615386</v>
      </c>
      <c r="H725" s="905">
        <f>VLieu!F$133</f>
        <v>4047000</v>
      </c>
      <c r="I725" s="905"/>
      <c r="J725" s="905"/>
      <c r="K725" s="905">
        <f t="shared" si="235"/>
        <v>4324786.3100384613</v>
      </c>
      <c r="L725" s="905">
        <f t="shared" ref="L725:L738" si="237">K725*0.25</f>
        <v>1081196.5775096153</v>
      </c>
      <c r="M725" s="906">
        <f t="shared" si="236"/>
        <v>5405982.8875480769</v>
      </c>
      <c r="N725" s="905"/>
      <c r="O725" s="271">
        <f>'DGSP_chitiet (truKH)'!K725</f>
        <v>4324786.3100384613</v>
      </c>
      <c r="P725" s="271">
        <f>'DGSP_chitiet (truKH)'!L725</f>
        <v>1081196.5775096153</v>
      </c>
      <c r="Q725" s="306">
        <f>'DGSP_chitiet (truKH)'!M725</f>
        <v>5405982.8875480769</v>
      </c>
      <c r="R725" s="271">
        <f>'DGSP_chitiet (truKH)'!N725</f>
        <v>0</v>
      </c>
      <c r="S725" s="905">
        <f>NhanCong!R$151</f>
        <v>8387.9230769230762</v>
      </c>
    </row>
    <row r="726" spans="1:19" s="240" customFormat="1">
      <c r="A726" s="1010"/>
      <c r="B726" s="1011"/>
      <c r="C726" s="1013"/>
      <c r="D726" s="274" t="s">
        <v>35</v>
      </c>
      <c r="E726" s="271">
        <f>NhanCong!Q$152</f>
        <v>358025.3600000001</v>
      </c>
      <c r="F726" s="271"/>
      <c r="G726" s="905">
        <f>Dcu!O$202</f>
        <v>2979.5320512820513</v>
      </c>
      <c r="H726" s="905">
        <f>VLieu!F$133</f>
        <v>4047000</v>
      </c>
      <c r="I726" s="905"/>
      <c r="J726" s="905"/>
      <c r="K726" s="905">
        <f t="shared" si="235"/>
        <v>4408004.8920512823</v>
      </c>
      <c r="L726" s="905">
        <f t="shared" si="237"/>
        <v>1102001.2230128206</v>
      </c>
      <c r="M726" s="906">
        <f t="shared" si="236"/>
        <v>5510006.1150641032</v>
      </c>
      <c r="N726" s="905"/>
      <c r="O726" s="271">
        <f>'DGSP_chitiet (truKH)'!K726</f>
        <v>4408004.8920512823</v>
      </c>
      <c r="P726" s="271">
        <f>'DGSP_chitiet (truKH)'!L726</f>
        <v>1102001.2230128206</v>
      </c>
      <c r="Q726" s="306">
        <f>'DGSP_chitiet (truKH)'!M726</f>
        <v>5510006.1150641032</v>
      </c>
      <c r="R726" s="271">
        <f>'DGSP_chitiet (truKH)'!N726</f>
        <v>0</v>
      </c>
      <c r="S726" s="905">
        <f>NhanCong!R$152</f>
        <v>10898.461538461537</v>
      </c>
    </row>
    <row r="727" spans="1:19" s="240" customFormat="1">
      <c r="A727" s="1010"/>
      <c r="B727" s="1011"/>
      <c r="C727" s="1013"/>
      <c r="D727" s="274" t="s">
        <v>33</v>
      </c>
      <c r="E727" s="271">
        <f>NhanCong!Q$153</f>
        <v>465432.96800000005</v>
      </c>
      <c r="F727" s="271"/>
      <c r="G727" s="905">
        <f>Dcu!O$203</f>
        <v>4022.3682692307693</v>
      </c>
      <c r="H727" s="905">
        <f>VLieu!F$133</f>
        <v>4047000</v>
      </c>
      <c r="I727" s="905"/>
      <c r="J727" s="905"/>
      <c r="K727" s="905">
        <f t="shared" si="235"/>
        <v>4516455.3362692306</v>
      </c>
      <c r="L727" s="905">
        <f t="shared" si="237"/>
        <v>1129113.8340673076</v>
      </c>
      <c r="M727" s="906">
        <f t="shared" si="236"/>
        <v>5645569.170336538</v>
      </c>
      <c r="N727" s="905"/>
      <c r="O727" s="271">
        <f>'DGSP_chitiet (truKH)'!K727</f>
        <v>4516455.3362692306</v>
      </c>
      <c r="P727" s="271">
        <f>'DGSP_chitiet (truKH)'!L727</f>
        <v>1129113.8340673076</v>
      </c>
      <c r="Q727" s="306">
        <f>'DGSP_chitiet (truKH)'!M727</f>
        <v>5645569.170336538</v>
      </c>
      <c r="R727" s="271">
        <f>'DGSP_chitiet (truKH)'!N727</f>
        <v>0</v>
      </c>
      <c r="S727" s="905">
        <f>NhanCong!R$153</f>
        <v>14168</v>
      </c>
    </row>
    <row r="728" spans="1:19" s="240" customFormat="1">
      <c r="A728" s="1010"/>
      <c r="B728" s="1011"/>
      <c r="C728" s="1013"/>
      <c r="D728" s="274" t="s">
        <v>13</v>
      </c>
      <c r="E728" s="271">
        <f>NhanCong!Q$154</f>
        <v>605126.79150000005</v>
      </c>
      <c r="F728" s="271"/>
      <c r="G728" s="905">
        <f>Dcu!O$204</f>
        <v>5214.1810897435898</v>
      </c>
      <c r="H728" s="905">
        <f>VLieu!F$133</f>
        <v>4047000</v>
      </c>
      <c r="I728" s="905"/>
      <c r="J728" s="905"/>
      <c r="K728" s="905">
        <f t="shared" si="235"/>
        <v>4657340.9725897433</v>
      </c>
      <c r="L728" s="905">
        <f t="shared" si="237"/>
        <v>1164335.2431474358</v>
      </c>
      <c r="M728" s="906">
        <f t="shared" si="236"/>
        <v>5821676.2157371789</v>
      </c>
      <c r="N728" s="905"/>
      <c r="O728" s="271">
        <f>'DGSP_chitiet (truKH)'!K728</f>
        <v>4657340.9725897433</v>
      </c>
      <c r="P728" s="271">
        <f>'DGSP_chitiet (truKH)'!L728</f>
        <v>1164335.2431474358</v>
      </c>
      <c r="Q728" s="306">
        <f>'DGSP_chitiet (truKH)'!M728</f>
        <v>5821676.2157371789</v>
      </c>
      <c r="R728" s="271">
        <f>'DGSP_chitiet (truKH)'!N728</f>
        <v>0</v>
      </c>
      <c r="S728" s="905">
        <f>NhanCong!R$154</f>
        <v>18420.346153846152</v>
      </c>
    </row>
    <row r="729" spans="1:19" s="240" customFormat="1" ht="12.75" customHeight="1">
      <c r="A729" s="1010">
        <v>1.2</v>
      </c>
      <c r="B729" s="1011" t="str">
        <f>NhanCong!B$156</f>
        <v>Lưới đo vẽ (công nhóm/100 thửa có biến động cần chỉnh lý)</v>
      </c>
      <c r="C729" s="1015" t="s">
        <v>329</v>
      </c>
      <c r="D729" s="274" t="s">
        <v>18</v>
      </c>
      <c r="E729" s="271">
        <f>NhanCong!Q$156</f>
        <v>773326.12500000023</v>
      </c>
      <c r="F729" s="271"/>
      <c r="G729" s="905">
        <f>Dcu!O$222</f>
        <v>11661.493589743588</v>
      </c>
      <c r="H729" s="905">
        <f>VLieu!M$135</f>
        <v>8760</v>
      </c>
      <c r="I729" s="905">
        <f>TBi!N$317</f>
        <v>12475.857142857143</v>
      </c>
      <c r="J729" s="905">
        <f>TBi!N$321</f>
        <v>133.56</v>
      </c>
      <c r="K729" s="905">
        <f t="shared" si="235"/>
        <v>806357.03573260107</v>
      </c>
      <c r="L729" s="905">
        <f t="shared" si="237"/>
        <v>201589.25893315027</v>
      </c>
      <c r="M729" s="906">
        <f t="shared" si="236"/>
        <v>1007946.2946657513</v>
      </c>
      <c r="N729" s="905"/>
      <c r="O729" s="271">
        <f>'DGSP_chitiet (truKH)'!K729</f>
        <v>793881.17858974391</v>
      </c>
      <c r="P729" s="271">
        <f>'DGSP_chitiet (truKH)'!L729</f>
        <v>198470.29464743598</v>
      </c>
      <c r="Q729" s="306">
        <f>'DGSP_chitiet (truKH)'!M729</f>
        <v>992351.47323717992</v>
      </c>
      <c r="R729" s="271">
        <f>'DGSP_chitiet (truKH)'!N729</f>
        <v>0</v>
      </c>
      <c r="S729" s="905">
        <f>NhanCong!R$156</f>
        <v>21894.230769230766</v>
      </c>
    </row>
    <row r="730" spans="1:19" s="240" customFormat="1">
      <c r="A730" s="1010"/>
      <c r="B730" s="1011"/>
      <c r="C730" s="1013" t="s">
        <v>49</v>
      </c>
      <c r="D730" s="274" t="s">
        <v>20</v>
      </c>
      <c r="E730" s="271">
        <f>NhanCong!Q$157</f>
        <v>966657.65625000023</v>
      </c>
      <c r="F730" s="271"/>
      <c r="G730" s="905">
        <f>Dcu!O$223</f>
        <v>14576.866987179486</v>
      </c>
      <c r="H730" s="905">
        <f>VLieu!M$135</f>
        <v>8760</v>
      </c>
      <c r="I730" s="905">
        <f>TBi!O$317</f>
        <v>15293.357142857143</v>
      </c>
      <c r="J730" s="905">
        <f>TBi!O$321</f>
        <v>133.56</v>
      </c>
      <c r="K730" s="905">
        <f t="shared" si="235"/>
        <v>1005421.4403800369</v>
      </c>
      <c r="L730" s="905">
        <f t="shared" si="237"/>
        <v>251355.36009500924</v>
      </c>
      <c r="M730" s="906">
        <f t="shared" si="236"/>
        <v>1256776.8004750463</v>
      </c>
      <c r="N730" s="905"/>
      <c r="O730" s="271">
        <f>'DGSP_chitiet (truKH)'!K730</f>
        <v>990128.08323717979</v>
      </c>
      <c r="P730" s="271">
        <f>'DGSP_chitiet (truKH)'!L730</f>
        <v>247532.02080929495</v>
      </c>
      <c r="Q730" s="306">
        <f>'DGSP_chitiet (truKH)'!M730</f>
        <v>1237660.1040464747</v>
      </c>
      <c r="R730" s="271">
        <f>'DGSP_chitiet (truKH)'!N730</f>
        <v>0</v>
      </c>
      <c r="S730" s="905">
        <f>NhanCong!R$157</f>
        <v>27367.788461538461</v>
      </c>
    </row>
    <row r="731" spans="1:19" s="240" customFormat="1">
      <c r="A731" s="1010"/>
      <c r="B731" s="1011"/>
      <c r="C731" s="1013"/>
      <c r="D731" s="274" t="s">
        <v>35</v>
      </c>
      <c r="E731" s="271">
        <f>NhanCong!Q$158</f>
        <v>1288876.8750000002</v>
      </c>
      <c r="F731" s="271"/>
      <c r="G731" s="905">
        <f>Dcu!O$224</f>
        <v>19435.822649572649</v>
      </c>
      <c r="H731" s="905">
        <f>VLieu!M$135</f>
        <v>8760</v>
      </c>
      <c r="I731" s="905">
        <f>TBi!P$317</f>
        <v>20404.285714285714</v>
      </c>
      <c r="J731" s="905">
        <f>TBi!P$321</f>
        <v>200.34</v>
      </c>
      <c r="K731" s="905">
        <f t="shared" si="235"/>
        <v>1337677.3233638587</v>
      </c>
      <c r="L731" s="905">
        <f t="shared" si="237"/>
        <v>334419.33084096469</v>
      </c>
      <c r="M731" s="906">
        <f t="shared" si="236"/>
        <v>1672096.6542048235</v>
      </c>
      <c r="N731" s="905"/>
      <c r="O731" s="271">
        <f>'DGSP_chitiet (truKH)'!K731</f>
        <v>1317273.0376495731</v>
      </c>
      <c r="P731" s="271">
        <f>'DGSP_chitiet (truKH)'!L731</f>
        <v>329318.25941239326</v>
      </c>
      <c r="Q731" s="306">
        <f>'DGSP_chitiet (truKH)'!M731</f>
        <v>1646591.2970619663</v>
      </c>
      <c r="R731" s="271">
        <f>'DGSP_chitiet (truKH)'!N731</f>
        <v>0</v>
      </c>
      <c r="S731" s="905">
        <f>NhanCong!R$158</f>
        <v>36490.384615384617</v>
      </c>
    </row>
    <row r="732" spans="1:19" s="240" customFormat="1">
      <c r="A732" s="1010"/>
      <c r="B732" s="1011"/>
      <c r="C732" s="1013"/>
      <c r="D732" s="274" t="s">
        <v>33</v>
      </c>
      <c r="E732" s="271">
        <f>NhanCong!Q$159</f>
        <v>1739983.7812500005</v>
      </c>
      <c r="F732" s="271"/>
      <c r="G732" s="905">
        <f>Dcu!O$225</f>
        <v>26238.360576923078</v>
      </c>
      <c r="H732" s="905">
        <f>VLieu!M$135</f>
        <v>8760</v>
      </c>
      <c r="I732" s="905">
        <f>TBi!Q$317</f>
        <v>27769.214285714286</v>
      </c>
      <c r="J732" s="905">
        <f>TBi!Q$321</f>
        <v>267.12</v>
      </c>
      <c r="K732" s="905">
        <f t="shared" si="235"/>
        <v>1803018.4761126379</v>
      </c>
      <c r="L732" s="905">
        <f t="shared" si="237"/>
        <v>450754.61902815948</v>
      </c>
      <c r="M732" s="906">
        <f t="shared" si="236"/>
        <v>2253773.0951407976</v>
      </c>
      <c r="N732" s="905"/>
      <c r="O732" s="271">
        <f>'DGSP_chitiet (truKH)'!K732</f>
        <v>1775249.2618269236</v>
      </c>
      <c r="P732" s="271">
        <f>'DGSP_chitiet (truKH)'!L732</f>
        <v>443812.3154567309</v>
      </c>
      <c r="Q732" s="306">
        <f>'DGSP_chitiet (truKH)'!M732</f>
        <v>2219061.5772836544</v>
      </c>
      <c r="R732" s="271">
        <f>'DGSP_chitiet (truKH)'!N732</f>
        <v>0</v>
      </c>
      <c r="S732" s="905">
        <f>NhanCong!R$159</f>
        <v>49262.019230769234</v>
      </c>
    </row>
    <row r="733" spans="1:19" s="240" customFormat="1">
      <c r="A733" s="1010"/>
      <c r="B733" s="1011"/>
      <c r="C733" s="1013"/>
      <c r="D733" s="274" t="s">
        <v>13</v>
      </c>
      <c r="E733" s="271">
        <f>NhanCong!Q$160</f>
        <v>2234053.2500000009</v>
      </c>
      <c r="F733" s="271"/>
      <c r="G733" s="905">
        <f>Dcu!O$226</f>
        <v>34012.689636752133</v>
      </c>
      <c r="H733" s="905">
        <f>VLieu!M$135</f>
        <v>8760</v>
      </c>
      <c r="I733" s="905">
        <f>TBi!R$317</f>
        <v>35134.142857142855</v>
      </c>
      <c r="J733" s="905">
        <f>TBi!R$321</f>
        <v>333.9</v>
      </c>
      <c r="K733" s="905">
        <f t="shared" si="235"/>
        <v>2312293.9824938956</v>
      </c>
      <c r="L733" s="905">
        <f t="shared" si="237"/>
        <v>578073.49562347389</v>
      </c>
      <c r="M733" s="906">
        <f t="shared" si="236"/>
        <v>2890367.4781173696</v>
      </c>
      <c r="N733" s="905"/>
      <c r="O733" s="271">
        <f>'DGSP_chitiet (truKH)'!K733</f>
        <v>2277159.8396367528</v>
      </c>
      <c r="P733" s="271">
        <f>'DGSP_chitiet (truKH)'!L733</f>
        <v>569289.95990918821</v>
      </c>
      <c r="Q733" s="306">
        <f>'DGSP_chitiet (truKH)'!M733</f>
        <v>2846449.7995459409</v>
      </c>
      <c r="R733" s="271">
        <f>'DGSP_chitiet (truKH)'!N733</f>
        <v>0</v>
      </c>
      <c r="S733" s="905">
        <f>NhanCong!R$160</f>
        <v>63250</v>
      </c>
    </row>
    <row r="734" spans="1:19" s="240" customFormat="1" ht="12.75" customHeight="1">
      <c r="A734" s="1010">
        <v>1.3</v>
      </c>
      <c r="B734" s="1011" t="str">
        <f>NhanCong!B$162</f>
        <v>Đo đạc ranh giới thửa đất và các đối tượng địa lý có liên quan (công nhóm/100 thửa có biến động cần chỉnh lý)</v>
      </c>
      <c r="C734" s="1015" t="s">
        <v>329</v>
      </c>
      <c r="D734" s="274" t="s">
        <v>18</v>
      </c>
      <c r="E734" s="271">
        <f>NhanCong!Q$162</f>
        <v>13082100.281250004</v>
      </c>
      <c r="F734" s="271">
        <f>NhanCong!Q$163</f>
        <v>773173.07692307699</v>
      </c>
      <c r="G734" s="905">
        <f>Dcu!O$246</f>
        <v>80180.038461538454</v>
      </c>
      <c r="H734" s="905">
        <f>VLieu!M$145</f>
        <v>175200</v>
      </c>
      <c r="I734" s="905">
        <f>TBi!N$352</f>
        <v>228994.57142857142</v>
      </c>
      <c r="J734" s="905">
        <f>TBi!N$356</f>
        <v>2114.6999999999998</v>
      </c>
      <c r="K734" s="905">
        <f t="shared" si="235"/>
        <v>14341762.668063188</v>
      </c>
      <c r="L734" s="905">
        <f t="shared" si="237"/>
        <v>3585440.667015797</v>
      </c>
      <c r="M734" s="906">
        <f t="shared" si="236"/>
        <v>17927203.335078984</v>
      </c>
      <c r="N734" s="905"/>
      <c r="O734" s="271">
        <f>'DGSP_chitiet (truKH)'!K734</f>
        <v>14112768.096634617</v>
      </c>
      <c r="P734" s="271">
        <f>'DGSP_chitiet (truKH)'!L734</f>
        <v>3528192.0241586543</v>
      </c>
      <c r="Q734" s="306">
        <f>'DGSP_chitiet (truKH)'!M734</f>
        <v>17640960.120793272</v>
      </c>
      <c r="R734" s="271">
        <f>'DGSP_chitiet (truKH)'!N734</f>
        <v>0</v>
      </c>
      <c r="S734" s="905">
        <f>NhanCong!R$162</f>
        <v>370377.40384615381</v>
      </c>
    </row>
    <row r="735" spans="1:19" s="240" customFormat="1">
      <c r="A735" s="1010"/>
      <c r="B735" s="1011"/>
      <c r="C735" s="1013" t="s">
        <v>49</v>
      </c>
      <c r="D735" s="274" t="s">
        <v>20</v>
      </c>
      <c r="E735" s="271">
        <f>NhanCong!Q$164</f>
        <v>15702816.593750004</v>
      </c>
      <c r="F735" s="271">
        <f>NhanCong!Q$165</f>
        <v>929626.92307692324</v>
      </c>
      <c r="G735" s="905">
        <f>Dcu!O$247</f>
        <v>100225.04807692308</v>
      </c>
      <c r="H735" s="905">
        <f>VLieu!M$145</f>
        <v>175200</v>
      </c>
      <c r="I735" s="905">
        <f>TBi!O$352</f>
        <v>286223.5</v>
      </c>
      <c r="J735" s="905">
        <f>TBi!O$356</f>
        <v>2715.72</v>
      </c>
      <c r="K735" s="905">
        <f t="shared" si="235"/>
        <v>17196807.78490385</v>
      </c>
      <c r="L735" s="905">
        <f t="shared" si="237"/>
        <v>4299201.9462259626</v>
      </c>
      <c r="M735" s="906">
        <f t="shared" si="236"/>
        <v>21496009.731129814</v>
      </c>
      <c r="N735" s="905"/>
      <c r="O735" s="271">
        <f>'DGSP_chitiet (truKH)'!K735</f>
        <v>16910584.28490385</v>
      </c>
      <c r="P735" s="271">
        <f>'DGSP_chitiet (truKH)'!L735</f>
        <v>4227646.0712259626</v>
      </c>
      <c r="Q735" s="306">
        <f>'DGSP_chitiet (truKH)'!M735</f>
        <v>21138230.356129814</v>
      </c>
      <c r="R735" s="271">
        <f>'DGSP_chitiet (truKH)'!N735</f>
        <v>0</v>
      </c>
      <c r="S735" s="905">
        <f>NhanCong!R$164</f>
        <v>444574.51923076925</v>
      </c>
    </row>
    <row r="736" spans="1:19" s="240" customFormat="1">
      <c r="A736" s="1010"/>
      <c r="B736" s="1011"/>
      <c r="C736" s="1013"/>
      <c r="D736" s="274" t="s">
        <v>35</v>
      </c>
      <c r="E736" s="271">
        <f>NhanCong!Q$166</f>
        <v>18817602.375000004</v>
      </c>
      <c r="F736" s="271">
        <f>NhanCong!Q$167</f>
        <v>1113369.230769231</v>
      </c>
      <c r="G736" s="905">
        <f>Dcu!O$248</f>
        <v>133633.39743589744</v>
      </c>
      <c r="H736" s="905">
        <f>VLieu!M$145</f>
        <v>175200</v>
      </c>
      <c r="I736" s="905">
        <f>TBi!P$352</f>
        <v>380919.42857142858</v>
      </c>
      <c r="J736" s="905">
        <f>TBi!P$356</f>
        <v>3606.1200000000003</v>
      </c>
      <c r="K736" s="905">
        <f t="shared" si="235"/>
        <v>20624330.551776562</v>
      </c>
      <c r="L736" s="905">
        <f t="shared" si="237"/>
        <v>5156082.6379441405</v>
      </c>
      <c r="M736" s="906">
        <f t="shared" si="236"/>
        <v>25780413.189720701</v>
      </c>
      <c r="N736" s="905"/>
      <c r="O736" s="271">
        <f>'DGSP_chitiet (truKH)'!K736</f>
        <v>20243411.123205133</v>
      </c>
      <c r="P736" s="271">
        <f>'DGSP_chitiet (truKH)'!L736</f>
        <v>5060852.7808012832</v>
      </c>
      <c r="Q736" s="306">
        <f>'DGSP_chitiet (truKH)'!M736</f>
        <v>25304263.904006414</v>
      </c>
      <c r="R736" s="271">
        <f>'DGSP_chitiet (truKH)'!N736</f>
        <v>0</v>
      </c>
      <c r="S736" s="905">
        <f>NhanCong!R$166</f>
        <v>532759.61538461526</v>
      </c>
    </row>
    <row r="737" spans="1:19" s="240" customFormat="1">
      <c r="A737" s="1010"/>
      <c r="B737" s="1011"/>
      <c r="C737" s="1013"/>
      <c r="D737" s="274" t="s">
        <v>33</v>
      </c>
      <c r="E737" s="271">
        <f>NhanCong!Q$168</f>
        <v>22598307.875000007</v>
      </c>
      <c r="F737" s="271">
        <f>NhanCong!Q$169</f>
        <v>1337134.6153846155</v>
      </c>
      <c r="G737" s="905">
        <f>Dcu!O$249</f>
        <v>180405.08653846156</v>
      </c>
      <c r="H737" s="905">
        <f>VLieu!M$145</f>
        <v>175200</v>
      </c>
      <c r="I737" s="905">
        <f>TBi!Q$352</f>
        <v>515218.07142857142</v>
      </c>
      <c r="J737" s="905">
        <f>TBi!Q$356</f>
        <v>4808.1600000000008</v>
      </c>
      <c r="K737" s="905">
        <f t="shared" si="235"/>
        <v>24811073.808351655</v>
      </c>
      <c r="L737" s="905">
        <f t="shared" si="237"/>
        <v>6202768.4520879136</v>
      </c>
      <c r="M737" s="906">
        <f t="shared" si="236"/>
        <v>31013842.260439567</v>
      </c>
      <c r="N737" s="905"/>
      <c r="O737" s="271">
        <f>'DGSP_chitiet (truKH)'!K737</f>
        <v>24295855.736923084</v>
      </c>
      <c r="P737" s="271">
        <f>'DGSP_chitiet (truKH)'!L737</f>
        <v>6073963.9342307709</v>
      </c>
      <c r="Q737" s="306">
        <f>'DGSP_chitiet (truKH)'!M737</f>
        <v>30369819.671153855</v>
      </c>
      <c r="R737" s="271">
        <f>'DGSP_chitiet (truKH)'!N737</f>
        <v>0</v>
      </c>
      <c r="S737" s="905">
        <f>NhanCong!R$168</f>
        <v>639798.07692307676</v>
      </c>
    </row>
    <row r="738" spans="1:19" s="240" customFormat="1">
      <c r="A738" s="1010"/>
      <c r="B738" s="1011"/>
      <c r="C738" s="1013"/>
      <c r="D738" s="274" t="s">
        <v>13</v>
      </c>
      <c r="E738" s="271">
        <f>NhanCong!Q$170</f>
        <v>27109376.937500007</v>
      </c>
      <c r="F738" s="271">
        <f>NhanCong!Q$171</f>
        <v>1604561.5384615387</v>
      </c>
      <c r="G738" s="905">
        <f>Dcu!O$250</f>
        <v>233858.4455128205</v>
      </c>
      <c r="H738" s="905">
        <f>VLieu!M$145</f>
        <v>175200</v>
      </c>
      <c r="I738" s="905">
        <f>TBi!R$352</f>
        <v>667142.92857142852</v>
      </c>
      <c r="J738" s="905">
        <f>TBi!R$356</f>
        <v>6321.8399999999992</v>
      </c>
      <c r="K738" s="905">
        <f t="shared" si="235"/>
        <v>29796461.690045796</v>
      </c>
      <c r="L738" s="905">
        <f t="shared" si="237"/>
        <v>7449115.4225114491</v>
      </c>
      <c r="M738" s="906">
        <f t="shared" si="236"/>
        <v>37245577.112557247</v>
      </c>
      <c r="N738" s="905"/>
      <c r="O738" s="271">
        <f>'DGSP_chitiet (truKH)'!K738</f>
        <v>29129318.761474367</v>
      </c>
      <c r="P738" s="271">
        <f>'DGSP_chitiet (truKH)'!L738</f>
        <v>7282329.6903685918</v>
      </c>
      <c r="Q738" s="306">
        <f>'DGSP_chitiet (truKH)'!M738</f>
        <v>36411648.451842956</v>
      </c>
      <c r="R738" s="271">
        <f>'DGSP_chitiet (truKH)'!N738</f>
        <v>0</v>
      </c>
      <c r="S738" s="905">
        <f>NhanCong!R$170</f>
        <v>767514.42307692301</v>
      </c>
    </row>
    <row r="739" spans="1:19" s="240" customFormat="1">
      <c r="A739" s="242">
        <v>2</v>
      </c>
      <c r="B739" s="276" t="s">
        <v>192</v>
      </c>
      <c r="C739" s="274"/>
      <c r="D739" s="274"/>
      <c r="E739" s="271"/>
      <c r="F739" s="271"/>
      <c r="G739" s="905"/>
      <c r="H739" s="905"/>
      <c r="I739" s="905"/>
      <c r="J739" s="905"/>
      <c r="K739" s="905"/>
      <c r="L739" s="905"/>
      <c r="M739" s="906"/>
      <c r="N739" s="905"/>
      <c r="O739" s="271">
        <f>'DGSP_chitiet (truKH)'!K739</f>
        <v>0</v>
      </c>
      <c r="P739" s="271">
        <f>'DGSP_chitiet (truKH)'!L739</f>
        <v>0</v>
      </c>
      <c r="Q739" s="306">
        <f>'DGSP_chitiet (truKH)'!M739</f>
        <v>0</v>
      </c>
      <c r="R739" s="271">
        <f>'DGSP_chitiet (truKH)'!N739</f>
        <v>0</v>
      </c>
      <c r="S739" s="905"/>
    </row>
    <row r="740" spans="1:19" s="240" customFormat="1">
      <c r="A740" s="1010" t="s">
        <v>268</v>
      </c>
      <c r="B740" s="1011" t="str">
        <f>NhanCong!B$173</f>
        <v>Số hóa BĐĐC: Áp dụng theo mức quy định tại Điều 8, Chương I</v>
      </c>
      <c r="C740" s="1013" t="s">
        <v>317</v>
      </c>
      <c r="D740" s="274" t="s">
        <v>18</v>
      </c>
      <c r="E740" s="271">
        <f t="shared" ref="E740:J744" si="238">E478</f>
        <v>116858.17000000004</v>
      </c>
      <c r="F740" s="271">
        <f t="shared" si="238"/>
        <v>0</v>
      </c>
      <c r="G740" s="271">
        <f t="shared" si="238"/>
        <v>1784.5250543589741</v>
      </c>
      <c r="H740" s="271">
        <f t="shared" si="238"/>
        <v>4092</v>
      </c>
      <c r="I740" s="271">
        <f t="shared" si="238"/>
        <v>12750.124542857142</v>
      </c>
      <c r="J740" s="271">
        <f t="shared" si="238"/>
        <v>3668.4480000000003</v>
      </c>
      <c r="K740" s="905">
        <f>SUM(E740:J740)</f>
        <v>139153.26759721615</v>
      </c>
      <c r="L740" s="905">
        <f>K740*0.15</f>
        <v>20872.990139582424</v>
      </c>
      <c r="M740" s="906">
        <f>K740+L740</f>
        <v>160026.25773679858</v>
      </c>
      <c r="N740" s="271">
        <f>N478</f>
        <v>0</v>
      </c>
      <c r="O740" s="271">
        <f>'DGSP_chitiet (truKH)'!K740</f>
        <v>126403.14305435902</v>
      </c>
      <c r="P740" s="271">
        <f>'DGSP_chitiet (truKH)'!L740</f>
        <v>18960.471458153854</v>
      </c>
      <c r="Q740" s="306">
        <f>'DGSP_chitiet (truKH)'!M740</f>
        <v>145363.61451251287</v>
      </c>
      <c r="R740" s="271">
        <f>'DGSP_chitiet (truKH)'!N740</f>
        <v>0</v>
      </c>
      <c r="S740" s="271">
        <f>S478</f>
        <v>3308.4615384615381</v>
      </c>
    </row>
    <row r="741" spans="1:19" s="240" customFormat="1">
      <c r="A741" s="1010"/>
      <c r="B741" s="1011"/>
      <c r="C741" s="1013"/>
      <c r="D741" s="274" t="s">
        <v>20</v>
      </c>
      <c r="E741" s="271">
        <f t="shared" si="238"/>
        <v>130606.19000000003</v>
      </c>
      <c r="F741" s="271">
        <f t="shared" si="238"/>
        <v>0</v>
      </c>
      <c r="G741" s="271">
        <f t="shared" si="238"/>
        <v>2042.811575384615</v>
      </c>
      <c r="H741" s="271">
        <f t="shared" si="238"/>
        <v>4092</v>
      </c>
      <c r="I741" s="271">
        <f t="shared" si="238"/>
        <v>13543.004828571427</v>
      </c>
      <c r="J741" s="271">
        <f t="shared" si="238"/>
        <v>3864.3359999999998</v>
      </c>
      <c r="K741" s="905">
        <f>SUM(E741:J741)</f>
        <v>154148.34240395608</v>
      </c>
      <c r="L741" s="905">
        <f>K741*0.15</f>
        <v>23122.251360593411</v>
      </c>
      <c r="M741" s="906">
        <f>K741+L741</f>
        <v>177270.5937645495</v>
      </c>
      <c r="N741" s="271">
        <f>N479</f>
        <v>0</v>
      </c>
      <c r="O741" s="271">
        <f>'DGSP_chitiet (truKH)'!K741</f>
        <v>140605.33757538465</v>
      </c>
      <c r="P741" s="271">
        <f>'DGSP_chitiet (truKH)'!L741</f>
        <v>21090.800636307697</v>
      </c>
      <c r="Q741" s="306">
        <f>'DGSP_chitiet (truKH)'!M741</f>
        <v>161696.13821169233</v>
      </c>
      <c r="R741" s="271">
        <f>'DGSP_chitiet (truKH)'!N741</f>
        <v>0</v>
      </c>
      <c r="S741" s="271">
        <f>S479</f>
        <v>3697.6923076923072</v>
      </c>
    </row>
    <row r="742" spans="1:19" s="240" customFormat="1">
      <c r="A742" s="1010"/>
      <c r="B742" s="1011"/>
      <c r="C742" s="1013"/>
      <c r="D742" s="274" t="s">
        <v>35</v>
      </c>
      <c r="E742" s="271">
        <f t="shared" si="238"/>
        <v>146416.41300000003</v>
      </c>
      <c r="F742" s="271">
        <f t="shared" si="238"/>
        <v>0</v>
      </c>
      <c r="G742" s="271">
        <f t="shared" si="238"/>
        <v>2348.0592820512816</v>
      </c>
      <c r="H742" s="271">
        <f t="shared" si="238"/>
        <v>4092</v>
      </c>
      <c r="I742" s="271">
        <f t="shared" si="238"/>
        <v>15413.223628571428</v>
      </c>
      <c r="J742" s="271">
        <f t="shared" si="238"/>
        <v>4336.2480000000005</v>
      </c>
      <c r="K742" s="905">
        <f>SUM(E742:J742)</f>
        <v>172605.94391062274</v>
      </c>
      <c r="L742" s="905">
        <f>K742*0.15</f>
        <v>25890.89158659341</v>
      </c>
      <c r="M742" s="906">
        <f>K742+L742</f>
        <v>198496.83549721615</v>
      </c>
      <c r="N742" s="271">
        <f>N480</f>
        <v>0</v>
      </c>
      <c r="O742" s="271">
        <f>'DGSP_chitiet (truKH)'!K742</f>
        <v>157192.7202820513</v>
      </c>
      <c r="P742" s="271">
        <f>'DGSP_chitiet (truKH)'!L742</f>
        <v>23578.908042307696</v>
      </c>
      <c r="Q742" s="306">
        <f>'DGSP_chitiet (truKH)'!M742</f>
        <v>180771.62832435902</v>
      </c>
      <c r="R742" s="271">
        <f>'DGSP_chitiet (truKH)'!N742</f>
        <v>0</v>
      </c>
      <c r="S742" s="271">
        <f>S480</f>
        <v>4145.3076923076924</v>
      </c>
    </row>
    <row r="743" spans="1:19" s="240" customFormat="1">
      <c r="A743" s="1010"/>
      <c r="B743" s="1011"/>
      <c r="C743" s="1013"/>
      <c r="D743" s="274" t="s">
        <v>33</v>
      </c>
      <c r="E743" s="271">
        <f t="shared" si="238"/>
        <v>164563.79940000005</v>
      </c>
      <c r="F743" s="271">
        <f t="shared" si="238"/>
        <v>0</v>
      </c>
      <c r="G743" s="271">
        <f t="shared" si="238"/>
        <v>2700.2681743589737</v>
      </c>
      <c r="H743" s="271">
        <f t="shared" si="238"/>
        <v>4092</v>
      </c>
      <c r="I743" s="271">
        <f t="shared" si="238"/>
        <v>17934.0936</v>
      </c>
      <c r="J743" s="271">
        <f t="shared" si="238"/>
        <v>4977.3359999999993</v>
      </c>
      <c r="K743" s="905">
        <f>SUM(E743:J743)</f>
        <v>194267.49717435901</v>
      </c>
      <c r="L743" s="905">
        <f>K743*0.15</f>
        <v>29140.124576153852</v>
      </c>
      <c r="M743" s="906">
        <f>K743+L743</f>
        <v>223407.62175051286</v>
      </c>
      <c r="N743" s="271">
        <f>N481</f>
        <v>0</v>
      </c>
      <c r="O743" s="271">
        <f>'DGSP_chitiet (truKH)'!K743</f>
        <v>176333.40357435902</v>
      </c>
      <c r="P743" s="271">
        <f>'DGSP_chitiet (truKH)'!L743</f>
        <v>26450.010536153852</v>
      </c>
      <c r="Q743" s="306">
        <f>'DGSP_chitiet (truKH)'!M743</f>
        <v>202783.41411051288</v>
      </c>
      <c r="R743" s="271">
        <f>'DGSP_chitiet (truKH)'!N743</f>
        <v>0</v>
      </c>
      <c r="S743" s="271">
        <f>S481</f>
        <v>4659.0923076923082</v>
      </c>
    </row>
    <row r="744" spans="1:19" s="240" customFormat="1">
      <c r="A744" s="1010"/>
      <c r="B744" s="1011"/>
      <c r="C744" s="1013"/>
      <c r="D744" s="274" t="s">
        <v>13</v>
      </c>
      <c r="E744" s="271">
        <f t="shared" si="238"/>
        <v>185460.78980000006</v>
      </c>
      <c r="F744" s="271">
        <f t="shared" si="238"/>
        <v>0</v>
      </c>
      <c r="G744" s="271">
        <f t="shared" si="238"/>
        <v>3099.438252307692</v>
      </c>
      <c r="H744" s="271">
        <f t="shared" si="238"/>
        <v>4092</v>
      </c>
      <c r="I744" s="271">
        <f t="shared" si="238"/>
        <v>26065.619971428569</v>
      </c>
      <c r="J744" s="271">
        <f t="shared" si="238"/>
        <v>7034.16</v>
      </c>
      <c r="K744" s="905">
        <f>SUM(E744:J744)</f>
        <v>225752.0080237363</v>
      </c>
      <c r="L744" s="905">
        <f>K744*0.15</f>
        <v>33862.801203560441</v>
      </c>
      <c r="M744" s="906">
        <f>K744+L744</f>
        <v>259614.80922729673</v>
      </c>
      <c r="N744" s="271">
        <f>N482</f>
        <v>0</v>
      </c>
      <c r="O744" s="271">
        <f>'DGSP_chitiet (truKH)'!K744</f>
        <v>199686.38805230774</v>
      </c>
      <c r="P744" s="271">
        <f>'DGSP_chitiet (truKH)'!L744</f>
        <v>29952.958207846161</v>
      </c>
      <c r="Q744" s="306">
        <f>'DGSP_chitiet (truKH)'!M744</f>
        <v>229639.34626015389</v>
      </c>
      <c r="R744" s="271">
        <f>'DGSP_chitiet (truKH)'!N744</f>
        <v>0</v>
      </c>
      <c r="S744" s="271">
        <f>S482</f>
        <v>5250.7230769230773</v>
      </c>
    </row>
    <row r="745" spans="1:19" s="240" customFormat="1" ht="12.75" customHeight="1">
      <c r="A745" s="1010" t="s">
        <v>34</v>
      </c>
      <c r="B745" s="1011" t="str">
        <f>NhanCong!B$174</f>
        <v>Lập bản vẽ BĐĐC (Công nhóm/100 thửa chỉnh lý)</v>
      </c>
      <c r="C745" s="1015" t="s">
        <v>329</v>
      </c>
      <c r="D745" s="274" t="s">
        <v>18</v>
      </c>
      <c r="E745" s="271">
        <f>NhanCong!Q$174</f>
        <v>430947.55000000016</v>
      </c>
      <c r="F745" s="271"/>
      <c r="G745" s="905">
        <f>Dcu!O$271</f>
        <v>10222.451446153844</v>
      </c>
      <c r="H745" s="905">
        <f>VLieu!M$159</f>
        <v>626800</v>
      </c>
      <c r="I745" s="905">
        <f>TBi!N$389</f>
        <v>9402.887142857142</v>
      </c>
      <c r="J745" s="905">
        <f>TBi!N$393</f>
        <v>37419.06</v>
      </c>
      <c r="K745" s="905">
        <f t="shared" ref="K745:K751" si="239">SUM(E745:J745)</f>
        <v>1114791.9485890111</v>
      </c>
      <c r="L745" s="905">
        <f t="shared" ref="L745:L753" si="240">K745*0.15</f>
        <v>167218.79228835166</v>
      </c>
      <c r="M745" s="906">
        <f t="shared" ref="M745:M751" si="241">K745+L745</f>
        <v>1282010.7408773627</v>
      </c>
      <c r="N745" s="905"/>
      <c r="O745" s="271">
        <f>'DGSP_chitiet (truKH)'!K745</f>
        <v>1105389.061446154</v>
      </c>
      <c r="P745" s="271">
        <f>'DGSP_chitiet (truKH)'!L745</f>
        <v>165808.3592169231</v>
      </c>
      <c r="Q745" s="306">
        <f>'DGSP_chitiet (truKH)'!M745</f>
        <v>1271197.4206630772</v>
      </c>
      <c r="R745" s="271">
        <f>'DGSP_chitiet (truKH)'!N745</f>
        <v>0</v>
      </c>
      <c r="S745" s="905">
        <f>NhanCong!R$174</f>
        <v>10703.846153846154</v>
      </c>
    </row>
    <row r="746" spans="1:19" s="240" customFormat="1">
      <c r="A746" s="1010"/>
      <c r="B746" s="1011"/>
      <c r="C746" s="1013"/>
      <c r="D746" s="274" t="s">
        <v>20</v>
      </c>
      <c r="E746" s="271">
        <f>NhanCong!Q$175</f>
        <v>540643.29000000015</v>
      </c>
      <c r="F746" s="271"/>
      <c r="G746" s="905">
        <f>Dcu!O$272</f>
        <v>12778.064307692304</v>
      </c>
      <c r="H746" s="905">
        <f>VLieu!M$159</f>
        <v>626800</v>
      </c>
      <c r="I746" s="905">
        <f>TBi!O$389</f>
        <v>9753.4803571428565</v>
      </c>
      <c r="J746" s="905">
        <f>TBi!O$393</f>
        <v>38754.660000000003</v>
      </c>
      <c r="K746" s="905">
        <f t="shared" si="239"/>
        <v>1228729.4946648353</v>
      </c>
      <c r="L746" s="905">
        <f t="shared" si="240"/>
        <v>184309.4241997253</v>
      </c>
      <c r="M746" s="906">
        <f t="shared" si="241"/>
        <v>1413038.9188645605</v>
      </c>
      <c r="N746" s="905"/>
      <c r="O746" s="271">
        <f>'DGSP_chitiet (truKH)'!K746</f>
        <v>1218976.0143076924</v>
      </c>
      <c r="P746" s="271">
        <f>'DGSP_chitiet (truKH)'!L746</f>
        <v>182846.40214615385</v>
      </c>
      <c r="Q746" s="306">
        <f>'DGSP_chitiet (truKH)'!M746</f>
        <v>1401822.4164538463</v>
      </c>
      <c r="R746" s="271">
        <f>'DGSP_chitiet (truKH)'!N746</f>
        <v>0</v>
      </c>
      <c r="S746" s="905">
        <f>NhanCong!R$175</f>
        <v>13428.461538461537</v>
      </c>
    </row>
    <row r="747" spans="1:19" s="240" customFormat="1">
      <c r="A747" s="1010"/>
      <c r="B747" s="1011"/>
      <c r="C747" s="1013"/>
      <c r="D747" s="274" t="s">
        <v>35</v>
      </c>
      <c r="E747" s="271">
        <f>NhanCong!Q$176</f>
        <v>720857.7200000002</v>
      </c>
      <c r="F747" s="271"/>
      <c r="G747" s="905">
        <f>Dcu!O$273</f>
        <v>17037.419076923074</v>
      </c>
      <c r="H747" s="905">
        <f>VLieu!M$159</f>
        <v>626800</v>
      </c>
      <c r="I747" s="905">
        <f>TBi!P$389</f>
        <v>10378.657857142858</v>
      </c>
      <c r="J747" s="905">
        <f>TBi!P$393</f>
        <v>41225.519999999997</v>
      </c>
      <c r="K747" s="905">
        <f t="shared" si="239"/>
        <v>1416299.3169340661</v>
      </c>
      <c r="L747" s="905">
        <f t="shared" si="240"/>
        <v>212444.8975401099</v>
      </c>
      <c r="M747" s="906">
        <f t="shared" si="241"/>
        <v>1628744.2144741761</v>
      </c>
      <c r="N747" s="905"/>
      <c r="O747" s="271">
        <f>'DGSP_chitiet (truKH)'!K747</f>
        <v>1405920.6590769233</v>
      </c>
      <c r="P747" s="271">
        <f>'DGSP_chitiet (truKH)'!L747</f>
        <v>210888.09886153848</v>
      </c>
      <c r="Q747" s="306">
        <f>'DGSP_chitiet (truKH)'!M747</f>
        <v>1616808.7579384618</v>
      </c>
      <c r="R747" s="271">
        <f>'DGSP_chitiet (truKH)'!N747</f>
        <v>0</v>
      </c>
      <c r="S747" s="905">
        <f>NhanCong!R$176</f>
        <v>17904.615384615387</v>
      </c>
    </row>
    <row r="748" spans="1:19" s="240" customFormat="1">
      <c r="A748" s="1010"/>
      <c r="B748" s="1011"/>
      <c r="C748" s="1013"/>
      <c r="D748" s="274" t="s">
        <v>33</v>
      </c>
      <c r="E748" s="271">
        <f>NhanCong!Q$177</f>
        <v>971590.84000000032</v>
      </c>
      <c r="F748" s="271"/>
      <c r="G748" s="905">
        <f>Dcu!O$274</f>
        <v>23000.51575384615</v>
      </c>
      <c r="H748" s="905">
        <f>VLieu!M$159</f>
        <v>626800</v>
      </c>
      <c r="I748" s="905">
        <f>TBi!Q$389</f>
        <v>11216.138928571429</v>
      </c>
      <c r="J748" s="905">
        <f>TBi!Q$393</f>
        <v>44564.52</v>
      </c>
      <c r="K748" s="905">
        <f t="shared" si="239"/>
        <v>1677172.014682418</v>
      </c>
      <c r="L748" s="905">
        <f t="shared" si="240"/>
        <v>251575.80220236268</v>
      </c>
      <c r="M748" s="906">
        <f t="shared" si="241"/>
        <v>1928747.8168847808</v>
      </c>
      <c r="N748" s="905"/>
      <c r="O748" s="271">
        <f>'DGSP_chitiet (truKH)'!K748</f>
        <v>1665955.8757538465</v>
      </c>
      <c r="P748" s="271">
        <f>'DGSP_chitiet (truKH)'!L748</f>
        <v>249893.38136307697</v>
      </c>
      <c r="Q748" s="306">
        <f>'DGSP_chitiet (truKH)'!M748</f>
        <v>1915849.2571169236</v>
      </c>
      <c r="R748" s="271">
        <f>'DGSP_chitiet (truKH)'!N748</f>
        <v>0</v>
      </c>
      <c r="S748" s="905">
        <f>NhanCong!R$177</f>
        <v>24132.307692307691</v>
      </c>
    </row>
    <row r="749" spans="1:19" s="240" customFormat="1">
      <c r="A749" s="1010"/>
      <c r="B749" s="1011"/>
      <c r="C749" s="1013"/>
      <c r="D749" s="274" t="s">
        <v>13</v>
      </c>
      <c r="E749" s="271">
        <f>NhanCong!Q$178</f>
        <v>1261501.0100000005</v>
      </c>
      <c r="F749" s="271"/>
      <c r="G749" s="905">
        <f>Dcu!O$275</f>
        <v>29815.483384615378</v>
      </c>
      <c r="H749" s="905">
        <f>VLieu!M$159</f>
        <v>626800</v>
      </c>
      <c r="I749" s="905">
        <f>TBi!R$389</f>
        <v>12228.417857142858</v>
      </c>
      <c r="J749" s="905">
        <f>TBi!R$393</f>
        <v>48593.579999999994</v>
      </c>
      <c r="K749" s="905">
        <f t="shared" si="239"/>
        <v>1978938.4912417587</v>
      </c>
      <c r="L749" s="905">
        <f t="shared" si="240"/>
        <v>296840.77368626377</v>
      </c>
      <c r="M749" s="906">
        <f t="shared" si="241"/>
        <v>2275779.2649280224</v>
      </c>
      <c r="N749" s="905"/>
      <c r="O749" s="271">
        <f>'DGSP_chitiet (truKH)'!K749</f>
        <v>1966710.0733846158</v>
      </c>
      <c r="P749" s="271">
        <f>'DGSP_chitiet (truKH)'!L749</f>
        <v>295006.51100769237</v>
      </c>
      <c r="Q749" s="306">
        <f>'DGSP_chitiet (truKH)'!M749</f>
        <v>2261716.5843923083</v>
      </c>
      <c r="R749" s="271">
        <f>'DGSP_chitiet (truKH)'!N749</f>
        <v>0</v>
      </c>
      <c r="S749" s="905">
        <f>NhanCong!R$178</f>
        <v>31333.076923076926</v>
      </c>
    </row>
    <row r="750" spans="1:19" s="240" customFormat="1" ht="26">
      <c r="A750" s="969" t="s">
        <v>246</v>
      </c>
      <c r="B750" s="970" t="str">
        <f>NhanCong!B$179</f>
        <v>Lập Phiếu đo đạc chỉnh lý thửa đất (Công/100 thửa chỉnh lý)</v>
      </c>
      <c r="C750" s="983" t="s">
        <v>329</v>
      </c>
      <c r="D750" s="983" t="s">
        <v>15</v>
      </c>
      <c r="E750" s="984">
        <f>NhanCong!Q$179</f>
        <v>1031101.5000000002</v>
      </c>
      <c r="F750" s="984"/>
      <c r="G750" s="985">
        <f>Dcu!O$270</f>
        <v>17037.419076923074</v>
      </c>
      <c r="H750" s="905">
        <f>VLieu!M$159</f>
        <v>626800</v>
      </c>
      <c r="I750" s="985"/>
      <c r="J750" s="985"/>
      <c r="K750" s="985">
        <f t="shared" si="239"/>
        <v>1674938.9190769233</v>
      </c>
      <c r="L750" s="905">
        <f t="shared" si="240"/>
        <v>251240.83786153849</v>
      </c>
      <c r="M750" s="986">
        <f t="shared" si="241"/>
        <v>1926179.7569384617</v>
      </c>
      <c r="N750" s="985"/>
      <c r="O750" s="271">
        <f>'DGSP_chitiet (truKH)'!K750</f>
        <v>1674938.9190769233</v>
      </c>
      <c r="P750" s="271">
        <f>'DGSP_chitiet (truKH)'!L750</f>
        <v>251240.83786153849</v>
      </c>
      <c r="Q750" s="306">
        <f>'DGSP_chitiet (truKH)'!M750</f>
        <v>1926179.7569384617</v>
      </c>
      <c r="R750" s="271">
        <f>'DGSP_chitiet (truKH)'!N750</f>
        <v>0</v>
      </c>
      <c r="S750" s="985">
        <f>NhanCong!R$179</f>
        <v>29192.307692307691</v>
      </c>
    </row>
    <row r="751" spans="1:19" s="240" customFormat="1" ht="26">
      <c r="A751" s="969" t="s">
        <v>271</v>
      </c>
      <c r="B751" s="970" t="str">
        <f>NhanCong!B$180</f>
        <v>Bổ sung sổ mục kê (công nhóm/100 thửa chỉnh lý)</v>
      </c>
      <c r="C751" s="983" t="s">
        <v>329</v>
      </c>
      <c r="D751" s="983" t="s">
        <v>15</v>
      </c>
      <c r="E751" s="984">
        <f>NhanCong!Q$180</f>
        <v>893621.30000000016</v>
      </c>
      <c r="F751" s="984"/>
      <c r="G751" s="985">
        <f>Dcu!O$290</f>
        <v>13800.392222222223</v>
      </c>
      <c r="H751" s="985">
        <f>VLieu!J$170</f>
        <v>120500</v>
      </c>
      <c r="I751" s="985">
        <f>TBi!N$411</f>
        <v>6891.4414285714283</v>
      </c>
      <c r="J751" s="985">
        <f>TBi!N$414</f>
        <v>27379.800000000003</v>
      </c>
      <c r="K751" s="985">
        <f t="shared" si="239"/>
        <v>1062192.9336507937</v>
      </c>
      <c r="L751" s="905">
        <f t="shared" si="240"/>
        <v>159328.94004761905</v>
      </c>
      <c r="M751" s="986">
        <f t="shared" si="241"/>
        <v>1221521.8736984129</v>
      </c>
      <c r="N751" s="985"/>
      <c r="O751" s="271">
        <f>'DGSP_chitiet (truKH)'!K751</f>
        <v>1055301.4922222223</v>
      </c>
      <c r="P751" s="271">
        <f>'DGSP_chitiet (truKH)'!L751</f>
        <v>158295.22383333332</v>
      </c>
      <c r="Q751" s="306">
        <f>'DGSP_chitiet (truKH)'!M751</f>
        <v>1213596.7160555555</v>
      </c>
      <c r="R751" s="271">
        <f>'DGSP_chitiet (truKH)'!N751</f>
        <v>0</v>
      </c>
      <c r="S751" s="985">
        <f>NhanCong!R$180</f>
        <v>25300</v>
      </c>
    </row>
    <row r="752" spans="1:19" s="240" customFormat="1" ht="26">
      <c r="A752" s="969" t="s">
        <v>365</v>
      </c>
      <c r="B752" s="970" t="str">
        <f>NhanCong!B$181</f>
        <v>Biên tập bản đồ và in (công nhóm/mảnh)</v>
      </c>
      <c r="C752" s="983" t="s">
        <v>317</v>
      </c>
      <c r="D752" s="983" t="s">
        <v>15</v>
      </c>
      <c r="E752" s="984">
        <f>NhanCong!Q$181</f>
        <v>9348.6536000000015</v>
      </c>
      <c r="F752" s="984"/>
      <c r="G752" s="985">
        <f>Dcu!O$304</f>
        <v>279.14451282051283</v>
      </c>
      <c r="H752" s="985">
        <f>VLieu!M$181</f>
        <v>4972.6000000000004</v>
      </c>
      <c r="I752" s="985">
        <f>TBi!N$428</f>
        <v>130.5920857142857</v>
      </c>
      <c r="J752" s="985">
        <f>TBi!N$432</f>
        <v>302.73599999999999</v>
      </c>
      <c r="K752" s="985">
        <f>SUM(E752:J752)</f>
        <v>15033.726198534801</v>
      </c>
      <c r="L752" s="905">
        <f t="shared" si="240"/>
        <v>2255.0589297802203</v>
      </c>
      <c r="M752" s="986">
        <f>K752+L752</f>
        <v>17288.785128315023</v>
      </c>
      <c r="N752" s="985"/>
      <c r="O752" s="271">
        <f>'DGSP_chitiet (truKH)'!K752</f>
        <v>14903.134112820515</v>
      </c>
      <c r="P752" s="271">
        <f>'DGSP_chitiet (truKH)'!L752</f>
        <v>2235.4701169230771</v>
      </c>
      <c r="Q752" s="306">
        <f>'DGSP_chitiet (truKH)'!M752</f>
        <v>17138.604229743592</v>
      </c>
      <c r="R752" s="271">
        <f>'DGSP_chitiet (truKH)'!N752</f>
        <v>0</v>
      </c>
      <c r="S752" s="985">
        <f>NhanCong!R$181</f>
        <v>264.67692307692306</v>
      </c>
    </row>
    <row r="753" spans="1:21" s="240" customFormat="1" ht="26">
      <c r="A753" s="969" t="s">
        <v>366</v>
      </c>
      <c r="B753" s="970" t="str">
        <f>NhanCong!B$182</f>
        <v>Xác nhận hồ sơ các cấp (công nhóm/mảnh)</v>
      </c>
      <c r="C753" s="983" t="s">
        <v>317</v>
      </c>
      <c r="D753" s="983" t="s">
        <v>15</v>
      </c>
      <c r="E753" s="984">
        <f>NhanCong!Q$182</f>
        <v>10998.416000000003</v>
      </c>
      <c r="F753" s="984"/>
      <c r="G753" s="985">
        <f>Dcu!O$304</f>
        <v>279.14451282051283</v>
      </c>
      <c r="H753" s="985">
        <f>VLieu!M$181</f>
        <v>4972.6000000000004</v>
      </c>
      <c r="I753" s="985">
        <f>TBi!N$428</f>
        <v>130.5920857142857</v>
      </c>
      <c r="J753" s="985">
        <f>TBi!N$432</f>
        <v>302.73599999999999</v>
      </c>
      <c r="K753" s="985">
        <f>SUM(E753:J753)</f>
        <v>16683.488598534801</v>
      </c>
      <c r="L753" s="905">
        <f t="shared" si="240"/>
        <v>2502.5232897802202</v>
      </c>
      <c r="M753" s="986">
        <f>K753+L753</f>
        <v>19186.011888315021</v>
      </c>
      <c r="N753" s="985"/>
      <c r="O753" s="271">
        <f>'DGSP_chitiet (truKH)'!K753</f>
        <v>16552.896512820516</v>
      </c>
      <c r="P753" s="271">
        <f>'DGSP_chitiet (truKH)'!L753</f>
        <v>2482.9344769230775</v>
      </c>
      <c r="Q753" s="306">
        <f>'DGSP_chitiet (truKH)'!M753</f>
        <v>19035.830989743594</v>
      </c>
      <c r="R753" s="271">
        <f>'DGSP_chitiet (truKH)'!N753</f>
        <v>0</v>
      </c>
      <c r="S753" s="985">
        <f>NhanCong!R$182</f>
        <v>311.38461538461542</v>
      </c>
    </row>
    <row r="754" spans="1:21" s="240" customFormat="1" ht="26">
      <c r="A754" s="969" t="s">
        <v>367</v>
      </c>
      <c r="B754" s="970" t="str">
        <f>NhanCong!B$183</f>
        <v>Giao nộp sản phẩm (công nhóm/mảnh)</v>
      </c>
      <c r="C754" s="983" t="s">
        <v>317</v>
      </c>
      <c r="D754" s="983" t="s">
        <v>15</v>
      </c>
      <c r="E754" s="984">
        <f>NhanCong!Q$183</f>
        <v>23371.634000000005</v>
      </c>
      <c r="F754" s="984"/>
      <c r="G754" s="985">
        <f>Dcu!O$304</f>
        <v>279.14451282051283</v>
      </c>
      <c r="H754" s="985">
        <f>VLieu!M$181</f>
        <v>4972.6000000000004</v>
      </c>
      <c r="I754" s="985">
        <f>TBi!N$428</f>
        <v>130.5920857142857</v>
      </c>
      <c r="J754" s="985">
        <f>TBi!N$432</f>
        <v>302.73599999999999</v>
      </c>
      <c r="K754" s="985">
        <f>SUM(E754:J754)</f>
        <v>29056.706598534805</v>
      </c>
      <c r="L754" s="905">
        <f>K754*0.15</f>
        <v>4358.5059897802203</v>
      </c>
      <c r="M754" s="986">
        <f>K754+L754</f>
        <v>33415.212588315029</v>
      </c>
      <c r="N754" s="985"/>
      <c r="O754" s="271">
        <f>'DGSP_chitiet (truKH)'!K754</f>
        <v>28926.114512820521</v>
      </c>
      <c r="P754" s="271">
        <f>'DGSP_chitiet (truKH)'!L754</f>
        <v>4338.9171769230779</v>
      </c>
      <c r="Q754" s="306">
        <f>'DGSP_chitiet (truKH)'!M754</f>
        <v>33265.031689743599</v>
      </c>
      <c r="R754" s="271">
        <f>'DGSP_chitiet (truKH)'!N754</f>
        <v>0</v>
      </c>
      <c r="S754" s="985">
        <f>NhanCong!R$183</f>
        <v>661.69230769230762</v>
      </c>
    </row>
    <row r="755" spans="1:21" s="240" customFormat="1">
      <c r="A755" s="242" t="s">
        <v>29</v>
      </c>
      <c r="B755" s="276" t="s">
        <v>205</v>
      </c>
      <c r="C755" s="981" t="s">
        <v>349</v>
      </c>
      <c r="D755" s="275"/>
      <c r="E755" s="271"/>
      <c r="F755" s="271"/>
      <c r="G755" s="271"/>
      <c r="H755" s="271"/>
      <c r="I755" s="271"/>
      <c r="J755" s="271"/>
      <c r="K755" s="271"/>
      <c r="L755" s="271"/>
      <c r="M755" s="971">
        <v>100</v>
      </c>
      <c r="N755" s="271" t="s">
        <v>21</v>
      </c>
      <c r="O755" s="271">
        <f>'DGSP_chitiet (truKH)'!K755</f>
        <v>0</v>
      </c>
      <c r="P755" s="271">
        <f>'DGSP_chitiet (truKH)'!L755</f>
        <v>0</v>
      </c>
      <c r="Q755" s="306">
        <f>'DGSP_chitiet (truKH)'!M755</f>
        <v>100</v>
      </c>
      <c r="R755" s="271" t="str">
        <f>'DGSP_chitiet (truKH)'!N755</f>
        <v>ha</v>
      </c>
      <c r="S755" s="271"/>
    </row>
    <row r="756" spans="1:21" s="240" customFormat="1" ht="13.15" customHeight="1">
      <c r="A756" s="1005"/>
      <c r="B756" s="1014" t="s">
        <v>190</v>
      </c>
      <c r="C756" s="242">
        <f>HeSoKK!B33</f>
        <v>7</v>
      </c>
      <c r="D756" s="242">
        <v>1</v>
      </c>
      <c r="E756" s="271">
        <f>E807/C756+(E812+E817)/100</f>
        <v>203206.31100000002</v>
      </c>
      <c r="F756" s="271">
        <f>F807/C756+(F812+F817)/100</f>
        <v>10842.615384615385</v>
      </c>
      <c r="G756" s="271">
        <f>G807/C756+(G812+G817)/100</f>
        <v>1029.1089468864468</v>
      </c>
      <c r="H756" s="271">
        <f>H807/C756+(H812+H817)/100</f>
        <v>578873.65714285721</v>
      </c>
      <c r="I756" s="271">
        <f>I807/C756+(I812+I817)/100</f>
        <v>2482.7185714285715</v>
      </c>
      <c r="J756" s="271">
        <f>J807/C756+(J812+J817)/100</f>
        <v>25.376400000000004</v>
      </c>
      <c r="K756" s="271">
        <f t="shared" ref="K756:K765" si="242">SUM(E756:J756)</f>
        <v>796459.78744578757</v>
      </c>
      <c r="L756" s="271">
        <f>K756*0.25</f>
        <v>199114.94686144689</v>
      </c>
      <c r="M756" s="272">
        <f t="shared" ref="M756:M765" si="243">K756+L756</f>
        <v>995574.73430723441</v>
      </c>
      <c r="N756" s="271">
        <f>M756+M761</f>
        <v>1053716.1850584005</v>
      </c>
      <c r="O756" s="271">
        <f>'DGSP_chitiet (truKH)'!K756</f>
        <v>793977.06887435901</v>
      </c>
      <c r="P756" s="271">
        <f>'DGSP_chitiet (truKH)'!L756</f>
        <v>198494.26721858975</v>
      </c>
      <c r="Q756" s="306">
        <f>'DGSP_chitiet (truKH)'!M756</f>
        <v>992471.3360929488</v>
      </c>
      <c r="R756" s="271">
        <f>'DGSP_chitiet (truKH)'!N756</f>
        <v>1049767.7544675332</v>
      </c>
      <c r="S756" s="271">
        <f>S807/C756+(S812+S817)/100</f>
        <v>5781.4670329670325</v>
      </c>
      <c r="U756" s="241"/>
    </row>
    <row r="757" spans="1:21" s="240" customFormat="1" ht="13.15" customHeight="1">
      <c r="A757" s="1005"/>
      <c r="B757" s="1014"/>
      <c r="C757" s="242">
        <f>HeSoKK!D33</f>
        <v>14.5</v>
      </c>
      <c r="D757" s="242">
        <v>2</v>
      </c>
      <c r="E757" s="271">
        <f>E808/C757+(E813+E818)/100</f>
        <v>236706.52191810351</v>
      </c>
      <c r="F757" s="271">
        <f>F808/C757+(F813+F818)/100</f>
        <v>13025.69230769231</v>
      </c>
      <c r="G757" s="271">
        <f>G808/C757+(G813+G818)/100</f>
        <v>1224.4598502431475</v>
      </c>
      <c r="H757" s="271">
        <f>H808/C757+(H813+H818)/100</f>
        <v>279834.24827586208</v>
      </c>
      <c r="I757" s="271">
        <f>I808/C757+(I813+I818)/100</f>
        <v>3310.16</v>
      </c>
      <c r="J757" s="271">
        <f>J808/C757+(J813+J818)/100</f>
        <v>31.831800000000001</v>
      </c>
      <c r="K757" s="271">
        <f t="shared" si="242"/>
        <v>534132.91415190115</v>
      </c>
      <c r="L757" s="271">
        <f>K757*0.25</f>
        <v>133533.22853797529</v>
      </c>
      <c r="M757" s="272">
        <f t="shared" si="243"/>
        <v>667666.14268987649</v>
      </c>
      <c r="N757" s="271">
        <f>M757+M762</f>
        <v>721896.60564501735</v>
      </c>
      <c r="O757" s="271">
        <f>'DGSP_chitiet (truKH)'!K757</f>
        <v>530822.75415190111</v>
      </c>
      <c r="P757" s="271">
        <f>'DGSP_chitiet (truKH)'!L757</f>
        <v>132705.68853797528</v>
      </c>
      <c r="Q757" s="306">
        <f>'DGSP_chitiet (truKH)'!M757</f>
        <v>663528.44268987642</v>
      </c>
      <c r="R757" s="271">
        <f>'DGSP_chitiet (truKH)'!N757</f>
        <v>717173.3045316122</v>
      </c>
      <c r="S757" s="271">
        <f>S808/C757+(S813+S818)/100</f>
        <v>6718.0056366047747</v>
      </c>
      <c r="U757" s="241"/>
    </row>
    <row r="758" spans="1:21" s="240" customFormat="1" ht="13.15" customHeight="1">
      <c r="A758" s="1005"/>
      <c r="B758" s="1014"/>
      <c r="C758" s="242">
        <f>HeSoKK!F33</f>
        <v>24.5</v>
      </c>
      <c r="D758" s="242">
        <v>3</v>
      </c>
      <c r="E758" s="271">
        <f>E809/C758+(E814+E819)/100</f>
        <v>280440.38</v>
      </c>
      <c r="F758" s="271">
        <f>F809/C758+(F814+F819)/100</f>
        <v>15627.192307692307</v>
      </c>
      <c r="G758" s="271">
        <f>G809/C758+(G814+G819)/100</f>
        <v>1601.1584881388453</v>
      </c>
      <c r="H758" s="271">
        <f>H809/C758+(H814+H819)/100</f>
        <v>165914.47346938774</v>
      </c>
      <c r="I758" s="271">
        <f>I809/C758+(I814+I819)/100</f>
        <v>4131.9664285714289</v>
      </c>
      <c r="J758" s="271">
        <f>J809/C758+(J814+J819)/100</f>
        <v>41.181000000000004</v>
      </c>
      <c r="K758" s="271">
        <f t="shared" si="242"/>
        <v>467756.35169379035</v>
      </c>
      <c r="L758" s="271">
        <f>K758*0.25</f>
        <v>116939.08792344759</v>
      </c>
      <c r="M758" s="272">
        <f t="shared" si="243"/>
        <v>584695.43961723789</v>
      </c>
      <c r="N758" s="271">
        <f>M758+M763</f>
        <v>638683.97589982755</v>
      </c>
      <c r="O758" s="271">
        <f>'DGSP_chitiet (truKH)'!K758</f>
        <v>463624.38526521891</v>
      </c>
      <c r="P758" s="271">
        <f>'DGSP_chitiet (truKH)'!L758</f>
        <v>115906.09631630473</v>
      </c>
      <c r="Q758" s="306">
        <f>'DGSP_chitiet (truKH)'!M758</f>
        <v>579530.48158152367</v>
      </c>
      <c r="R758" s="271">
        <f>'DGSP_chitiet (truKH)'!N758</f>
        <v>633012.73441928823</v>
      </c>
      <c r="S758" s="271">
        <f>S809/C758+(S814+S819)/100</f>
        <v>7951.4285714285716</v>
      </c>
      <c r="U758" s="241"/>
    </row>
    <row r="759" spans="1:21" s="240" customFormat="1" ht="13.15" customHeight="1">
      <c r="A759" s="1005"/>
      <c r="B759" s="1014"/>
      <c r="C759" s="242">
        <f>HeSoKK!H33</f>
        <v>5.5</v>
      </c>
      <c r="D759" s="242">
        <v>4</v>
      </c>
      <c r="E759" s="271">
        <f>E810/C759+(E815+E820)/100</f>
        <v>359889.90243750013</v>
      </c>
      <c r="F759" s="271">
        <f>F810/C759+(F815+F820)/100</f>
        <v>18756.269230769234</v>
      </c>
      <c r="G759" s="271">
        <f>G810/C759+(G815+G820)/100</f>
        <v>2374.268850524476</v>
      </c>
      <c r="H759" s="271">
        <f>H810/C759+(H815+H820)/100</f>
        <v>736548.98181818181</v>
      </c>
      <c r="I759" s="271">
        <f>I810/C759+(I815+I820)/100</f>
        <v>5169.0857142857149</v>
      </c>
      <c r="J759" s="271">
        <f>J810/C759+(J815+J820)/100</f>
        <v>50.307600000000008</v>
      </c>
      <c r="K759" s="271">
        <f t="shared" si="242"/>
        <v>1122788.8156512612</v>
      </c>
      <c r="L759" s="271">
        <f>K759*0.25</f>
        <v>280697.20391281531</v>
      </c>
      <c r="M759" s="272">
        <f t="shared" si="243"/>
        <v>1403486.0195640766</v>
      </c>
      <c r="N759" s="271">
        <f>M759+M764</f>
        <v>1477632.4780707124</v>
      </c>
      <c r="O759" s="271">
        <f>'DGSP_chitiet (truKH)'!K759</f>
        <v>1117619.7299369755</v>
      </c>
      <c r="P759" s="271">
        <f>'DGSP_chitiet (truKH)'!L759</f>
        <v>279404.93248424388</v>
      </c>
      <c r="Q759" s="306">
        <f>'DGSP_chitiet (truKH)'!M759</f>
        <v>1397024.6624212195</v>
      </c>
      <c r="R759" s="271">
        <f>'DGSP_chitiet (truKH)'!N759</f>
        <v>1469398.8201811509</v>
      </c>
      <c r="S759" s="271">
        <f>S810/C759+(S815+S820)/100</f>
        <v>10251.475961538463</v>
      </c>
      <c r="U759" s="241"/>
    </row>
    <row r="760" spans="1:21" s="240" customFormat="1" ht="13.15" customHeight="1">
      <c r="A760" s="1005"/>
      <c r="B760" s="1014"/>
      <c r="C760" s="242">
        <f>HeSoKK!J33</f>
        <v>8.5</v>
      </c>
      <c r="D760" s="242">
        <v>5</v>
      </c>
      <c r="E760" s="271">
        <f>E811/C760+(E816+E821)/100</f>
        <v>422295.0913823531</v>
      </c>
      <c r="F760" s="271">
        <f>F811/C760+(F816+F821)/100</f>
        <v>22503.884615384613</v>
      </c>
      <c r="G760" s="271">
        <f>G811/C760+(G816+G821)/100</f>
        <v>2952.2695434263446</v>
      </c>
      <c r="H760" s="271">
        <f>H811/C760+(H816+H821)/100</f>
        <v>476848.44705882354</v>
      </c>
      <c r="I760" s="271">
        <f>I811/C760+(I816+I821)/100</f>
        <v>7197.4721428571429</v>
      </c>
      <c r="J760" s="271">
        <f>J811/C760+(J816+J821)/100</f>
        <v>2.6712000000000002</v>
      </c>
      <c r="K760" s="271">
        <f t="shared" si="242"/>
        <v>931799.83594284474</v>
      </c>
      <c r="L760" s="271">
        <f>K760*0.25</f>
        <v>232949.95898571119</v>
      </c>
      <c r="M760" s="272">
        <f t="shared" si="243"/>
        <v>1164749.7949285558</v>
      </c>
      <c r="N760" s="271">
        <f>M760+M765</f>
        <v>1237910.2016327563</v>
      </c>
      <c r="O760" s="271">
        <f>'DGSP_chitiet (truKH)'!K760</f>
        <v>924602.36379998759</v>
      </c>
      <c r="P760" s="271">
        <f>'DGSP_chitiet (truKH)'!L760</f>
        <v>231150.5909499969</v>
      </c>
      <c r="Q760" s="306">
        <f>'DGSP_chitiet (truKH)'!M760</f>
        <v>1155752.9547499844</v>
      </c>
      <c r="R760" s="271">
        <f>'DGSP_chitiet (truKH)'!N760</f>
        <v>1227432.7628558655</v>
      </c>
      <c r="S760" s="271">
        <f>S811/C760+(S816+S821)/100</f>
        <v>12004.334841628959</v>
      </c>
      <c r="U760" s="241"/>
    </row>
    <row r="761" spans="1:21" s="240" customFormat="1">
      <c r="A761" s="1005"/>
      <c r="B761" s="1014" t="s">
        <v>192</v>
      </c>
      <c r="C761" s="242">
        <f>C756</f>
        <v>7</v>
      </c>
      <c r="D761" s="242">
        <v>1</v>
      </c>
      <c r="E761" s="271">
        <f>(E823+E835+E836+E837)/C761+(E828+E833+E834)/100</f>
        <v>34051.826600000008</v>
      </c>
      <c r="F761" s="271">
        <f>(F823+F835+F836+F837)/C761+(F828+F833+F834)/100</f>
        <v>0</v>
      </c>
      <c r="G761" s="271">
        <f>(G823+G835+G836+G837)/C761+(G828+G833+G834)/100</f>
        <v>553.52669963858364</v>
      </c>
      <c r="H761" s="271">
        <f>(H823+H835+H836+H837)/C761+(H828+H833+H834)/100</f>
        <v>14344.9</v>
      </c>
      <c r="I761" s="271">
        <f>(I823+I835+I836+I837)/C761+(I828+I833+I834)/100</f>
        <v>734.81076224489789</v>
      </c>
      <c r="J761" s="271">
        <f>(J823+J835+J836+J837)/C761+(J828+J833+J834)/100</f>
        <v>872.7192</v>
      </c>
      <c r="K761" s="271">
        <f t="shared" si="242"/>
        <v>50557.783261883487</v>
      </c>
      <c r="L761" s="271">
        <f>K761*0.15</f>
        <v>7583.6674892825231</v>
      </c>
      <c r="M761" s="272">
        <f t="shared" si="243"/>
        <v>58141.450751166012</v>
      </c>
      <c r="N761" s="271"/>
      <c r="O761" s="271">
        <f>'DGSP_chitiet (truKH)'!K761</f>
        <v>49822.972499638592</v>
      </c>
      <c r="P761" s="271">
        <f>'DGSP_chitiet (truKH)'!L761</f>
        <v>7473.4458749457881</v>
      </c>
      <c r="Q761" s="306">
        <f>'DGSP_chitiet (truKH)'!M761</f>
        <v>57296.418374584377</v>
      </c>
      <c r="R761" s="271">
        <f>'DGSP_chitiet (truKH)'!N761</f>
        <v>0</v>
      </c>
      <c r="S761" s="271">
        <f>(S823+S835+S836+S837)/C761+(S828+S833+S834)/100</f>
        <v>945.83076923076919</v>
      </c>
    </row>
    <row r="762" spans="1:21" s="240" customFormat="1">
      <c r="A762" s="1005"/>
      <c r="B762" s="1014"/>
      <c r="C762" s="242">
        <f>C757</f>
        <v>14.5</v>
      </c>
      <c r="D762" s="242">
        <v>2</v>
      </c>
      <c r="E762" s="271">
        <f>(E824+E835+E836+E837)/C762+(E829+E833+E834)/100</f>
        <v>31286.177165517249</v>
      </c>
      <c r="F762" s="271">
        <f>(F824+F835+F836+F837)/C762+(F829+F833+F834)/100</f>
        <v>0</v>
      </c>
      <c r="G762" s="271">
        <f>(G824+G835+G836+G837)/C762+(G829+G833+G834)/100</f>
        <v>521.66670795608604</v>
      </c>
      <c r="H762" s="271">
        <f>(H824+H835+H836+H837)/C762+(H829+H833+H834)/100</f>
        <v>14032.537931034483</v>
      </c>
      <c r="I762" s="271">
        <f>(I824+I835+I836+I837)/C762+(I829+I833+I834)/100</f>
        <v>509.21835948275861</v>
      </c>
      <c r="J762" s="271">
        <f>(J824+J835+J836+J837)/C762+(J829+J833+J834)/100</f>
        <v>807.32414482758634</v>
      </c>
      <c r="K762" s="271">
        <f t="shared" si="242"/>
        <v>47156.924308818168</v>
      </c>
      <c r="L762" s="271">
        <f>K762*0.15</f>
        <v>7073.5386463227251</v>
      </c>
      <c r="M762" s="272">
        <f t="shared" si="243"/>
        <v>54230.462955140894</v>
      </c>
      <c r="N762" s="271"/>
      <c r="O762" s="271">
        <f>'DGSP_chitiet (truKH)'!K762</f>
        <v>46647.70594933541</v>
      </c>
      <c r="P762" s="271">
        <f>'DGSP_chitiet (truKH)'!L762</f>
        <v>6997.1558924003111</v>
      </c>
      <c r="Q762" s="306">
        <f>'DGSP_chitiet (truKH)'!M762</f>
        <v>53644.861841735721</v>
      </c>
      <c r="R762" s="271">
        <f>'DGSP_chitiet (truKH)'!N762</f>
        <v>0</v>
      </c>
      <c r="S762" s="271">
        <f>(S824+S835+S836+S837)/C762+(S829+S833+S834)/100</f>
        <v>861.54217506631301</v>
      </c>
    </row>
    <row r="763" spans="1:21" s="240" customFormat="1">
      <c r="A763" s="1005"/>
      <c r="B763" s="1014"/>
      <c r="C763" s="242">
        <f>C758</f>
        <v>24.5</v>
      </c>
      <c r="D763" s="242">
        <v>3</v>
      </c>
      <c r="E763" s="271">
        <f>(E825+E835+E836+E837)/C763+(E830+E833+E834)/100</f>
        <v>31249.669336734707</v>
      </c>
      <c r="F763" s="271">
        <f>(F825+F835+F836+F837)/C763+(F830+F833+F834)/100</f>
        <v>0</v>
      </c>
      <c r="G763" s="271">
        <f>(G825+G835+G836+G837)/C763+(G830+G833+G834)/100</f>
        <v>543.93790728414444</v>
      </c>
      <c r="H763" s="271">
        <f>(H825+H835+H836+H837)/C763+(H830+H833+H834)/100</f>
        <v>13913.542857142857</v>
      </c>
      <c r="I763" s="271">
        <f>(I825+I835+I836+I837)/C763+(I830+I833+I834)/100</f>
        <v>440.24647376093287</v>
      </c>
      <c r="J763" s="271">
        <f>(J825+J835+J836+J837)/C763+(J830+J833+J834)/100</f>
        <v>799.15671428571443</v>
      </c>
      <c r="K763" s="271">
        <f t="shared" si="242"/>
        <v>46946.553289208357</v>
      </c>
      <c r="L763" s="271">
        <f>K763*0.15</f>
        <v>7041.9829933812534</v>
      </c>
      <c r="M763" s="272">
        <f t="shared" si="243"/>
        <v>53988.536282589608</v>
      </c>
      <c r="N763" s="271"/>
      <c r="O763" s="271">
        <f>'DGSP_chitiet (truKH)'!K763</f>
        <v>46506.306815447424</v>
      </c>
      <c r="P763" s="271">
        <f>'DGSP_chitiet (truKH)'!L763</f>
        <v>6975.9460223171136</v>
      </c>
      <c r="Q763" s="306">
        <f>'DGSP_chitiet (truKH)'!M763</f>
        <v>53482.252837764536</v>
      </c>
      <c r="R763" s="271">
        <f>'DGSP_chitiet (truKH)'!N763</f>
        <v>0</v>
      </c>
      <c r="S763" s="271">
        <f>(S825+S835+S836+S837)/C763+(S830+S833+S834)/100</f>
        <v>854.52040816326542</v>
      </c>
    </row>
    <row r="764" spans="1:21" s="240" customFormat="1">
      <c r="A764" s="1005"/>
      <c r="B764" s="1014"/>
      <c r="C764" s="242">
        <f>C759</f>
        <v>5.5</v>
      </c>
      <c r="D764" s="242">
        <v>4</v>
      </c>
      <c r="E764" s="271">
        <f>(E826+E835+E836+E837)/C764+(E831+E833+E834)/100</f>
        <v>46436.10070000001</v>
      </c>
      <c r="F764" s="271">
        <f>(F826+F835+F836+F837)/C764+(F831+F833+F834)/100</f>
        <v>0</v>
      </c>
      <c r="G764" s="271">
        <f>(G826+G835+G836+G837)/C764+(G831+G833+G834)/100</f>
        <v>779.26727148174052</v>
      </c>
      <c r="H764" s="271">
        <f>(H826+H835+H836+H837)/C764+(H831+H833+H834)/100</f>
        <v>14509.6</v>
      </c>
      <c r="I764" s="271">
        <f>(I826+I835+I836+I837)/C764+(I831+I833+I834)/100</f>
        <v>1541.1310840909089</v>
      </c>
      <c r="J764" s="271">
        <f>(J826+J835+J836+J837)/C764+(J831+J833+J834)/100</f>
        <v>1209.0822545454546</v>
      </c>
      <c r="K764" s="271">
        <f t="shared" si="242"/>
        <v>64475.181310118111</v>
      </c>
      <c r="L764" s="271">
        <f>K764*0.15</f>
        <v>9671.2771965177162</v>
      </c>
      <c r="M764" s="272">
        <f t="shared" si="243"/>
        <v>74146.458506635827</v>
      </c>
      <c r="N764" s="271"/>
      <c r="O764" s="271">
        <f>'DGSP_chitiet (truKH)'!K764</f>
        <v>62934.050226027204</v>
      </c>
      <c r="P764" s="271">
        <f>'DGSP_chitiet (truKH)'!L764</f>
        <v>9440.1075339040799</v>
      </c>
      <c r="Q764" s="306">
        <f>'DGSP_chitiet (truKH)'!M764</f>
        <v>72374.157759931288</v>
      </c>
      <c r="R764" s="271">
        <f>'DGSP_chitiet (truKH)'!N764</f>
        <v>0</v>
      </c>
      <c r="S764" s="271">
        <f>(S826+S835+S836+S837)/C764+(S831+S833+S834)/100</f>
        <v>1276.853846153846</v>
      </c>
    </row>
    <row r="765" spans="1:21" s="240" customFormat="1">
      <c r="A765" s="1005"/>
      <c r="B765" s="1014"/>
      <c r="C765" s="242">
        <f>C760</f>
        <v>8.5</v>
      </c>
      <c r="D765" s="242">
        <v>5</v>
      </c>
      <c r="E765" s="271">
        <f>(E827+E835+E836+E837)/C765+(E832+E833+E834)/100</f>
        <v>46166.088682352958</v>
      </c>
      <c r="F765" s="271">
        <f>(F827+F835+F836+F837)/C765+(F832+F833+F834)/100</f>
        <v>0</v>
      </c>
      <c r="G765" s="271">
        <f>(G827+G835+G836+G837)/C765+(G832+G833+G834)/100</f>
        <v>791.36237698089496</v>
      </c>
      <c r="H765" s="271">
        <f>(H827+H835+H836+H837)/C765+(H832+H833+H834)/100</f>
        <v>14238.329411764706</v>
      </c>
      <c r="I765" s="271">
        <f>(I827+I835+I836+I837)/C765+(I832+I833+I834)/100</f>
        <v>1287.477042016807</v>
      </c>
      <c r="J765" s="271">
        <f>(J827+J835+J836+J837)/C765+(J832+J833+J834)/100</f>
        <v>1134.4874470588236</v>
      </c>
      <c r="K765" s="271">
        <f t="shared" si="242"/>
        <v>63617.744960174197</v>
      </c>
      <c r="L765" s="271">
        <f>K765*0.15</f>
        <v>9542.6617440261289</v>
      </c>
      <c r="M765" s="272">
        <f t="shared" si="243"/>
        <v>73160.40670420033</v>
      </c>
      <c r="N765" s="271"/>
      <c r="O765" s="271">
        <f>'DGSP_chitiet (truKH)'!K765</f>
        <v>62330.267918157391</v>
      </c>
      <c r="P765" s="271">
        <f>'DGSP_chitiet (truKH)'!L765</f>
        <v>9349.5401877236091</v>
      </c>
      <c r="Q765" s="306">
        <f>'DGSP_chitiet (truKH)'!M765</f>
        <v>71679.808105881006</v>
      </c>
      <c r="R765" s="271">
        <f>'DGSP_chitiet (truKH)'!N765</f>
        <v>0</v>
      </c>
      <c r="S765" s="271">
        <f>(S827+S835+S836+S837)/C765+(S832+S833+S834)/100</f>
        <v>1254.2389140271491</v>
      </c>
    </row>
    <row r="766" spans="1:21" s="240" customFormat="1" ht="13.5">
      <c r="A766" s="242"/>
      <c r="B766" s="277" t="s">
        <v>332</v>
      </c>
      <c r="C766" s="242"/>
      <c r="D766" s="242"/>
      <c r="E766" s="271"/>
      <c r="F766" s="271"/>
      <c r="G766" s="271"/>
      <c r="H766" s="271"/>
      <c r="I766" s="271"/>
      <c r="J766" s="271"/>
      <c r="K766" s="271"/>
      <c r="L766" s="271"/>
      <c r="M766" s="272"/>
      <c r="N766" s="271"/>
      <c r="O766" s="271">
        <f>'DGSP_chitiet (truKH)'!K766</f>
        <v>0</v>
      </c>
      <c r="P766" s="271">
        <f>'DGSP_chitiet (truKH)'!L766</f>
        <v>0</v>
      </c>
      <c r="Q766" s="306">
        <f>'DGSP_chitiet (truKH)'!M766</f>
        <v>0</v>
      </c>
      <c r="R766" s="271">
        <f>'DGSP_chitiet (truKH)'!N766</f>
        <v>0</v>
      </c>
      <c r="S766" s="271"/>
    </row>
    <row r="767" spans="1:21" s="240" customFormat="1" ht="13.5">
      <c r="A767" s="242" t="s">
        <v>505</v>
      </c>
      <c r="B767" s="277" t="s">
        <v>333</v>
      </c>
      <c r="C767" s="242"/>
      <c r="D767" s="242"/>
      <c r="E767" s="271"/>
      <c r="F767" s="271"/>
      <c r="G767" s="271"/>
      <c r="H767" s="271"/>
      <c r="I767" s="271"/>
      <c r="J767" s="271"/>
      <c r="K767" s="271"/>
      <c r="L767" s="271"/>
      <c r="M767" s="272"/>
      <c r="N767" s="271"/>
      <c r="O767" s="271">
        <f>'DGSP_chitiet (truKH)'!K767</f>
        <v>0</v>
      </c>
      <c r="P767" s="271">
        <f>'DGSP_chitiet (truKH)'!L767</f>
        <v>0</v>
      </c>
      <c r="Q767" s="306">
        <f>'DGSP_chitiet (truKH)'!M767</f>
        <v>0</v>
      </c>
      <c r="R767" s="271">
        <f>'DGSP_chitiet (truKH)'!N767</f>
        <v>0</v>
      </c>
      <c r="S767" s="271"/>
    </row>
    <row r="768" spans="1:21" s="240" customFormat="1" ht="13.15" customHeight="1">
      <c r="A768" s="1005"/>
      <c r="B768" s="1006" t="s">
        <v>330</v>
      </c>
      <c r="C768" s="1005" t="s">
        <v>49</v>
      </c>
      <c r="D768" s="242">
        <v>1</v>
      </c>
      <c r="E768" s="271">
        <f t="shared" ref="E768:J772" si="244">E756-E812/100</f>
        <v>196547.1138125</v>
      </c>
      <c r="F768" s="271">
        <f t="shared" si="244"/>
        <v>10842.615384615385</v>
      </c>
      <c r="G768" s="271">
        <f t="shared" si="244"/>
        <v>928.11003663003657</v>
      </c>
      <c r="H768" s="271">
        <f t="shared" si="244"/>
        <v>578838.85714285716</v>
      </c>
      <c r="I768" s="271">
        <f t="shared" si="244"/>
        <v>2374.8650000000002</v>
      </c>
      <c r="J768" s="271">
        <f t="shared" si="244"/>
        <v>24.040800000000004</v>
      </c>
      <c r="K768" s="271">
        <f t="shared" ref="K768:K777" si="245">SUM(E768:J768)</f>
        <v>789555.60217660258</v>
      </c>
      <c r="L768" s="271">
        <f>K768*0.25</f>
        <v>197388.90054415065</v>
      </c>
      <c r="M768" s="272">
        <f t="shared" ref="M768:M777" si="246">K768+L768</f>
        <v>986944.5027207532</v>
      </c>
      <c r="N768" s="271">
        <f>M768+M773</f>
        <v>1045085.9534719192</v>
      </c>
      <c r="O768" s="271">
        <f>'DGSP_chitiet (truKH)'!K768</f>
        <v>787180.73717660259</v>
      </c>
      <c r="P768" s="271">
        <f>'DGSP_chitiet (truKH)'!L768</f>
        <v>196795.18429415065</v>
      </c>
      <c r="Q768" s="306">
        <f>'DGSP_chitiet (truKH)'!M768</f>
        <v>983975.92147075327</v>
      </c>
      <c r="R768" s="271">
        <f>'DGSP_chitiet (truKH)'!N768</f>
        <v>1041272.3398453377</v>
      </c>
      <c r="S768" s="271">
        <f>S756-S812/100</f>
        <v>5592.9333791208783</v>
      </c>
    </row>
    <row r="769" spans="1:19" s="240" customFormat="1" ht="13.15" customHeight="1">
      <c r="A769" s="1005"/>
      <c r="B769" s="1006"/>
      <c r="C769" s="1005"/>
      <c r="D769" s="242">
        <v>2</v>
      </c>
      <c r="E769" s="271">
        <f t="shared" si="244"/>
        <v>227684.38379310351</v>
      </c>
      <c r="F769" s="271">
        <f t="shared" si="244"/>
        <v>13025.69230769231</v>
      </c>
      <c r="G769" s="271">
        <f t="shared" si="244"/>
        <v>1098.2112124226346</v>
      </c>
      <c r="H769" s="271">
        <f t="shared" si="244"/>
        <v>279799.44827586209</v>
      </c>
      <c r="I769" s="271">
        <f t="shared" si="244"/>
        <v>3168.4964285714286</v>
      </c>
      <c r="J769" s="271">
        <f t="shared" si="244"/>
        <v>30.051000000000002</v>
      </c>
      <c r="K769" s="271">
        <f t="shared" si="245"/>
        <v>524806.28301765199</v>
      </c>
      <c r="L769" s="271">
        <f>K769*0.25</f>
        <v>131201.570754413</v>
      </c>
      <c r="M769" s="272">
        <f t="shared" si="246"/>
        <v>656007.85377206502</v>
      </c>
      <c r="N769" s="271">
        <f>M769+M774</f>
        <v>710238.31672720588</v>
      </c>
      <c r="O769" s="271">
        <f>'DGSP_chitiet (truKH)'!K769</f>
        <v>521637.78658908053</v>
      </c>
      <c r="P769" s="271">
        <f>'DGSP_chitiet (truKH)'!L769</f>
        <v>130409.44664727013</v>
      </c>
      <c r="Q769" s="306">
        <f>'DGSP_chitiet (truKH)'!M769</f>
        <v>652047.2332363507</v>
      </c>
      <c r="R769" s="271">
        <f>'DGSP_chitiet (truKH)'!N769</f>
        <v>705692.09507808648</v>
      </c>
      <c r="S769" s="271">
        <f>S757-S813/100</f>
        <v>6462.5729442970824</v>
      </c>
    </row>
    <row r="770" spans="1:19" s="240" customFormat="1" ht="13.15" customHeight="1">
      <c r="A770" s="1005"/>
      <c r="B770" s="1006"/>
      <c r="C770" s="1005"/>
      <c r="D770" s="242">
        <v>3</v>
      </c>
      <c r="E770" s="271">
        <f t="shared" si="244"/>
        <v>269270.11375000002</v>
      </c>
      <c r="F770" s="271">
        <f t="shared" si="244"/>
        <v>15627.192307692307</v>
      </c>
      <c r="G770" s="271">
        <f t="shared" si="244"/>
        <v>1432.8269710448283</v>
      </c>
      <c r="H770" s="271">
        <f t="shared" si="244"/>
        <v>165879.67346938775</v>
      </c>
      <c r="I770" s="271">
        <f t="shared" si="244"/>
        <v>3956.0985714285716</v>
      </c>
      <c r="J770" s="271">
        <f t="shared" si="244"/>
        <v>39.177600000000005</v>
      </c>
      <c r="K770" s="271">
        <f t="shared" si="245"/>
        <v>456205.08266955346</v>
      </c>
      <c r="L770" s="271">
        <f>K770*0.25</f>
        <v>114051.27066738837</v>
      </c>
      <c r="M770" s="272">
        <f t="shared" si="246"/>
        <v>570256.3533369418</v>
      </c>
      <c r="N770" s="271">
        <f>M770+M775</f>
        <v>624244.88961953146</v>
      </c>
      <c r="O770" s="271">
        <f>'DGSP_chitiet (truKH)'!K770</f>
        <v>452248.9840981249</v>
      </c>
      <c r="P770" s="271">
        <f>'DGSP_chitiet (truKH)'!L770</f>
        <v>113062.24602453122</v>
      </c>
      <c r="Q770" s="306">
        <f>'DGSP_chitiet (truKH)'!M770</f>
        <v>565311.2301226561</v>
      </c>
      <c r="R770" s="271">
        <f>'DGSP_chitiet (truKH)'!N770</f>
        <v>618793.48296042066</v>
      </c>
      <c r="S770" s="271">
        <f>S758-S814/100</f>
        <v>7635.1785714285716</v>
      </c>
    </row>
    <row r="771" spans="1:19" s="240" customFormat="1" ht="13.15" customHeight="1">
      <c r="A771" s="1005"/>
      <c r="B771" s="1006"/>
      <c r="C771" s="1005"/>
      <c r="D771" s="242">
        <v>4</v>
      </c>
      <c r="E771" s="271">
        <f t="shared" si="244"/>
        <v>345927.06962500012</v>
      </c>
      <c r="F771" s="271">
        <f t="shared" si="244"/>
        <v>18756.269230769234</v>
      </c>
      <c r="G771" s="271">
        <f t="shared" si="244"/>
        <v>2147.0213024475529</v>
      </c>
      <c r="H771" s="271">
        <f t="shared" si="244"/>
        <v>736514.18181818177</v>
      </c>
      <c r="I771" s="271">
        <f t="shared" si="244"/>
        <v>4948.1378571428577</v>
      </c>
      <c r="J771" s="271">
        <f t="shared" si="244"/>
        <v>48.081600000000009</v>
      </c>
      <c r="K771" s="271">
        <f t="shared" si="245"/>
        <v>1108340.7614335415</v>
      </c>
      <c r="L771" s="271">
        <f>K771*0.25</f>
        <v>277085.19035838539</v>
      </c>
      <c r="M771" s="272">
        <f t="shared" si="246"/>
        <v>1385425.951791927</v>
      </c>
      <c r="N771" s="271">
        <f>M771+M776</f>
        <v>1459572.4102985628</v>
      </c>
      <c r="O771" s="271">
        <f>'DGSP_chitiet (truKH)'!K771</f>
        <v>1103392.6235763987</v>
      </c>
      <c r="P771" s="271">
        <f>'DGSP_chitiet (truKH)'!L771</f>
        <v>275848.15589409968</v>
      </c>
      <c r="Q771" s="306">
        <f>'DGSP_chitiet (truKH)'!M771</f>
        <v>1379240.7794704984</v>
      </c>
      <c r="R771" s="271">
        <f>'DGSP_chitiet (truKH)'!N771</f>
        <v>1451614.9372304296</v>
      </c>
      <c r="S771" s="271">
        <f>S759-S815/100</f>
        <v>9856.1634615384628</v>
      </c>
    </row>
    <row r="772" spans="1:19" s="240" customFormat="1" ht="13.15" customHeight="1">
      <c r="A772" s="1005"/>
      <c r="B772" s="1006"/>
      <c r="C772" s="1005"/>
      <c r="D772" s="242">
        <v>5</v>
      </c>
      <c r="E772" s="271">
        <f t="shared" si="244"/>
        <v>402747.1254448531</v>
      </c>
      <c r="F772" s="271">
        <f t="shared" si="244"/>
        <v>22503.884615384613</v>
      </c>
      <c r="G772" s="271">
        <f t="shared" si="244"/>
        <v>2657.6893885118147</v>
      </c>
      <c r="H772" s="271">
        <f t="shared" si="244"/>
        <v>476813.64705882355</v>
      </c>
      <c r="I772" s="271">
        <f t="shared" si="244"/>
        <v>6885.97</v>
      </c>
      <c r="J772" s="271">
        <f t="shared" si="244"/>
        <v>0</v>
      </c>
      <c r="K772" s="271">
        <f t="shared" si="245"/>
        <v>911608.31650757301</v>
      </c>
      <c r="L772" s="271">
        <f>K772*0.25</f>
        <v>227902.07912689325</v>
      </c>
      <c r="M772" s="272">
        <f t="shared" si="246"/>
        <v>1139510.3956344663</v>
      </c>
      <c r="N772" s="271">
        <f>M772+M777</f>
        <v>1212670.8023386667</v>
      </c>
      <c r="O772" s="271">
        <f>'DGSP_chitiet (truKH)'!K772</f>
        <v>904722.34650757303</v>
      </c>
      <c r="P772" s="271">
        <f>'DGSP_chitiet (truKH)'!L772</f>
        <v>226180.58662689326</v>
      </c>
      <c r="Q772" s="306">
        <f>'DGSP_chitiet (truKH)'!M772</f>
        <v>1130902.9331344664</v>
      </c>
      <c r="R772" s="271">
        <f>'DGSP_chitiet (truKH)'!N772</f>
        <v>1202582.7412403475</v>
      </c>
      <c r="S772" s="271">
        <f>S760-S816/100</f>
        <v>11450.897341628959</v>
      </c>
    </row>
    <row r="773" spans="1:19" s="240" customFormat="1">
      <c r="A773" s="1005"/>
      <c r="B773" s="1006" t="s">
        <v>331</v>
      </c>
      <c r="C773" s="1005" t="s">
        <v>49</v>
      </c>
      <c r="D773" s="242">
        <v>1</v>
      </c>
      <c r="E773" s="271">
        <f t="shared" ref="E773:J777" si="247">E761</f>
        <v>34051.826600000008</v>
      </c>
      <c r="F773" s="271">
        <f t="shared" si="247"/>
        <v>0</v>
      </c>
      <c r="G773" s="271">
        <f t="shared" si="247"/>
        <v>553.52669963858364</v>
      </c>
      <c r="H773" s="271">
        <f t="shared" si="247"/>
        <v>14344.9</v>
      </c>
      <c r="I773" s="271">
        <f t="shared" si="247"/>
        <v>734.81076224489789</v>
      </c>
      <c r="J773" s="271">
        <f t="shared" si="247"/>
        <v>872.7192</v>
      </c>
      <c r="K773" s="271">
        <f t="shared" si="245"/>
        <v>50557.783261883487</v>
      </c>
      <c r="L773" s="271">
        <f>K773*0.15</f>
        <v>7583.6674892825231</v>
      </c>
      <c r="M773" s="272">
        <f t="shared" si="246"/>
        <v>58141.450751166012</v>
      </c>
      <c r="N773" s="271"/>
      <c r="O773" s="271">
        <f>'DGSP_chitiet (truKH)'!K773</f>
        <v>49822.972499638592</v>
      </c>
      <c r="P773" s="271">
        <f>'DGSP_chitiet (truKH)'!L773</f>
        <v>7473.4458749457881</v>
      </c>
      <c r="Q773" s="306">
        <f>'DGSP_chitiet (truKH)'!M773</f>
        <v>57296.418374584377</v>
      </c>
      <c r="R773" s="271">
        <f>'DGSP_chitiet (truKH)'!N773</f>
        <v>0</v>
      </c>
      <c r="S773" s="271">
        <f>S761</f>
        <v>945.83076923076919</v>
      </c>
    </row>
    <row r="774" spans="1:19" s="240" customFormat="1">
      <c r="A774" s="1005"/>
      <c r="B774" s="1014"/>
      <c r="C774" s="1005"/>
      <c r="D774" s="242">
        <v>2</v>
      </c>
      <c r="E774" s="271">
        <f t="shared" si="247"/>
        <v>31286.177165517249</v>
      </c>
      <c r="F774" s="271">
        <f t="shared" si="247"/>
        <v>0</v>
      </c>
      <c r="G774" s="271">
        <f t="shared" si="247"/>
        <v>521.66670795608604</v>
      </c>
      <c r="H774" s="271">
        <f t="shared" si="247"/>
        <v>14032.537931034483</v>
      </c>
      <c r="I774" s="271">
        <f t="shared" si="247"/>
        <v>509.21835948275861</v>
      </c>
      <c r="J774" s="271">
        <f t="shared" si="247"/>
        <v>807.32414482758634</v>
      </c>
      <c r="K774" s="271">
        <f t="shared" si="245"/>
        <v>47156.924308818168</v>
      </c>
      <c r="L774" s="271">
        <f>K774*0.15</f>
        <v>7073.5386463227251</v>
      </c>
      <c r="M774" s="272">
        <f t="shared" si="246"/>
        <v>54230.462955140894</v>
      </c>
      <c r="N774" s="271"/>
      <c r="O774" s="271">
        <f>'DGSP_chitiet (truKH)'!K774</f>
        <v>46647.70594933541</v>
      </c>
      <c r="P774" s="271">
        <f>'DGSP_chitiet (truKH)'!L774</f>
        <v>6997.1558924003111</v>
      </c>
      <c r="Q774" s="306">
        <f>'DGSP_chitiet (truKH)'!M774</f>
        <v>53644.861841735721</v>
      </c>
      <c r="R774" s="271">
        <f>'DGSP_chitiet (truKH)'!N774</f>
        <v>0</v>
      </c>
      <c r="S774" s="271">
        <f>S762</f>
        <v>861.54217506631301</v>
      </c>
    </row>
    <row r="775" spans="1:19" s="240" customFormat="1">
      <c r="A775" s="1005"/>
      <c r="B775" s="1014"/>
      <c r="C775" s="1005"/>
      <c r="D775" s="242">
        <v>3</v>
      </c>
      <c r="E775" s="271">
        <f t="shared" si="247"/>
        <v>31249.669336734707</v>
      </c>
      <c r="F775" s="271">
        <f t="shared" si="247"/>
        <v>0</v>
      </c>
      <c r="G775" s="271">
        <f t="shared" si="247"/>
        <v>543.93790728414444</v>
      </c>
      <c r="H775" s="271">
        <f t="shared" si="247"/>
        <v>13913.542857142857</v>
      </c>
      <c r="I775" s="271">
        <f t="shared" si="247"/>
        <v>440.24647376093287</v>
      </c>
      <c r="J775" s="271">
        <f t="shared" si="247"/>
        <v>799.15671428571443</v>
      </c>
      <c r="K775" s="271">
        <f t="shared" si="245"/>
        <v>46946.553289208357</v>
      </c>
      <c r="L775" s="271">
        <f>K775*0.15</f>
        <v>7041.9829933812534</v>
      </c>
      <c r="M775" s="272">
        <f t="shared" si="246"/>
        <v>53988.536282589608</v>
      </c>
      <c r="N775" s="271"/>
      <c r="O775" s="271">
        <f>'DGSP_chitiet (truKH)'!K775</f>
        <v>46506.306815447424</v>
      </c>
      <c r="P775" s="271">
        <f>'DGSP_chitiet (truKH)'!L775</f>
        <v>6975.9460223171136</v>
      </c>
      <c r="Q775" s="306">
        <f>'DGSP_chitiet (truKH)'!M775</f>
        <v>53482.252837764536</v>
      </c>
      <c r="R775" s="271">
        <f>'DGSP_chitiet (truKH)'!N775</f>
        <v>0</v>
      </c>
      <c r="S775" s="271">
        <f>S763</f>
        <v>854.52040816326542</v>
      </c>
    </row>
    <row r="776" spans="1:19" s="240" customFormat="1">
      <c r="A776" s="1005"/>
      <c r="B776" s="1014"/>
      <c r="C776" s="1005"/>
      <c r="D776" s="242">
        <v>4</v>
      </c>
      <c r="E776" s="271">
        <f t="shared" si="247"/>
        <v>46436.10070000001</v>
      </c>
      <c r="F776" s="271">
        <f t="shared" si="247"/>
        <v>0</v>
      </c>
      <c r="G776" s="271">
        <f t="shared" si="247"/>
        <v>779.26727148174052</v>
      </c>
      <c r="H776" s="271">
        <f t="shared" si="247"/>
        <v>14509.6</v>
      </c>
      <c r="I776" s="271">
        <f t="shared" si="247"/>
        <v>1541.1310840909089</v>
      </c>
      <c r="J776" s="271">
        <f t="shared" si="247"/>
        <v>1209.0822545454546</v>
      </c>
      <c r="K776" s="271">
        <f t="shared" si="245"/>
        <v>64475.181310118111</v>
      </c>
      <c r="L776" s="271">
        <f>K776*0.15</f>
        <v>9671.2771965177162</v>
      </c>
      <c r="M776" s="272">
        <f t="shared" si="246"/>
        <v>74146.458506635827</v>
      </c>
      <c r="N776" s="271"/>
      <c r="O776" s="271">
        <f>'DGSP_chitiet (truKH)'!K776</f>
        <v>62934.050226027204</v>
      </c>
      <c r="P776" s="271">
        <f>'DGSP_chitiet (truKH)'!L776</f>
        <v>9440.1075339040799</v>
      </c>
      <c r="Q776" s="306">
        <f>'DGSP_chitiet (truKH)'!M776</f>
        <v>72374.157759931288</v>
      </c>
      <c r="R776" s="271">
        <f>'DGSP_chitiet (truKH)'!N776</f>
        <v>0</v>
      </c>
      <c r="S776" s="271">
        <f>S764</f>
        <v>1276.853846153846</v>
      </c>
    </row>
    <row r="777" spans="1:19" s="240" customFormat="1">
      <c r="A777" s="1005"/>
      <c r="B777" s="1014"/>
      <c r="C777" s="1005"/>
      <c r="D777" s="242">
        <v>5</v>
      </c>
      <c r="E777" s="271">
        <f t="shared" si="247"/>
        <v>46166.088682352958</v>
      </c>
      <c r="F777" s="271">
        <f t="shared" si="247"/>
        <v>0</v>
      </c>
      <c r="G777" s="271">
        <f t="shared" si="247"/>
        <v>791.36237698089496</v>
      </c>
      <c r="H777" s="271">
        <f t="shared" si="247"/>
        <v>14238.329411764706</v>
      </c>
      <c r="I777" s="271">
        <f t="shared" si="247"/>
        <v>1287.477042016807</v>
      </c>
      <c r="J777" s="271">
        <f t="shared" si="247"/>
        <v>1134.4874470588236</v>
      </c>
      <c r="K777" s="271">
        <f t="shared" si="245"/>
        <v>63617.744960174197</v>
      </c>
      <c r="L777" s="271">
        <f>K777*0.15</f>
        <v>9542.6617440261289</v>
      </c>
      <c r="M777" s="272">
        <f t="shared" si="246"/>
        <v>73160.40670420033</v>
      </c>
      <c r="N777" s="271"/>
      <c r="O777" s="271">
        <f>'DGSP_chitiet (truKH)'!K777</f>
        <v>62330.267918157391</v>
      </c>
      <c r="P777" s="271">
        <f>'DGSP_chitiet (truKH)'!L777</f>
        <v>9349.5401877236091</v>
      </c>
      <c r="Q777" s="306">
        <f>'DGSP_chitiet (truKH)'!M777</f>
        <v>71679.808105881006</v>
      </c>
      <c r="R777" s="271">
        <f>'DGSP_chitiet (truKH)'!N777</f>
        <v>0</v>
      </c>
      <c r="S777" s="271">
        <f>S765</f>
        <v>1254.2389140271491</v>
      </c>
    </row>
    <row r="778" spans="1:19" s="240" customFormat="1" ht="13.5">
      <c r="A778" s="242" t="s">
        <v>506</v>
      </c>
      <c r="B778" s="277" t="s">
        <v>423</v>
      </c>
      <c r="C778" s="242"/>
      <c r="D778" s="242"/>
      <c r="E778" s="271"/>
      <c r="F778" s="271"/>
      <c r="G778" s="271"/>
      <c r="H778" s="271"/>
      <c r="I778" s="271"/>
      <c r="J778" s="271"/>
      <c r="K778" s="271"/>
      <c r="L778" s="271"/>
      <c r="M778" s="272"/>
      <c r="N778" s="271"/>
      <c r="O778" s="271">
        <f>'DGSP_chitiet (truKH)'!K778</f>
        <v>0</v>
      </c>
      <c r="P778" s="271">
        <f>'DGSP_chitiet (truKH)'!L778</f>
        <v>0</v>
      </c>
      <c r="Q778" s="306">
        <f>'DGSP_chitiet (truKH)'!M778</f>
        <v>0</v>
      </c>
      <c r="R778" s="271">
        <f>'DGSP_chitiet (truKH)'!N778</f>
        <v>0</v>
      </c>
      <c r="S778" s="271"/>
    </row>
    <row r="779" spans="1:19" s="240" customFormat="1" ht="13.15" customHeight="1">
      <c r="A779" s="1005"/>
      <c r="B779" s="1006" t="s">
        <v>330</v>
      </c>
      <c r="C779" s="1005" t="s">
        <v>49</v>
      </c>
      <c r="D779" s="242">
        <v>1</v>
      </c>
      <c r="E779" s="271">
        <f t="shared" ref="E779:G788" si="248">E756*0.9</f>
        <v>182885.67990000002</v>
      </c>
      <c r="F779" s="271">
        <f t="shared" si="248"/>
        <v>9758.3538461538465</v>
      </c>
      <c r="G779" s="271">
        <f t="shared" si="248"/>
        <v>926.1980521978021</v>
      </c>
      <c r="H779" s="271">
        <f t="shared" ref="H779:H788" si="249">H756</f>
        <v>578873.65714285721</v>
      </c>
      <c r="I779" s="271">
        <f t="shared" ref="I779:J788" si="250">I756*0.9</f>
        <v>2234.4467142857143</v>
      </c>
      <c r="J779" s="271">
        <f t="shared" si="250"/>
        <v>22.838760000000004</v>
      </c>
      <c r="K779" s="271">
        <f t="shared" ref="K779:K788" si="251">SUM(E779:J779)</f>
        <v>774701.17441549455</v>
      </c>
      <c r="L779" s="271">
        <f>K779*0.25</f>
        <v>193675.29360387364</v>
      </c>
      <c r="M779" s="272">
        <f t="shared" ref="M779:M788" si="252">K779+L779</f>
        <v>968376.46801936813</v>
      </c>
      <c r="N779" s="271">
        <f>M779+M784</f>
        <v>1022353.4371954176</v>
      </c>
      <c r="O779" s="271">
        <f>'DGSP_chitiet (truKH)'!K779</f>
        <v>772466.72770120879</v>
      </c>
      <c r="P779" s="271">
        <f>'DGSP_chitiet (truKH)'!L779</f>
        <v>193116.6819253022</v>
      </c>
      <c r="Q779" s="306">
        <f>'DGSP_chitiet (truKH)'!M779</f>
        <v>965583.40962651093</v>
      </c>
      <c r="R779" s="271">
        <f>'DGSP_chitiet (truKH)'!N779</f>
        <v>1018799.8496636369</v>
      </c>
      <c r="S779" s="271">
        <f t="shared" ref="S779:S788" si="253">S756*0.9</f>
        <v>5203.3203296703296</v>
      </c>
    </row>
    <row r="780" spans="1:19" s="240" customFormat="1" ht="13.15" customHeight="1">
      <c r="A780" s="1005"/>
      <c r="B780" s="1006"/>
      <c r="C780" s="1005"/>
      <c r="D780" s="242">
        <v>2</v>
      </c>
      <c r="E780" s="271">
        <f t="shared" si="248"/>
        <v>213035.86972629317</v>
      </c>
      <c r="F780" s="271">
        <f t="shared" si="248"/>
        <v>11723.123076923079</v>
      </c>
      <c r="G780" s="271">
        <f t="shared" si="248"/>
        <v>1102.0138652188327</v>
      </c>
      <c r="H780" s="271">
        <f t="shared" si="249"/>
        <v>279834.24827586208</v>
      </c>
      <c r="I780" s="271">
        <f t="shared" si="250"/>
        <v>2979.1439999999998</v>
      </c>
      <c r="J780" s="271">
        <f t="shared" si="250"/>
        <v>28.648620000000001</v>
      </c>
      <c r="K780" s="271">
        <f t="shared" si="251"/>
        <v>508703.0475642971</v>
      </c>
      <c r="L780" s="271">
        <f>K780*0.25</f>
        <v>127175.76189107427</v>
      </c>
      <c r="M780" s="272">
        <f t="shared" si="252"/>
        <v>635878.80945537135</v>
      </c>
      <c r="N780" s="271">
        <f>M780+M785</f>
        <v>686299.96797706711</v>
      </c>
      <c r="O780" s="271">
        <f>'DGSP_chitiet (truKH)'!K780</f>
        <v>505723.90356429713</v>
      </c>
      <c r="P780" s="271">
        <f>'DGSP_chitiet (truKH)'!L780</f>
        <v>126430.97589107428</v>
      </c>
      <c r="Q780" s="306">
        <f>'DGSP_chitiet (truKH)'!M780</f>
        <v>632154.87945537141</v>
      </c>
      <c r="R780" s="271">
        <f>'DGSP_chitiet (truKH)'!N780</f>
        <v>682048.99697500258</v>
      </c>
      <c r="S780" s="271">
        <f t="shared" si="253"/>
        <v>6046.2050729442972</v>
      </c>
    </row>
    <row r="781" spans="1:19" s="240" customFormat="1" ht="13.15" customHeight="1">
      <c r="A781" s="1005"/>
      <c r="B781" s="1006"/>
      <c r="C781" s="1005"/>
      <c r="D781" s="242">
        <v>3</v>
      </c>
      <c r="E781" s="271">
        <f t="shared" si="248"/>
        <v>252396.342</v>
      </c>
      <c r="F781" s="271">
        <f t="shared" si="248"/>
        <v>14064.473076923075</v>
      </c>
      <c r="G781" s="271">
        <f t="shared" si="248"/>
        <v>1441.0426393249609</v>
      </c>
      <c r="H781" s="271">
        <f t="shared" si="249"/>
        <v>165914.47346938774</v>
      </c>
      <c r="I781" s="271">
        <f t="shared" si="250"/>
        <v>3718.7697857142862</v>
      </c>
      <c r="J781" s="271">
        <f t="shared" si="250"/>
        <v>37.062900000000006</v>
      </c>
      <c r="K781" s="271">
        <f t="shared" si="251"/>
        <v>437572.16387135006</v>
      </c>
      <c r="L781" s="271">
        <f>K781*0.25</f>
        <v>109393.04096783751</v>
      </c>
      <c r="M781" s="272">
        <f t="shared" si="252"/>
        <v>546965.20483918756</v>
      </c>
      <c r="N781" s="271">
        <f>M781+M786</f>
        <v>597154.94492208969</v>
      </c>
      <c r="O781" s="271">
        <f>'DGSP_chitiet (truKH)'!K781</f>
        <v>433853.39408563578</v>
      </c>
      <c r="P781" s="271">
        <f>'DGSP_chitiet (truKH)'!L781</f>
        <v>108463.34852140895</v>
      </c>
      <c r="Q781" s="306">
        <f>'DGSP_chitiet (truKH)'!M781</f>
        <v>542316.74260704475</v>
      </c>
      <c r="R781" s="271">
        <f>'DGSP_chitiet (truKH)'!N781</f>
        <v>592050.82758960431</v>
      </c>
      <c r="S781" s="271">
        <f t="shared" si="253"/>
        <v>7156.2857142857147</v>
      </c>
    </row>
    <row r="782" spans="1:19" s="240" customFormat="1" ht="13.15" customHeight="1">
      <c r="A782" s="1005"/>
      <c r="B782" s="1006"/>
      <c r="C782" s="1005"/>
      <c r="D782" s="242">
        <v>4</v>
      </c>
      <c r="E782" s="271">
        <f t="shared" si="248"/>
        <v>323900.91219375015</v>
      </c>
      <c r="F782" s="271">
        <f t="shared" si="248"/>
        <v>16880.642307692313</v>
      </c>
      <c r="G782" s="271">
        <f t="shared" si="248"/>
        <v>2136.8419654720283</v>
      </c>
      <c r="H782" s="271">
        <f t="shared" si="249"/>
        <v>736548.98181818181</v>
      </c>
      <c r="I782" s="271">
        <f t="shared" si="250"/>
        <v>4652.1771428571437</v>
      </c>
      <c r="J782" s="271">
        <f t="shared" si="250"/>
        <v>45.276840000000007</v>
      </c>
      <c r="K782" s="271">
        <f t="shared" si="251"/>
        <v>1084164.8322679533</v>
      </c>
      <c r="L782" s="271">
        <f>K782*0.25</f>
        <v>271041.20806698833</v>
      </c>
      <c r="M782" s="272">
        <f t="shared" si="252"/>
        <v>1355206.0403349416</v>
      </c>
      <c r="N782" s="271">
        <f>M782+M787</f>
        <v>1423606.4569909137</v>
      </c>
      <c r="O782" s="271">
        <f>'DGSP_chitiet (truKH)'!K782</f>
        <v>1079512.6551250962</v>
      </c>
      <c r="P782" s="271">
        <f>'DGSP_chitiet (truKH)'!L782</f>
        <v>269878.16378127405</v>
      </c>
      <c r="Q782" s="306">
        <f>'DGSP_chitiet (truKH)'!M782</f>
        <v>1349390.8189063703</v>
      </c>
      <c r="R782" s="271">
        <f>'DGSP_chitiet (truKH)'!N782</f>
        <v>1416196.1648903084</v>
      </c>
      <c r="S782" s="271">
        <f t="shared" si="253"/>
        <v>9226.3283653846174</v>
      </c>
    </row>
    <row r="783" spans="1:19" s="240" customFormat="1" ht="13.15" customHeight="1">
      <c r="A783" s="1005"/>
      <c r="B783" s="1006"/>
      <c r="C783" s="1005"/>
      <c r="D783" s="242">
        <v>5</v>
      </c>
      <c r="E783" s="271">
        <f t="shared" si="248"/>
        <v>380065.5822441178</v>
      </c>
      <c r="F783" s="271">
        <f t="shared" si="248"/>
        <v>20253.496153846154</v>
      </c>
      <c r="G783" s="271">
        <f t="shared" si="248"/>
        <v>2657.04258908371</v>
      </c>
      <c r="H783" s="271">
        <f t="shared" si="249"/>
        <v>476848.44705882354</v>
      </c>
      <c r="I783" s="271">
        <f t="shared" si="250"/>
        <v>6477.7249285714288</v>
      </c>
      <c r="J783" s="271">
        <f t="shared" si="250"/>
        <v>2.4040800000000004</v>
      </c>
      <c r="K783" s="271">
        <f t="shared" si="251"/>
        <v>886304.6970544426</v>
      </c>
      <c r="L783" s="271">
        <f>K783*0.25</f>
        <v>221576.17426361065</v>
      </c>
      <c r="M783" s="272">
        <f t="shared" si="252"/>
        <v>1107880.8713180532</v>
      </c>
      <c r="N783" s="271">
        <f>M783+M788</f>
        <v>1175362.6452341864</v>
      </c>
      <c r="O783" s="271">
        <f>'DGSP_chitiet (truKH)'!K783</f>
        <v>879826.97212587122</v>
      </c>
      <c r="P783" s="271">
        <f>'DGSP_chitiet (truKH)'!L783</f>
        <v>219956.74303146781</v>
      </c>
      <c r="Q783" s="306">
        <f>'DGSP_chitiet (truKH)'!M783</f>
        <v>1099783.7151573391</v>
      </c>
      <c r="R783" s="271">
        <f>'DGSP_chitiet (truKH)'!N783</f>
        <v>1165932.950334985</v>
      </c>
      <c r="S783" s="271">
        <f t="shared" si="253"/>
        <v>10803.901357466064</v>
      </c>
    </row>
    <row r="784" spans="1:19" s="240" customFormat="1">
      <c r="A784" s="1005"/>
      <c r="B784" s="1006" t="s">
        <v>331</v>
      </c>
      <c r="C784" s="1005" t="s">
        <v>49</v>
      </c>
      <c r="D784" s="275" t="s">
        <v>18</v>
      </c>
      <c r="E784" s="271">
        <f t="shared" si="248"/>
        <v>30646.643940000009</v>
      </c>
      <c r="F784" s="271">
        <f t="shared" si="248"/>
        <v>0</v>
      </c>
      <c r="G784" s="271">
        <f t="shared" si="248"/>
        <v>498.17402967472526</v>
      </c>
      <c r="H784" s="271">
        <f t="shared" si="249"/>
        <v>14344.9</v>
      </c>
      <c r="I784" s="271">
        <f t="shared" si="250"/>
        <v>661.32968602040808</v>
      </c>
      <c r="J784" s="271">
        <f t="shared" si="250"/>
        <v>785.44727999999998</v>
      </c>
      <c r="K784" s="271">
        <f t="shared" si="251"/>
        <v>46936.49493569514</v>
      </c>
      <c r="L784" s="271">
        <f>K784*0.15</f>
        <v>7040.4742403542705</v>
      </c>
      <c r="M784" s="272">
        <f t="shared" si="252"/>
        <v>53976.96917604941</v>
      </c>
      <c r="N784" s="271"/>
      <c r="O784" s="271">
        <f>'DGSP_chitiet (truKH)'!K784</f>
        <v>46275.165249674734</v>
      </c>
      <c r="P784" s="271">
        <f>'DGSP_chitiet (truKH)'!L784</f>
        <v>6941.2747874512097</v>
      </c>
      <c r="Q784" s="306">
        <f>'DGSP_chitiet (truKH)'!M784</f>
        <v>53216.44003712594</v>
      </c>
      <c r="R784" s="271">
        <f>'DGSP_chitiet (truKH)'!N784</f>
        <v>0</v>
      </c>
      <c r="S784" s="271">
        <f t="shared" si="253"/>
        <v>851.24769230769232</v>
      </c>
    </row>
    <row r="785" spans="1:19" s="240" customFormat="1">
      <c r="A785" s="1005"/>
      <c r="B785" s="1014"/>
      <c r="C785" s="1005"/>
      <c r="D785" s="242">
        <v>2</v>
      </c>
      <c r="E785" s="271">
        <f t="shared" si="248"/>
        <v>28157.559448965523</v>
      </c>
      <c r="F785" s="271">
        <f t="shared" si="248"/>
        <v>0</v>
      </c>
      <c r="G785" s="271">
        <f t="shared" si="248"/>
        <v>469.50003716047746</v>
      </c>
      <c r="H785" s="271">
        <f t="shared" si="249"/>
        <v>14032.537931034483</v>
      </c>
      <c r="I785" s="271">
        <f t="shared" si="250"/>
        <v>458.29652353448279</v>
      </c>
      <c r="J785" s="271">
        <f t="shared" si="250"/>
        <v>726.59173034482774</v>
      </c>
      <c r="K785" s="271">
        <f t="shared" si="251"/>
        <v>43844.485671039794</v>
      </c>
      <c r="L785" s="271">
        <f>K785*0.15</f>
        <v>6576.6728506559693</v>
      </c>
      <c r="M785" s="272">
        <f t="shared" si="252"/>
        <v>50421.158521695761</v>
      </c>
      <c r="N785" s="271"/>
      <c r="O785" s="271">
        <f>'DGSP_chitiet (truKH)'!K785</f>
        <v>43386.189147505313</v>
      </c>
      <c r="P785" s="271">
        <f>'DGSP_chitiet (truKH)'!L785</f>
        <v>6507.9283721257971</v>
      </c>
      <c r="Q785" s="306">
        <f>'DGSP_chitiet (truKH)'!M785</f>
        <v>49894.117519631109</v>
      </c>
      <c r="R785" s="271">
        <f>'DGSP_chitiet (truKH)'!N785</f>
        <v>0</v>
      </c>
      <c r="S785" s="271">
        <f t="shared" si="253"/>
        <v>775.38795755968169</v>
      </c>
    </row>
    <row r="786" spans="1:19" s="240" customFormat="1">
      <c r="A786" s="1005"/>
      <c r="B786" s="1014"/>
      <c r="C786" s="1005"/>
      <c r="D786" s="242">
        <v>3</v>
      </c>
      <c r="E786" s="271">
        <f t="shared" si="248"/>
        <v>28124.702403061237</v>
      </c>
      <c r="F786" s="271">
        <f t="shared" si="248"/>
        <v>0</v>
      </c>
      <c r="G786" s="271">
        <f t="shared" si="248"/>
        <v>489.54411655573</v>
      </c>
      <c r="H786" s="271">
        <f t="shared" si="249"/>
        <v>13913.542857142857</v>
      </c>
      <c r="I786" s="271">
        <f t="shared" si="250"/>
        <v>396.22182638483957</v>
      </c>
      <c r="J786" s="271">
        <f t="shared" si="250"/>
        <v>719.24104285714304</v>
      </c>
      <c r="K786" s="271">
        <f t="shared" si="251"/>
        <v>43643.252246001815</v>
      </c>
      <c r="L786" s="271">
        <f>K786*0.15</f>
        <v>6546.4878369002718</v>
      </c>
      <c r="M786" s="272">
        <f t="shared" si="252"/>
        <v>50189.740082902084</v>
      </c>
      <c r="N786" s="271"/>
      <c r="O786" s="271">
        <f>'DGSP_chitiet (truKH)'!K786</f>
        <v>43247.030419616975</v>
      </c>
      <c r="P786" s="271">
        <f>'DGSP_chitiet (truKH)'!L786</f>
        <v>6487.054562942546</v>
      </c>
      <c r="Q786" s="306">
        <f>'DGSP_chitiet (truKH)'!M786</f>
        <v>49734.084982559521</v>
      </c>
      <c r="R786" s="271">
        <f>'DGSP_chitiet (truKH)'!N786</f>
        <v>0</v>
      </c>
      <c r="S786" s="271">
        <f t="shared" si="253"/>
        <v>769.06836734693889</v>
      </c>
    </row>
    <row r="787" spans="1:19" s="240" customFormat="1">
      <c r="A787" s="1005"/>
      <c r="B787" s="1014"/>
      <c r="C787" s="1005"/>
      <c r="D787" s="242">
        <v>4</v>
      </c>
      <c r="E787" s="271">
        <f t="shared" si="248"/>
        <v>41792.490630000008</v>
      </c>
      <c r="F787" s="271">
        <f t="shared" si="248"/>
        <v>0</v>
      </c>
      <c r="G787" s="271">
        <f t="shared" si="248"/>
        <v>701.34054433356653</v>
      </c>
      <c r="H787" s="271">
        <f t="shared" si="249"/>
        <v>14509.6</v>
      </c>
      <c r="I787" s="271">
        <f t="shared" si="250"/>
        <v>1387.0179756818179</v>
      </c>
      <c r="J787" s="271">
        <f t="shared" si="250"/>
        <v>1088.1740290909092</v>
      </c>
      <c r="K787" s="271">
        <f t="shared" si="251"/>
        <v>59478.623179106296</v>
      </c>
      <c r="L787" s="271">
        <f>K787*0.15</f>
        <v>8921.7934768659434</v>
      </c>
      <c r="M787" s="272">
        <f t="shared" si="252"/>
        <v>68400.416655972236</v>
      </c>
      <c r="N787" s="271"/>
      <c r="O787" s="271">
        <f>'DGSP_chitiet (truKH)'!K787</f>
        <v>58091.605203424479</v>
      </c>
      <c r="P787" s="271">
        <f>'DGSP_chitiet (truKH)'!L787</f>
        <v>8713.7407805136718</v>
      </c>
      <c r="Q787" s="306">
        <f>'DGSP_chitiet (truKH)'!M787</f>
        <v>66805.345983938154</v>
      </c>
      <c r="R787" s="271">
        <f>'DGSP_chitiet (truKH)'!N787</f>
        <v>0</v>
      </c>
      <c r="S787" s="271">
        <f t="shared" si="253"/>
        <v>1149.1684615384615</v>
      </c>
    </row>
    <row r="788" spans="1:19" s="240" customFormat="1">
      <c r="A788" s="1005"/>
      <c r="B788" s="1014"/>
      <c r="C788" s="1005"/>
      <c r="D788" s="242">
        <v>5</v>
      </c>
      <c r="E788" s="271">
        <f t="shared" si="248"/>
        <v>41549.479814117665</v>
      </c>
      <c r="F788" s="271">
        <f t="shared" si="248"/>
        <v>0</v>
      </c>
      <c r="G788" s="271">
        <f t="shared" si="248"/>
        <v>712.22613928280543</v>
      </c>
      <c r="H788" s="271">
        <f t="shared" si="249"/>
        <v>14238.329411764706</v>
      </c>
      <c r="I788" s="271">
        <f t="shared" si="250"/>
        <v>1158.7293378151264</v>
      </c>
      <c r="J788" s="271">
        <f t="shared" si="250"/>
        <v>1021.0387023529413</v>
      </c>
      <c r="K788" s="271">
        <f t="shared" si="251"/>
        <v>58679.803405333252</v>
      </c>
      <c r="L788" s="271">
        <f>K788*0.15</f>
        <v>8801.9705107999871</v>
      </c>
      <c r="M788" s="272">
        <f t="shared" si="252"/>
        <v>67481.773916133243</v>
      </c>
      <c r="N788" s="271"/>
      <c r="O788" s="271">
        <f>'DGSP_chitiet (truKH)'!K788</f>
        <v>57521.074067518122</v>
      </c>
      <c r="P788" s="271">
        <f>'DGSP_chitiet (truKH)'!L788</f>
        <v>8628.1611101277176</v>
      </c>
      <c r="Q788" s="306">
        <f>'DGSP_chitiet (truKH)'!M788</f>
        <v>66149.235177645838</v>
      </c>
      <c r="R788" s="271">
        <f>'DGSP_chitiet (truKH)'!N788</f>
        <v>0</v>
      </c>
      <c r="S788" s="271">
        <f t="shared" si="253"/>
        <v>1128.8150226244343</v>
      </c>
    </row>
    <row r="789" spans="1:19" s="240" customFormat="1" ht="13.5">
      <c r="A789" s="242" t="s">
        <v>507</v>
      </c>
      <c r="B789" s="277" t="s">
        <v>424</v>
      </c>
      <c r="C789" s="242"/>
      <c r="D789" s="242"/>
      <c r="E789" s="271"/>
      <c r="F789" s="271"/>
      <c r="G789" s="271"/>
      <c r="H789" s="271"/>
      <c r="I789" s="271"/>
      <c r="J789" s="271"/>
      <c r="K789" s="271"/>
      <c r="L789" s="271"/>
      <c r="M789" s="272"/>
      <c r="N789" s="271"/>
      <c r="O789" s="271">
        <f>'DGSP_chitiet (truKH)'!K789</f>
        <v>0</v>
      </c>
      <c r="P789" s="271">
        <f>'DGSP_chitiet (truKH)'!L789</f>
        <v>0</v>
      </c>
      <c r="Q789" s="306">
        <f>'DGSP_chitiet (truKH)'!M789</f>
        <v>0</v>
      </c>
      <c r="R789" s="271">
        <f>'DGSP_chitiet (truKH)'!N789</f>
        <v>0</v>
      </c>
      <c r="S789" s="271"/>
    </row>
    <row r="790" spans="1:19" s="240" customFormat="1" ht="13.15" customHeight="1">
      <c r="A790" s="1005"/>
      <c r="B790" s="1006" t="s">
        <v>330</v>
      </c>
      <c r="C790" s="1005" t="s">
        <v>49</v>
      </c>
      <c r="D790" s="242">
        <v>1</v>
      </c>
      <c r="E790" s="271">
        <f t="shared" ref="E790:G799" si="254">E756*0.8</f>
        <v>162565.04880000002</v>
      </c>
      <c r="F790" s="271">
        <f t="shared" si="254"/>
        <v>8674.0923076923082</v>
      </c>
      <c r="G790" s="271">
        <f t="shared" si="254"/>
        <v>823.28715750915751</v>
      </c>
      <c r="H790" s="271">
        <f t="shared" ref="H790:H799" si="255">H756</f>
        <v>578873.65714285721</v>
      </c>
      <c r="I790" s="271">
        <f t="shared" ref="I790:J799" si="256">I756*0.8</f>
        <v>1986.1748571428573</v>
      </c>
      <c r="J790" s="271">
        <f t="shared" si="256"/>
        <v>20.301120000000004</v>
      </c>
      <c r="K790" s="271">
        <f t="shared" ref="K790:K799" si="257">SUM(E790:J790)</f>
        <v>752942.56138520152</v>
      </c>
      <c r="L790" s="271">
        <f>K790*0.25</f>
        <v>188235.64034630038</v>
      </c>
      <c r="M790" s="272">
        <f t="shared" ref="M790:M799" si="258">K790+L790</f>
        <v>941178.20173150185</v>
      </c>
      <c r="N790" s="271">
        <f>M790+M795</f>
        <v>990990.68933243467</v>
      </c>
      <c r="O790" s="271">
        <f>'DGSP_chitiet (truKH)'!K790</f>
        <v>750956.38652805868</v>
      </c>
      <c r="P790" s="271">
        <f>'DGSP_chitiet (truKH)'!L790</f>
        <v>187739.09663201467</v>
      </c>
      <c r="Q790" s="306">
        <f>'DGSP_chitiet (truKH)'!M790</f>
        <v>938695.4831600734</v>
      </c>
      <c r="R790" s="271">
        <f>'DGSP_chitiet (truKH)'!N790</f>
        <v>987831.94485974091</v>
      </c>
      <c r="S790" s="271">
        <f t="shared" ref="S790:S799" si="259">S756*0.8</f>
        <v>4625.1736263736266</v>
      </c>
    </row>
    <row r="791" spans="1:19" s="240" customFormat="1" ht="13.15" customHeight="1">
      <c r="A791" s="1005"/>
      <c r="B791" s="1006"/>
      <c r="C791" s="1005"/>
      <c r="D791" s="242">
        <v>2</v>
      </c>
      <c r="E791" s="271">
        <f t="shared" si="254"/>
        <v>189365.21753448283</v>
      </c>
      <c r="F791" s="271">
        <f t="shared" si="254"/>
        <v>10420.553846153849</v>
      </c>
      <c r="G791" s="271">
        <f t="shared" si="254"/>
        <v>979.56788019451801</v>
      </c>
      <c r="H791" s="271">
        <f t="shared" si="255"/>
        <v>279834.24827586208</v>
      </c>
      <c r="I791" s="271">
        <f t="shared" si="256"/>
        <v>2648.1280000000002</v>
      </c>
      <c r="J791" s="271">
        <f t="shared" si="256"/>
        <v>25.465440000000001</v>
      </c>
      <c r="K791" s="271">
        <f t="shared" si="257"/>
        <v>483273.18097669329</v>
      </c>
      <c r="L791" s="271">
        <f>K791*0.25</f>
        <v>120818.29524417332</v>
      </c>
      <c r="M791" s="272">
        <f t="shared" si="258"/>
        <v>604091.47622086667</v>
      </c>
      <c r="N791" s="271">
        <f>M791+M796</f>
        <v>650703.33030911733</v>
      </c>
      <c r="O791" s="271">
        <f>'DGSP_chitiet (truKH)'!K791</f>
        <v>480625.05297669326</v>
      </c>
      <c r="P791" s="271">
        <f>'DGSP_chitiet (truKH)'!L791</f>
        <v>120156.26324417331</v>
      </c>
      <c r="Q791" s="306">
        <f>'DGSP_chitiet (truKH)'!M791</f>
        <v>600781.31622086652</v>
      </c>
      <c r="R791" s="271">
        <f>'DGSP_chitiet (truKH)'!N791</f>
        <v>646924.68941839307</v>
      </c>
      <c r="S791" s="271">
        <f t="shared" si="259"/>
        <v>5374.4045092838205</v>
      </c>
    </row>
    <row r="792" spans="1:19" s="240" customFormat="1" ht="13.15" customHeight="1">
      <c r="A792" s="1005"/>
      <c r="B792" s="1006"/>
      <c r="C792" s="1005"/>
      <c r="D792" s="242">
        <v>3</v>
      </c>
      <c r="E792" s="271">
        <f t="shared" si="254"/>
        <v>224352.304</v>
      </c>
      <c r="F792" s="271">
        <f t="shared" si="254"/>
        <v>12501.753846153846</v>
      </c>
      <c r="G792" s="271">
        <f t="shared" si="254"/>
        <v>1280.9267905110764</v>
      </c>
      <c r="H792" s="271">
        <f t="shared" si="255"/>
        <v>165914.47346938774</v>
      </c>
      <c r="I792" s="271">
        <f t="shared" si="256"/>
        <v>3305.5731428571435</v>
      </c>
      <c r="J792" s="271">
        <f t="shared" si="256"/>
        <v>32.944800000000008</v>
      </c>
      <c r="K792" s="271">
        <f t="shared" si="257"/>
        <v>407387.97604890983</v>
      </c>
      <c r="L792" s="271">
        <f>K792*0.25</f>
        <v>101846.99401222746</v>
      </c>
      <c r="M792" s="272">
        <f t="shared" si="258"/>
        <v>509234.97006113728</v>
      </c>
      <c r="N792" s="271">
        <f>M792+M797</f>
        <v>555625.91394435184</v>
      </c>
      <c r="O792" s="271">
        <f>'DGSP_chitiet (truKH)'!K792</f>
        <v>404082.40290605271</v>
      </c>
      <c r="P792" s="271">
        <f>'DGSP_chitiet (truKH)'!L792</f>
        <v>101020.60072651318</v>
      </c>
      <c r="Q792" s="306">
        <f>'DGSP_chitiet (truKH)'!M792</f>
        <v>505103.0036325659</v>
      </c>
      <c r="R792" s="271">
        <f>'DGSP_chitiet (truKH)'!N792</f>
        <v>551088.92075992038</v>
      </c>
      <c r="S792" s="271">
        <f t="shared" si="259"/>
        <v>6361.1428571428578</v>
      </c>
    </row>
    <row r="793" spans="1:19" s="240" customFormat="1" ht="13.15" customHeight="1">
      <c r="A793" s="1005"/>
      <c r="B793" s="1006"/>
      <c r="C793" s="1005"/>
      <c r="D793" s="242">
        <v>4</v>
      </c>
      <c r="E793" s="271">
        <f t="shared" si="254"/>
        <v>287911.92195000011</v>
      </c>
      <c r="F793" s="271">
        <f t="shared" si="254"/>
        <v>15005.015384615388</v>
      </c>
      <c r="G793" s="271">
        <f t="shared" si="254"/>
        <v>1899.4150804195808</v>
      </c>
      <c r="H793" s="271">
        <f t="shared" si="255"/>
        <v>736548.98181818181</v>
      </c>
      <c r="I793" s="271">
        <f t="shared" si="256"/>
        <v>4135.2685714285717</v>
      </c>
      <c r="J793" s="271">
        <f t="shared" si="256"/>
        <v>40.246080000000006</v>
      </c>
      <c r="K793" s="271">
        <f t="shared" si="257"/>
        <v>1045540.8488846455</v>
      </c>
      <c r="L793" s="271">
        <f>K793*0.25</f>
        <v>261385.21222116138</v>
      </c>
      <c r="M793" s="272">
        <f t="shared" si="258"/>
        <v>1306926.0611058068</v>
      </c>
      <c r="N793" s="271">
        <f>M793+M798</f>
        <v>1369580.4359111155</v>
      </c>
      <c r="O793" s="271">
        <f>'DGSP_chitiet (truKH)'!K793</f>
        <v>1041405.5803132169</v>
      </c>
      <c r="P793" s="271">
        <f>'DGSP_chitiet (truKH)'!L793</f>
        <v>260351.39507830422</v>
      </c>
      <c r="Q793" s="306">
        <f>'DGSP_chitiet (truKH)'!M793</f>
        <v>1301756.9753915211</v>
      </c>
      <c r="R793" s="271">
        <f>'DGSP_chitiet (truKH)'!N793</f>
        <v>1362993.5095994661</v>
      </c>
      <c r="S793" s="271">
        <f t="shared" si="259"/>
        <v>8201.1807692307702</v>
      </c>
    </row>
    <row r="794" spans="1:19" s="240" customFormat="1" ht="13.15" customHeight="1">
      <c r="A794" s="1005"/>
      <c r="B794" s="1006"/>
      <c r="C794" s="1005"/>
      <c r="D794" s="242">
        <v>5</v>
      </c>
      <c r="E794" s="271">
        <f t="shared" si="254"/>
        <v>337836.0731058825</v>
      </c>
      <c r="F794" s="271">
        <f t="shared" si="254"/>
        <v>18003.107692307691</v>
      </c>
      <c r="G794" s="271">
        <f t="shared" si="254"/>
        <v>2361.8156347410759</v>
      </c>
      <c r="H794" s="271">
        <f t="shared" si="255"/>
        <v>476848.44705882354</v>
      </c>
      <c r="I794" s="271">
        <f t="shared" si="256"/>
        <v>5757.9777142857147</v>
      </c>
      <c r="J794" s="271">
        <f t="shared" si="256"/>
        <v>2.1369600000000002</v>
      </c>
      <c r="K794" s="271">
        <f t="shared" si="257"/>
        <v>840809.55816604057</v>
      </c>
      <c r="L794" s="271">
        <f>K794*0.25</f>
        <v>210202.38954151014</v>
      </c>
      <c r="M794" s="272">
        <f t="shared" si="258"/>
        <v>1051011.9477075506</v>
      </c>
      <c r="N794" s="271">
        <f>M794+M799</f>
        <v>1112815.0888356168</v>
      </c>
      <c r="O794" s="271">
        <f>'DGSP_chitiet (truKH)'!K794</f>
        <v>835051.58045175485</v>
      </c>
      <c r="P794" s="271">
        <f>'DGSP_chitiet (truKH)'!L794</f>
        <v>208762.89511293871</v>
      </c>
      <c r="Q794" s="306">
        <f>'DGSP_chitiet (truKH)'!M794</f>
        <v>1043814.4755646936</v>
      </c>
      <c r="R794" s="271">
        <f>'DGSP_chitiet (truKH)'!N794</f>
        <v>1104433.1378141043</v>
      </c>
      <c r="S794" s="271">
        <f t="shared" si="259"/>
        <v>9603.4678733031669</v>
      </c>
    </row>
    <row r="795" spans="1:19" s="240" customFormat="1" ht="13.15" customHeight="1">
      <c r="A795" s="1005"/>
      <c r="B795" s="1006" t="s">
        <v>331</v>
      </c>
      <c r="C795" s="1005" t="s">
        <v>49</v>
      </c>
      <c r="D795" s="242" t="s">
        <v>18</v>
      </c>
      <c r="E795" s="271">
        <f t="shared" si="254"/>
        <v>27241.461280000007</v>
      </c>
      <c r="F795" s="271">
        <f t="shared" si="254"/>
        <v>0</v>
      </c>
      <c r="G795" s="271">
        <f t="shared" si="254"/>
        <v>442.82135971086694</v>
      </c>
      <c r="H795" s="271">
        <f t="shared" si="255"/>
        <v>14344.9</v>
      </c>
      <c r="I795" s="271">
        <f t="shared" si="256"/>
        <v>587.84860979591838</v>
      </c>
      <c r="J795" s="271">
        <f t="shared" si="256"/>
        <v>698.17536000000007</v>
      </c>
      <c r="K795" s="271">
        <f t="shared" si="257"/>
        <v>43315.206609506793</v>
      </c>
      <c r="L795" s="271">
        <f>K795*0.15</f>
        <v>6497.2809914260188</v>
      </c>
      <c r="M795" s="272">
        <f t="shared" si="258"/>
        <v>49812.487600932815</v>
      </c>
      <c r="N795" s="271"/>
      <c r="O795" s="271">
        <f>'DGSP_chitiet (truKH)'!K795</f>
        <v>42727.357999710875</v>
      </c>
      <c r="P795" s="271">
        <f>'DGSP_chitiet (truKH)'!L795</f>
        <v>6409.1036999566313</v>
      </c>
      <c r="Q795" s="306">
        <f>'DGSP_chitiet (truKH)'!M795</f>
        <v>49136.461699667503</v>
      </c>
      <c r="R795" s="271">
        <f>'DGSP_chitiet (truKH)'!N795</f>
        <v>0</v>
      </c>
      <c r="S795" s="271">
        <f t="shared" si="259"/>
        <v>756.66461538461544</v>
      </c>
    </row>
    <row r="796" spans="1:19" s="240" customFormat="1" ht="13.15" customHeight="1">
      <c r="A796" s="1005"/>
      <c r="B796" s="1006"/>
      <c r="C796" s="1005"/>
      <c r="D796" s="242">
        <v>2</v>
      </c>
      <c r="E796" s="271">
        <f t="shared" si="254"/>
        <v>25028.941732413801</v>
      </c>
      <c r="F796" s="271">
        <f t="shared" si="254"/>
        <v>0</v>
      </c>
      <c r="G796" s="271">
        <f t="shared" si="254"/>
        <v>417.33336636486888</v>
      </c>
      <c r="H796" s="271">
        <f t="shared" si="255"/>
        <v>14032.537931034483</v>
      </c>
      <c r="I796" s="271">
        <f t="shared" si="256"/>
        <v>407.3746875862069</v>
      </c>
      <c r="J796" s="271">
        <f t="shared" si="256"/>
        <v>645.85931586206914</v>
      </c>
      <c r="K796" s="271">
        <f t="shared" si="257"/>
        <v>40532.047033261435</v>
      </c>
      <c r="L796" s="271">
        <f>K796*0.15</f>
        <v>6079.8070549892154</v>
      </c>
      <c r="M796" s="272">
        <f t="shared" si="258"/>
        <v>46611.85408825065</v>
      </c>
      <c r="N796" s="271"/>
      <c r="O796" s="271">
        <f>'DGSP_chitiet (truKH)'!K796</f>
        <v>40124.67234567523</v>
      </c>
      <c r="P796" s="271">
        <f>'DGSP_chitiet (truKH)'!L796</f>
        <v>6018.7008518512839</v>
      </c>
      <c r="Q796" s="306">
        <f>'DGSP_chitiet (truKH)'!M796</f>
        <v>46143.373197526511</v>
      </c>
      <c r="R796" s="271">
        <f>'DGSP_chitiet (truKH)'!N796</f>
        <v>0</v>
      </c>
      <c r="S796" s="271">
        <f t="shared" si="259"/>
        <v>689.2337400530505</v>
      </c>
    </row>
    <row r="797" spans="1:19" s="240" customFormat="1" ht="13.15" customHeight="1">
      <c r="A797" s="1005"/>
      <c r="B797" s="1006"/>
      <c r="C797" s="1005"/>
      <c r="D797" s="242">
        <v>3</v>
      </c>
      <c r="E797" s="271">
        <f t="shared" si="254"/>
        <v>24999.735469387768</v>
      </c>
      <c r="F797" s="271">
        <f t="shared" si="254"/>
        <v>0</v>
      </c>
      <c r="G797" s="271">
        <f t="shared" si="254"/>
        <v>435.15032582731556</v>
      </c>
      <c r="H797" s="271">
        <f t="shared" si="255"/>
        <v>13913.542857142857</v>
      </c>
      <c r="I797" s="271">
        <f t="shared" si="256"/>
        <v>352.19717900874633</v>
      </c>
      <c r="J797" s="271">
        <f t="shared" si="256"/>
        <v>639.32537142857154</v>
      </c>
      <c r="K797" s="271">
        <f t="shared" si="257"/>
        <v>40339.951202795259</v>
      </c>
      <c r="L797" s="271">
        <f>K797*0.15</f>
        <v>6050.9926804192883</v>
      </c>
      <c r="M797" s="272">
        <f t="shared" si="258"/>
        <v>46390.943883214546</v>
      </c>
      <c r="N797" s="271"/>
      <c r="O797" s="271">
        <f>'DGSP_chitiet (truKH)'!K797</f>
        <v>39987.754023786511</v>
      </c>
      <c r="P797" s="271">
        <f>'DGSP_chitiet (truKH)'!L797</f>
        <v>5998.1631035679766</v>
      </c>
      <c r="Q797" s="306">
        <f>'DGSP_chitiet (truKH)'!M797</f>
        <v>45985.917127354485</v>
      </c>
      <c r="R797" s="271">
        <f>'DGSP_chitiet (truKH)'!N797</f>
        <v>0</v>
      </c>
      <c r="S797" s="271">
        <f t="shared" si="259"/>
        <v>683.61632653061235</v>
      </c>
    </row>
    <row r="798" spans="1:19" s="240" customFormat="1" ht="13.15" customHeight="1">
      <c r="A798" s="1005"/>
      <c r="B798" s="1006"/>
      <c r="C798" s="1005"/>
      <c r="D798" s="242">
        <v>4</v>
      </c>
      <c r="E798" s="271">
        <f t="shared" si="254"/>
        <v>37148.880560000012</v>
      </c>
      <c r="F798" s="271">
        <f t="shared" si="254"/>
        <v>0</v>
      </c>
      <c r="G798" s="271">
        <f t="shared" si="254"/>
        <v>623.41381718539242</v>
      </c>
      <c r="H798" s="271">
        <f t="shared" si="255"/>
        <v>14509.6</v>
      </c>
      <c r="I798" s="271">
        <f t="shared" si="256"/>
        <v>1232.9048672727272</v>
      </c>
      <c r="J798" s="271">
        <f t="shared" si="256"/>
        <v>967.26580363636367</v>
      </c>
      <c r="K798" s="271">
        <f t="shared" si="257"/>
        <v>54482.065048094497</v>
      </c>
      <c r="L798" s="271">
        <f>K798*0.15</f>
        <v>8172.3097572141742</v>
      </c>
      <c r="M798" s="272">
        <f t="shared" si="258"/>
        <v>62654.374805308675</v>
      </c>
      <c r="N798" s="271"/>
      <c r="O798" s="271">
        <f>'DGSP_chitiet (truKH)'!K798</f>
        <v>53249.160180821767</v>
      </c>
      <c r="P798" s="271">
        <f>'DGSP_chitiet (truKH)'!L798</f>
        <v>7987.3740271232646</v>
      </c>
      <c r="Q798" s="306">
        <f>'DGSP_chitiet (truKH)'!M798</f>
        <v>61236.534207945035</v>
      </c>
      <c r="R798" s="271">
        <f>'DGSP_chitiet (truKH)'!N798</f>
        <v>0</v>
      </c>
      <c r="S798" s="271">
        <f t="shared" si="259"/>
        <v>1021.4830769230769</v>
      </c>
    </row>
    <row r="799" spans="1:19" s="240" customFormat="1" ht="13.15" customHeight="1">
      <c r="A799" s="1005"/>
      <c r="B799" s="1006"/>
      <c r="C799" s="1005"/>
      <c r="D799" s="242">
        <v>5</v>
      </c>
      <c r="E799" s="271">
        <f t="shared" si="254"/>
        <v>36932.870945882365</v>
      </c>
      <c r="F799" s="271">
        <f t="shared" si="254"/>
        <v>0</v>
      </c>
      <c r="G799" s="271">
        <f t="shared" si="254"/>
        <v>633.08990158471602</v>
      </c>
      <c r="H799" s="271">
        <f t="shared" si="255"/>
        <v>14238.329411764706</v>
      </c>
      <c r="I799" s="271">
        <f t="shared" si="256"/>
        <v>1029.9816336134456</v>
      </c>
      <c r="J799" s="271">
        <f t="shared" si="256"/>
        <v>907.5899576470589</v>
      </c>
      <c r="K799" s="271">
        <f t="shared" si="257"/>
        <v>53741.861850492292</v>
      </c>
      <c r="L799" s="271">
        <f>K799*0.15</f>
        <v>8061.2792775738435</v>
      </c>
      <c r="M799" s="272">
        <f t="shared" si="258"/>
        <v>61803.141128066134</v>
      </c>
      <c r="N799" s="271"/>
      <c r="O799" s="271">
        <f>'DGSP_chitiet (truKH)'!K799</f>
        <v>52711.880216878846</v>
      </c>
      <c r="P799" s="271">
        <f>'DGSP_chitiet (truKH)'!L799</f>
        <v>7906.7820325318262</v>
      </c>
      <c r="Q799" s="306">
        <f>'DGSP_chitiet (truKH)'!M799</f>
        <v>60618.66224941067</v>
      </c>
      <c r="R799" s="271">
        <f>'DGSP_chitiet (truKH)'!N799</f>
        <v>0</v>
      </c>
      <c r="S799" s="271">
        <f t="shared" si="259"/>
        <v>1003.3911312217193</v>
      </c>
    </row>
    <row r="800" spans="1:19" s="232" customFormat="1" ht="12.75" customHeight="1">
      <c r="A800" s="242" t="s">
        <v>493</v>
      </c>
      <c r="B800" s="277" t="s">
        <v>491</v>
      </c>
      <c r="C800" s="242"/>
      <c r="D800" s="242"/>
      <c r="E800" s="271"/>
      <c r="F800" s="271"/>
      <c r="G800" s="271"/>
      <c r="H800" s="271"/>
      <c r="I800" s="271"/>
      <c r="J800" s="271"/>
      <c r="K800" s="271"/>
      <c r="L800" s="271"/>
      <c r="M800" s="272"/>
      <c r="N800" s="271"/>
      <c r="O800" s="271">
        <f>'DGSP_chitiet (truKH)'!K800</f>
        <v>0</v>
      </c>
      <c r="P800" s="271">
        <f>'DGSP_chitiet (truKH)'!L800</f>
        <v>0</v>
      </c>
      <c r="Q800" s="306">
        <f>'DGSP_chitiet (truKH)'!M800</f>
        <v>0</v>
      </c>
      <c r="R800" s="271">
        <f>'DGSP_chitiet (truKH)'!N800</f>
        <v>0</v>
      </c>
      <c r="S800" s="271"/>
    </row>
    <row r="801" spans="1:19" s="240" customFormat="1" ht="13.15" customHeight="1">
      <c r="A801" s="1005"/>
      <c r="B801" s="1006" t="s">
        <v>192</v>
      </c>
      <c r="C801" s="1005" t="s">
        <v>49</v>
      </c>
      <c r="D801" s="242" t="s">
        <v>18</v>
      </c>
      <c r="E801" s="271">
        <f>E$833/100+(E$835+E$836)/$C761</f>
        <v>11229.186335714288</v>
      </c>
      <c r="F801" s="271"/>
      <c r="G801" s="271">
        <f t="shared" ref="G801:J805" si="260">G756</f>
        <v>1029.1089468864468</v>
      </c>
      <c r="H801" s="271">
        <f t="shared" si="260"/>
        <v>578873.65714285721</v>
      </c>
      <c r="I801" s="271">
        <f t="shared" si="260"/>
        <v>2482.7185714285715</v>
      </c>
      <c r="J801" s="271">
        <f t="shared" si="260"/>
        <v>25.376400000000004</v>
      </c>
      <c r="K801" s="271">
        <f>SUM(E801:J801)</f>
        <v>593640.0473968864</v>
      </c>
      <c r="L801" s="271">
        <f>K801*0.15</f>
        <v>89046.007109532962</v>
      </c>
      <c r="M801" s="272">
        <f>K801+L801</f>
        <v>682686.05450641934</v>
      </c>
      <c r="N801" s="271">
        <f>M801</f>
        <v>682686.05450641934</v>
      </c>
      <c r="O801" s="271">
        <f>'DGSP_chitiet (truKH)'!K801</f>
        <v>591157.32882545784</v>
      </c>
      <c r="P801" s="271">
        <f>'DGSP_chitiet (truKH)'!L801</f>
        <v>88673.599323818678</v>
      </c>
      <c r="Q801" s="306">
        <f>'DGSP_chitiet (truKH)'!M801</f>
        <v>679830.92814927653</v>
      </c>
      <c r="R801" s="271">
        <f>'DGSP_chitiet (truKH)'!N801</f>
        <v>679830.92814927653</v>
      </c>
      <c r="S801" s="271">
        <f>S$833/100+(S$835+S$836)/$C761</f>
        <v>317.91813186813187</v>
      </c>
    </row>
    <row r="802" spans="1:19" s="240" customFormat="1" ht="13.15" customHeight="1">
      <c r="A802" s="1005"/>
      <c r="B802" s="1006"/>
      <c r="C802" s="1005"/>
      <c r="D802" s="242" t="s">
        <v>20</v>
      </c>
      <c r="E802" s="271">
        <f>E$833/100+(E$835+E$836)/$C762</f>
        <v>10754.270127586211</v>
      </c>
      <c r="F802" s="271"/>
      <c r="G802" s="271">
        <f t="shared" si="260"/>
        <v>1224.4598502431475</v>
      </c>
      <c r="H802" s="271">
        <f t="shared" si="260"/>
        <v>279834.24827586208</v>
      </c>
      <c r="I802" s="271">
        <f t="shared" si="260"/>
        <v>3310.16</v>
      </c>
      <c r="J802" s="271">
        <f t="shared" si="260"/>
        <v>31.831800000000001</v>
      </c>
      <c r="K802" s="271">
        <f>SUM(E802:J802)</f>
        <v>295154.97005369142</v>
      </c>
      <c r="L802" s="271">
        <f>K802*0.15</f>
        <v>44273.245508053711</v>
      </c>
      <c r="M802" s="272">
        <f>K802+L802</f>
        <v>339428.21556174511</v>
      </c>
      <c r="N802" s="271">
        <f>M802</f>
        <v>339428.21556174511</v>
      </c>
      <c r="O802" s="271">
        <f>'DGSP_chitiet (truKH)'!K802</f>
        <v>291844.81005369144</v>
      </c>
      <c r="P802" s="271">
        <f>'DGSP_chitiet (truKH)'!L802</f>
        <v>43776.721508053713</v>
      </c>
      <c r="Q802" s="306">
        <f>'DGSP_chitiet (truKH)'!M802</f>
        <v>335621.53156174516</v>
      </c>
      <c r="R802" s="271">
        <f>'DGSP_chitiet (truKH)'!N802</f>
        <v>335621.53156174516</v>
      </c>
      <c r="S802" s="271">
        <f>S$833/100+(S$835+S$836)/$C762</f>
        <v>304.47241379310344</v>
      </c>
    </row>
    <row r="803" spans="1:19" s="240" customFormat="1" ht="13.15" customHeight="1">
      <c r="A803" s="1005"/>
      <c r="B803" s="1006"/>
      <c r="C803" s="1005"/>
      <c r="D803" s="242" t="s">
        <v>35</v>
      </c>
      <c r="E803" s="271">
        <f>E$833/100+(E$835+E$836)/$C763</f>
        <v>10573.349667346942</v>
      </c>
      <c r="F803" s="271"/>
      <c r="G803" s="271">
        <f t="shared" si="260"/>
        <v>1601.1584881388453</v>
      </c>
      <c r="H803" s="271">
        <f t="shared" si="260"/>
        <v>165914.47346938774</v>
      </c>
      <c r="I803" s="271">
        <f t="shared" si="260"/>
        <v>4131.9664285714289</v>
      </c>
      <c r="J803" s="271">
        <f t="shared" si="260"/>
        <v>41.181000000000004</v>
      </c>
      <c r="K803" s="271">
        <f>SUM(E803:J803)</f>
        <v>182262.12905344498</v>
      </c>
      <c r="L803" s="271">
        <f>K803*0.15</f>
        <v>27339.319358016746</v>
      </c>
      <c r="M803" s="272">
        <f>K803+L803</f>
        <v>209601.44841146172</v>
      </c>
      <c r="N803" s="271">
        <f>M803</f>
        <v>209601.44841146172</v>
      </c>
      <c r="O803" s="271">
        <f>'DGSP_chitiet (truKH)'!K803</f>
        <v>178130.16262487354</v>
      </c>
      <c r="P803" s="271">
        <f>'DGSP_chitiet (truKH)'!L803</f>
        <v>26719.52439373103</v>
      </c>
      <c r="Q803" s="306">
        <f>'DGSP_chitiet (truKH)'!M803</f>
        <v>204849.68701860457</v>
      </c>
      <c r="R803" s="271">
        <f>'DGSP_chitiet (truKH)'!N803</f>
        <v>204849.68701860457</v>
      </c>
      <c r="S803" s="271">
        <f>S$833/100+(S$835+S$836)/$C763</f>
        <v>299.35023547880689</v>
      </c>
    </row>
    <row r="804" spans="1:19" s="240" customFormat="1" ht="13.15" customHeight="1">
      <c r="A804" s="1005"/>
      <c r="B804" s="1006"/>
      <c r="C804" s="1005"/>
      <c r="D804" s="242" t="s">
        <v>33</v>
      </c>
      <c r="E804" s="271">
        <f>E$833/100+(E$835+E$836)/$C764</f>
        <v>11479.596700000004</v>
      </c>
      <c r="F804" s="271"/>
      <c r="G804" s="271">
        <f t="shared" si="260"/>
        <v>2374.268850524476</v>
      </c>
      <c r="H804" s="271">
        <f t="shared" si="260"/>
        <v>736548.98181818181</v>
      </c>
      <c r="I804" s="271">
        <f t="shared" si="260"/>
        <v>5169.0857142857149</v>
      </c>
      <c r="J804" s="271">
        <f t="shared" si="260"/>
        <v>50.307600000000008</v>
      </c>
      <c r="K804" s="271">
        <f>SUM(E804:J804)</f>
        <v>755622.24068299192</v>
      </c>
      <c r="L804" s="271">
        <f>K804*0.15</f>
        <v>113343.33610244878</v>
      </c>
      <c r="M804" s="272">
        <f>K804+L804</f>
        <v>868965.57678544067</v>
      </c>
      <c r="N804" s="271">
        <f>M804</f>
        <v>868965.57678544067</v>
      </c>
      <c r="O804" s="271">
        <f>'DGSP_chitiet (truKH)'!K804</f>
        <v>750453.15496870619</v>
      </c>
      <c r="P804" s="271">
        <f>'DGSP_chitiet (truKH)'!L804</f>
        <v>112567.97324530593</v>
      </c>
      <c r="Q804" s="306">
        <f>'DGSP_chitiet (truKH)'!M804</f>
        <v>863021.12821401213</v>
      </c>
      <c r="R804" s="271">
        <f>'DGSP_chitiet (truKH)'!N804</f>
        <v>863021.12821401213</v>
      </c>
      <c r="S804" s="271">
        <f>S$833/100+(S$835+S$836)/$C764</f>
        <v>325.00769230769231</v>
      </c>
    </row>
    <row r="805" spans="1:19" s="240" customFormat="1" ht="13.15" customHeight="1">
      <c r="A805" s="1005"/>
      <c r="B805" s="1006"/>
      <c r="C805" s="1005"/>
      <c r="D805" s="242">
        <v>5</v>
      </c>
      <c r="E805" s="271">
        <f>E$833/100+(E$835+E$836)/$C765</f>
        <v>11067.156100000004</v>
      </c>
      <c r="F805" s="271"/>
      <c r="G805" s="271">
        <f t="shared" si="260"/>
        <v>2952.2695434263446</v>
      </c>
      <c r="H805" s="271">
        <f t="shared" si="260"/>
        <v>476848.44705882354</v>
      </c>
      <c r="I805" s="271">
        <f t="shared" si="260"/>
        <v>7197.4721428571429</v>
      </c>
      <c r="J805" s="271">
        <f t="shared" si="260"/>
        <v>2.6712000000000002</v>
      </c>
      <c r="K805" s="271">
        <f>SUM(E805:J805)</f>
        <v>498068.01604510704</v>
      </c>
      <c r="L805" s="271">
        <f>K805*0.15</f>
        <v>74710.202406766053</v>
      </c>
      <c r="M805" s="272">
        <f>K805+L805</f>
        <v>572778.21845187305</v>
      </c>
      <c r="N805" s="271">
        <f>M805</f>
        <v>572778.21845187305</v>
      </c>
      <c r="O805" s="271">
        <f>'DGSP_chitiet (truKH)'!K805</f>
        <v>490870.54390224989</v>
      </c>
      <c r="P805" s="271">
        <f>'DGSP_chitiet (truKH)'!L805</f>
        <v>73630.581585337481</v>
      </c>
      <c r="Q805" s="306">
        <f>'DGSP_chitiet (truKH)'!M805</f>
        <v>564501.12548758741</v>
      </c>
      <c r="R805" s="271">
        <f>'DGSP_chitiet (truKH)'!N805</f>
        <v>564501.12548758741</v>
      </c>
      <c r="S805" s="271">
        <f>S$833/100+(S$835+S$836)/$C765</f>
        <v>313.33076923076919</v>
      </c>
    </row>
    <row r="806" spans="1:19" s="240" customFormat="1">
      <c r="A806" s="242">
        <v>1</v>
      </c>
      <c r="B806" s="276" t="s">
        <v>190</v>
      </c>
      <c r="C806" s="275"/>
      <c r="D806" s="275"/>
      <c r="E806" s="271"/>
      <c r="F806" s="271"/>
      <c r="G806" s="271"/>
      <c r="H806" s="271"/>
      <c r="I806" s="271"/>
      <c r="J806" s="271"/>
      <c r="K806" s="271"/>
      <c r="L806" s="271"/>
      <c r="M806" s="971"/>
      <c r="N806" s="271"/>
      <c r="O806" s="271">
        <f>'DGSP_chitiet (truKH)'!K806</f>
        <v>0</v>
      </c>
      <c r="P806" s="271">
        <f>'DGSP_chitiet (truKH)'!L806</f>
        <v>0</v>
      </c>
      <c r="Q806" s="306">
        <f>'DGSP_chitiet (truKH)'!M806</f>
        <v>0</v>
      </c>
      <c r="R806" s="271">
        <f>'DGSP_chitiet (truKH)'!N806</f>
        <v>0</v>
      </c>
      <c r="S806" s="271"/>
    </row>
    <row r="807" spans="1:19" s="240" customFormat="1">
      <c r="A807" s="1010">
        <v>1.1000000000000001</v>
      </c>
      <c r="B807" s="1011" t="str">
        <f>NhanCong!B$150</f>
        <v>Đối soát thực địa (công nhóm/mảnh)</v>
      </c>
      <c r="C807" s="1013" t="s">
        <v>317</v>
      </c>
      <c r="D807" s="274" t="s">
        <v>18</v>
      </c>
      <c r="E807" s="271">
        <f>NhanCong!U$150</f>
        <v>93182.493250000029</v>
      </c>
      <c r="F807" s="271"/>
      <c r="G807" s="905">
        <f>Dcu!P$200</f>
        <v>670.45576923076919</v>
      </c>
      <c r="H807" s="905">
        <f>VLieu!F$133</f>
        <v>4047000</v>
      </c>
      <c r="I807" s="905"/>
      <c r="J807" s="905"/>
      <c r="K807" s="905">
        <f t="shared" ref="K807:K821" si="261">SUM(E807:J807)</f>
        <v>4140852.9490192309</v>
      </c>
      <c r="L807" s="905">
        <f>K807*0.25</f>
        <v>1035213.2372548077</v>
      </c>
      <c r="M807" s="906">
        <f t="shared" ref="M807:M821" si="262">K807+L807</f>
        <v>5176066.1862740386</v>
      </c>
      <c r="N807" s="905"/>
      <c r="O807" s="271">
        <f>'DGSP_chitiet (truKH)'!K807</f>
        <v>4140852.9490192309</v>
      </c>
      <c r="P807" s="271">
        <f>'DGSP_chitiet (truKH)'!L807</f>
        <v>1035213.2372548077</v>
      </c>
      <c r="Q807" s="306">
        <f>'DGSP_chitiet (truKH)'!M807</f>
        <v>5176066.1862740386</v>
      </c>
      <c r="R807" s="271">
        <f>'DGSP_chitiet (truKH)'!N807</f>
        <v>0</v>
      </c>
      <c r="S807" s="905">
        <f>NhanCong!V$150</f>
        <v>2836.5192307692305</v>
      </c>
    </row>
    <row r="808" spans="1:19" s="240" customFormat="1">
      <c r="A808" s="1010"/>
      <c r="B808" s="1011"/>
      <c r="C808" s="1013"/>
      <c r="D808" s="274" t="s">
        <v>20</v>
      </c>
      <c r="E808" s="271">
        <f>NhanCong!U$151</f>
        <v>111882.92500000002</v>
      </c>
      <c r="F808" s="271"/>
      <c r="G808" s="905">
        <f>Dcu!P$201</f>
        <v>838.06971153846143</v>
      </c>
      <c r="H808" s="905">
        <f>VLieu!F$133</f>
        <v>4047000</v>
      </c>
      <c r="I808" s="905"/>
      <c r="J808" s="905"/>
      <c r="K808" s="905">
        <f t="shared" si="261"/>
        <v>4159720.9947115383</v>
      </c>
      <c r="L808" s="905">
        <f t="shared" ref="L808:L821" si="263">K808*0.25</f>
        <v>1039930.2486778846</v>
      </c>
      <c r="M808" s="906">
        <f t="shared" si="262"/>
        <v>5199651.243389423</v>
      </c>
      <c r="N808" s="905"/>
      <c r="O808" s="271">
        <f>'DGSP_chitiet (truKH)'!K808</f>
        <v>4159720.9947115383</v>
      </c>
      <c r="P808" s="271">
        <f>'DGSP_chitiet (truKH)'!L808</f>
        <v>1039930.2486778846</v>
      </c>
      <c r="Q808" s="306">
        <f>'DGSP_chitiet (truKH)'!M808</f>
        <v>5199651.243389423</v>
      </c>
      <c r="R808" s="271">
        <f>'DGSP_chitiet (truKH)'!N808</f>
        <v>0</v>
      </c>
      <c r="S808" s="905">
        <f>NhanCong!V$151</f>
        <v>3405.7692307692305</v>
      </c>
    </row>
    <row r="809" spans="1:19" s="240" customFormat="1">
      <c r="A809" s="1010"/>
      <c r="B809" s="1011"/>
      <c r="C809" s="1013"/>
      <c r="D809" s="274" t="s">
        <v>35</v>
      </c>
      <c r="E809" s="271">
        <f>NhanCong!U$152</f>
        <v>134259.51000000004</v>
      </c>
      <c r="F809" s="271"/>
      <c r="G809" s="905">
        <f>Dcu!P$202</f>
        <v>1117.426282051282</v>
      </c>
      <c r="H809" s="905">
        <f>VLieu!F$133</f>
        <v>4047000</v>
      </c>
      <c r="I809" s="905"/>
      <c r="J809" s="905"/>
      <c r="K809" s="905">
        <f t="shared" si="261"/>
        <v>4182376.9362820513</v>
      </c>
      <c r="L809" s="905">
        <f t="shared" si="263"/>
        <v>1045594.2340705128</v>
      </c>
      <c r="M809" s="906">
        <f t="shared" si="262"/>
        <v>5227971.1703525642</v>
      </c>
      <c r="N809" s="905"/>
      <c r="O809" s="271">
        <f>'DGSP_chitiet (truKH)'!K809</f>
        <v>4182376.9362820513</v>
      </c>
      <c r="P809" s="271">
        <f>'DGSP_chitiet (truKH)'!L809</f>
        <v>1045594.2340705128</v>
      </c>
      <c r="Q809" s="306">
        <f>'DGSP_chitiet (truKH)'!M809</f>
        <v>5227971.1703525642</v>
      </c>
      <c r="R809" s="271">
        <f>'DGSP_chitiet (truKH)'!N809</f>
        <v>0</v>
      </c>
      <c r="S809" s="905">
        <f>NhanCong!V$152</f>
        <v>4086.9230769230776</v>
      </c>
    </row>
    <row r="810" spans="1:19" s="240" customFormat="1">
      <c r="A810" s="1010"/>
      <c r="B810" s="1011"/>
      <c r="C810" s="1013"/>
      <c r="D810" s="274" t="s">
        <v>33</v>
      </c>
      <c r="E810" s="271">
        <f>NhanCong!U$153</f>
        <v>161111.41200000004</v>
      </c>
      <c r="F810" s="271"/>
      <c r="G810" s="905">
        <f>Dcu!P$203</f>
        <v>1508.5254807692309</v>
      </c>
      <c r="H810" s="905">
        <f>VLieu!F$133</f>
        <v>4047000</v>
      </c>
      <c r="I810" s="905"/>
      <c r="J810" s="905"/>
      <c r="K810" s="905">
        <f t="shared" si="261"/>
        <v>4209619.9374807691</v>
      </c>
      <c r="L810" s="905">
        <f t="shared" si="263"/>
        <v>1052404.9843701923</v>
      </c>
      <c r="M810" s="906">
        <f t="shared" si="262"/>
        <v>5262024.9218509616</v>
      </c>
      <c r="N810" s="905"/>
      <c r="O810" s="271">
        <f>'DGSP_chitiet (truKH)'!K810</f>
        <v>4209619.9374807691</v>
      </c>
      <c r="P810" s="271">
        <f>'DGSP_chitiet (truKH)'!L810</f>
        <v>1052404.9843701923</v>
      </c>
      <c r="Q810" s="306">
        <f>'DGSP_chitiet (truKH)'!M810</f>
        <v>5262024.9218509616</v>
      </c>
      <c r="R810" s="271">
        <f>'DGSP_chitiet (truKH)'!N810</f>
        <v>0</v>
      </c>
      <c r="S810" s="905">
        <f>NhanCong!V$153</f>
        <v>4904.3076923076924</v>
      </c>
    </row>
    <row r="811" spans="1:19" s="240" customFormat="1">
      <c r="A811" s="1010"/>
      <c r="B811" s="1011"/>
      <c r="C811" s="1013"/>
      <c r="D811" s="274" t="s">
        <v>13</v>
      </c>
      <c r="E811" s="271">
        <f>NhanCong!U$154</f>
        <v>193317.71112500003</v>
      </c>
      <c r="F811" s="271"/>
      <c r="G811" s="905">
        <f>Dcu!P$204</f>
        <v>1955.4959935897434</v>
      </c>
      <c r="H811" s="905">
        <f>VLieu!F$133</f>
        <v>4047000</v>
      </c>
      <c r="I811" s="905"/>
      <c r="J811" s="905"/>
      <c r="K811" s="905">
        <f t="shared" si="261"/>
        <v>4242273.2071185894</v>
      </c>
      <c r="L811" s="905">
        <f t="shared" si="263"/>
        <v>1060568.3017796474</v>
      </c>
      <c r="M811" s="906">
        <f t="shared" si="262"/>
        <v>5302841.5088982368</v>
      </c>
      <c r="N811" s="905"/>
      <c r="O811" s="271">
        <f>'DGSP_chitiet (truKH)'!K811</f>
        <v>4242273.2071185894</v>
      </c>
      <c r="P811" s="271">
        <f>'DGSP_chitiet (truKH)'!L811</f>
        <v>1060568.3017796474</v>
      </c>
      <c r="Q811" s="306">
        <f>'DGSP_chitiet (truKH)'!M811</f>
        <v>5302841.5088982368</v>
      </c>
      <c r="R811" s="271">
        <f>'DGSP_chitiet (truKH)'!N811</f>
        <v>0</v>
      </c>
      <c r="S811" s="905">
        <f>NhanCong!V$154</f>
        <v>5884.6826923076924</v>
      </c>
    </row>
    <row r="812" spans="1:19" s="240" customFormat="1" ht="12.75" customHeight="1">
      <c r="A812" s="1010">
        <v>1.2</v>
      </c>
      <c r="B812" s="1011" t="str">
        <f>NhanCong!B$156</f>
        <v>Lưới đo vẽ (công nhóm/100 thửa có biến động cần chỉnh lý)</v>
      </c>
      <c r="C812" s="1015" t="s">
        <v>329</v>
      </c>
      <c r="D812" s="274" t="s">
        <v>18</v>
      </c>
      <c r="E812" s="271">
        <f>NhanCong!U$156</f>
        <v>665919.71875000023</v>
      </c>
      <c r="F812" s="271"/>
      <c r="G812" s="905">
        <f>Dcu!P$222</f>
        <v>10099.891025641025</v>
      </c>
      <c r="H812" s="905">
        <f>VLieu!N$135</f>
        <v>3480</v>
      </c>
      <c r="I812" s="905">
        <f>TBi!N$322</f>
        <v>10785.357142857143</v>
      </c>
      <c r="J812" s="905">
        <f>TBi!N$326</f>
        <v>133.56</v>
      </c>
      <c r="K812" s="905">
        <f t="shared" si="261"/>
        <v>690418.52691849845</v>
      </c>
      <c r="L812" s="905">
        <f t="shared" si="263"/>
        <v>172604.63172962461</v>
      </c>
      <c r="M812" s="906">
        <f t="shared" si="262"/>
        <v>863023.15864812303</v>
      </c>
      <c r="N812" s="905"/>
      <c r="O812" s="271">
        <f>'DGSP_chitiet (truKH)'!K812</f>
        <v>679633.16977564129</v>
      </c>
      <c r="P812" s="271">
        <f>'DGSP_chitiet (truKH)'!L812</f>
        <v>169908.29244391032</v>
      </c>
      <c r="Q812" s="306">
        <f>'DGSP_chitiet (truKH)'!M812</f>
        <v>849541.46221955167</v>
      </c>
      <c r="R812" s="271">
        <f>'DGSP_chitiet (truKH)'!N812</f>
        <v>0</v>
      </c>
      <c r="S812" s="905">
        <f>NhanCong!V$156</f>
        <v>18853.365384615387</v>
      </c>
    </row>
    <row r="813" spans="1:19" s="240" customFormat="1">
      <c r="A813" s="1010"/>
      <c r="B813" s="1011"/>
      <c r="C813" s="1013" t="s">
        <v>49</v>
      </c>
      <c r="D813" s="274" t="s">
        <v>20</v>
      </c>
      <c r="E813" s="271">
        <f>NhanCong!U$157</f>
        <v>902213.81250000023</v>
      </c>
      <c r="F813" s="271"/>
      <c r="G813" s="905">
        <f>Dcu!P$223</f>
        <v>12624.863782051283</v>
      </c>
      <c r="H813" s="905">
        <f>VLieu!N$135</f>
        <v>3480</v>
      </c>
      <c r="I813" s="905">
        <f>TBi!O$322</f>
        <v>14166.357142857143</v>
      </c>
      <c r="J813" s="905">
        <f>TBi!O$326</f>
        <v>178.08</v>
      </c>
      <c r="K813" s="905">
        <f t="shared" si="261"/>
        <v>932663.1134249086</v>
      </c>
      <c r="L813" s="905">
        <f t="shared" si="263"/>
        <v>233165.77835622715</v>
      </c>
      <c r="M813" s="906">
        <f t="shared" si="262"/>
        <v>1165828.8917811357</v>
      </c>
      <c r="N813" s="905"/>
      <c r="O813" s="271">
        <f>'DGSP_chitiet (truKH)'!K813</f>
        <v>918496.75628205144</v>
      </c>
      <c r="P813" s="271">
        <f>'DGSP_chitiet (truKH)'!L813</f>
        <v>229624.18907051286</v>
      </c>
      <c r="Q813" s="306">
        <f>'DGSP_chitiet (truKH)'!M813</f>
        <v>1148120.9453525643</v>
      </c>
      <c r="R813" s="271">
        <f>'DGSP_chitiet (truKH)'!N813</f>
        <v>0</v>
      </c>
      <c r="S813" s="905">
        <f>NhanCong!V$157</f>
        <v>25543.269230769234</v>
      </c>
    </row>
    <row r="814" spans="1:19" s="240" customFormat="1">
      <c r="A814" s="1010"/>
      <c r="B814" s="1011"/>
      <c r="C814" s="1013"/>
      <c r="D814" s="274" t="s">
        <v>35</v>
      </c>
      <c r="E814" s="271">
        <f>NhanCong!U$158</f>
        <v>1117026.6250000005</v>
      </c>
      <c r="F814" s="271"/>
      <c r="G814" s="905">
        <f>Dcu!P$224</f>
        <v>16833.151709401711</v>
      </c>
      <c r="H814" s="905">
        <f>VLieu!N$135</f>
        <v>3480</v>
      </c>
      <c r="I814" s="905">
        <f>TBi!P$322</f>
        <v>17586.785714285714</v>
      </c>
      <c r="J814" s="905">
        <f>TBi!P$326</f>
        <v>200.34</v>
      </c>
      <c r="K814" s="905">
        <f t="shared" si="261"/>
        <v>1155126.902423688</v>
      </c>
      <c r="L814" s="905">
        <f t="shared" si="263"/>
        <v>288781.72560592199</v>
      </c>
      <c r="M814" s="906">
        <f t="shared" si="262"/>
        <v>1443908.62802961</v>
      </c>
      <c r="N814" s="905"/>
      <c r="O814" s="271">
        <f>'DGSP_chitiet (truKH)'!K814</f>
        <v>1137540.1167094023</v>
      </c>
      <c r="P814" s="271">
        <f>'DGSP_chitiet (truKH)'!L814</f>
        <v>284385.02917735057</v>
      </c>
      <c r="Q814" s="306">
        <f>'DGSP_chitiet (truKH)'!M814</f>
        <v>1421925.1458867528</v>
      </c>
      <c r="R814" s="271">
        <f>'DGSP_chitiet (truKH)'!N814</f>
        <v>0</v>
      </c>
      <c r="S814" s="905">
        <f>NhanCong!V$158</f>
        <v>31625</v>
      </c>
    </row>
    <row r="815" spans="1:19" s="240" customFormat="1">
      <c r="A815" s="1010"/>
      <c r="B815" s="1011"/>
      <c r="C815" s="1013"/>
      <c r="D815" s="274" t="s">
        <v>33</v>
      </c>
      <c r="E815" s="271">
        <f>NhanCong!U$159</f>
        <v>1396283.2812500002</v>
      </c>
      <c r="F815" s="271"/>
      <c r="G815" s="905">
        <f>Dcu!P$225</f>
        <v>22724.754807692312</v>
      </c>
      <c r="H815" s="905">
        <f>VLieu!N$135</f>
        <v>3480</v>
      </c>
      <c r="I815" s="905">
        <f>TBi!Q$322</f>
        <v>22094.785714285714</v>
      </c>
      <c r="J815" s="905">
        <f>TBi!Q$326</f>
        <v>222.60000000000002</v>
      </c>
      <c r="K815" s="905">
        <f t="shared" si="261"/>
        <v>1444805.4217719783</v>
      </c>
      <c r="L815" s="905">
        <f t="shared" si="263"/>
        <v>361201.35544299457</v>
      </c>
      <c r="M815" s="906">
        <f t="shared" si="262"/>
        <v>1806006.7772149728</v>
      </c>
      <c r="N815" s="905"/>
      <c r="O815" s="271">
        <f>'DGSP_chitiet (truKH)'!K815</f>
        <v>1422710.6360576926</v>
      </c>
      <c r="P815" s="271">
        <f>'DGSP_chitiet (truKH)'!L815</f>
        <v>355677.65901442314</v>
      </c>
      <c r="Q815" s="306">
        <f>'DGSP_chitiet (truKH)'!M815</f>
        <v>1778388.2950721157</v>
      </c>
      <c r="R815" s="271">
        <f>'DGSP_chitiet (truKH)'!N815</f>
        <v>0</v>
      </c>
      <c r="S815" s="905">
        <f>NhanCong!V$159</f>
        <v>39531.25</v>
      </c>
    </row>
    <row r="816" spans="1:19" s="240" customFormat="1">
      <c r="A816" s="1010"/>
      <c r="B816" s="1011"/>
      <c r="C816" s="1013"/>
      <c r="D816" s="274" t="s">
        <v>13</v>
      </c>
      <c r="E816" s="271">
        <f>NhanCong!U$160</f>
        <v>1954796.5937500005</v>
      </c>
      <c r="F816" s="271"/>
      <c r="G816" s="905">
        <f>Dcu!P$226</f>
        <v>29458.015491452992</v>
      </c>
      <c r="H816" s="905">
        <f>VLieu!N$135</f>
        <v>3480</v>
      </c>
      <c r="I816" s="905">
        <f>TBi!R$322</f>
        <v>31150.21428571429</v>
      </c>
      <c r="J816" s="905">
        <f>TBi!R$326</f>
        <v>267.12</v>
      </c>
      <c r="K816" s="905">
        <f t="shared" si="261"/>
        <v>2019151.9435271679</v>
      </c>
      <c r="L816" s="905">
        <f t="shared" si="263"/>
        <v>504787.98588179197</v>
      </c>
      <c r="M816" s="906">
        <f t="shared" si="262"/>
        <v>2523939.92940896</v>
      </c>
      <c r="N816" s="905"/>
      <c r="O816" s="271">
        <f>'DGSP_chitiet (truKH)'!K816</f>
        <v>1988001.7292414536</v>
      </c>
      <c r="P816" s="271">
        <f>'DGSP_chitiet (truKH)'!L816</f>
        <v>497000.43231036339</v>
      </c>
      <c r="Q816" s="306">
        <f>'DGSP_chitiet (truKH)'!M816</f>
        <v>2485002.1615518169</v>
      </c>
      <c r="R816" s="271">
        <f>'DGSP_chitiet (truKH)'!N816</f>
        <v>0</v>
      </c>
      <c r="S816" s="905">
        <f>NhanCong!V$160</f>
        <v>55343.75</v>
      </c>
    </row>
    <row r="817" spans="1:19" s="240" customFormat="1" ht="12.75" customHeight="1">
      <c r="A817" s="1010">
        <v>1.3</v>
      </c>
      <c r="B817" s="1011" t="str">
        <f>NhanCong!B$162</f>
        <v>Đo đạc ranh giới thửa đất và các đối tượng địa lý có liên quan (công nhóm/100 thửa có biến động cần chỉnh lý)</v>
      </c>
      <c r="C817" s="1015" t="s">
        <v>329</v>
      </c>
      <c r="D817" s="274" t="s">
        <v>18</v>
      </c>
      <c r="E817" s="271">
        <f>NhanCong!U$162</f>
        <v>18323532.906250004</v>
      </c>
      <c r="F817" s="271">
        <f>NhanCong!U$163</f>
        <v>1084261.5384615385</v>
      </c>
      <c r="G817" s="905">
        <f>Dcu!P$246</f>
        <v>83233.064102564094</v>
      </c>
      <c r="H817" s="905">
        <f>VLieu!N$145</f>
        <v>69600</v>
      </c>
      <c r="I817" s="905">
        <f>TBi!N$357</f>
        <v>237486.50000000003</v>
      </c>
      <c r="J817" s="905">
        <f>TBi!N$361</f>
        <v>2404.0800000000004</v>
      </c>
      <c r="K817" s="905">
        <f t="shared" si="261"/>
        <v>19800518.088814106</v>
      </c>
      <c r="L817" s="905">
        <f t="shared" si="263"/>
        <v>4950129.5222035265</v>
      </c>
      <c r="M817" s="906">
        <f t="shared" si="262"/>
        <v>24750647.611017633</v>
      </c>
      <c r="N817" s="905"/>
      <c r="O817" s="271">
        <f>'DGSP_chitiet (truKH)'!K817</f>
        <v>19563031.588814106</v>
      </c>
      <c r="P817" s="271">
        <f>'DGSP_chitiet (truKH)'!L817</f>
        <v>4890757.8972035265</v>
      </c>
      <c r="Q817" s="306">
        <f>'DGSP_chitiet (truKH)'!M817</f>
        <v>24453789.486017633</v>
      </c>
      <c r="R817" s="271">
        <f>'DGSP_chitiet (truKH)'!N817</f>
        <v>0</v>
      </c>
      <c r="S817" s="905">
        <f>NhanCong!V$162</f>
        <v>518771.63461538462</v>
      </c>
    </row>
    <row r="818" spans="1:19" s="240" customFormat="1">
      <c r="A818" s="1010"/>
      <c r="B818" s="1011"/>
      <c r="C818" s="1013" t="s">
        <v>49</v>
      </c>
      <c r="D818" s="274" t="s">
        <v>20</v>
      </c>
      <c r="E818" s="271">
        <f>NhanCong!U$164</f>
        <v>21996832.000000007</v>
      </c>
      <c r="F818" s="271">
        <f>NhanCong!U$165</f>
        <v>1302569.230769231</v>
      </c>
      <c r="G818" s="905">
        <f>Dcu!P$247</f>
        <v>104041.33012820513</v>
      </c>
      <c r="H818" s="905">
        <f>VLieu!N$145</f>
        <v>69600</v>
      </c>
      <c r="I818" s="905">
        <f>TBi!O$357</f>
        <v>316849.64285714284</v>
      </c>
      <c r="J818" s="905">
        <f>TBi!O$361</f>
        <v>3005.1000000000004</v>
      </c>
      <c r="K818" s="905">
        <f t="shared" si="261"/>
        <v>23792897.303754587</v>
      </c>
      <c r="L818" s="905">
        <f t="shared" si="263"/>
        <v>5948224.3259386467</v>
      </c>
      <c r="M818" s="906">
        <f t="shared" si="262"/>
        <v>29741121.629693232</v>
      </c>
      <c r="N818" s="905"/>
      <c r="O818" s="271">
        <f>'DGSP_chitiet (truKH)'!K818</f>
        <v>23476047.660897445</v>
      </c>
      <c r="P818" s="271">
        <f>'DGSP_chitiet (truKH)'!L818</f>
        <v>5869011.9152243612</v>
      </c>
      <c r="Q818" s="306">
        <f>'DGSP_chitiet (truKH)'!M818</f>
        <v>29345059.576121807</v>
      </c>
      <c r="R818" s="271">
        <f>'DGSP_chitiet (truKH)'!N818</f>
        <v>0</v>
      </c>
      <c r="S818" s="905">
        <f>NhanCong!V$164</f>
        <v>622769.23076923075</v>
      </c>
    </row>
    <row r="819" spans="1:19" s="240" customFormat="1">
      <c r="A819" s="1010"/>
      <c r="B819" s="1011"/>
      <c r="C819" s="1013"/>
      <c r="D819" s="274" t="s">
        <v>35</v>
      </c>
      <c r="E819" s="271">
        <f>NhanCong!U$166</f>
        <v>26379013.375000004</v>
      </c>
      <c r="F819" s="271">
        <f>NhanCong!U$167</f>
        <v>1562719.2307692308</v>
      </c>
      <c r="G819" s="905">
        <f>Dcu!P$248</f>
        <v>138721.7735042735</v>
      </c>
      <c r="H819" s="905">
        <f>VLieu!N$145</f>
        <v>69600</v>
      </c>
      <c r="I819" s="905">
        <f>TBi!P$357</f>
        <v>395609.85714285716</v>
      </c>
      <c r="J819" s="905">
        <f>TBi!P$361</f>
        <v>3917.76</v>
      </c>
      <c r="K819" s="905">
        <f t="shared" si="261"/>
        <v>28549581.996416368</v>
      </c>
      <c r="L819" s="905">
        <f t="shared" si="263"/>
        <v>7137395.4991040919</v>
      </c>
      <c r="M819" s="906">
        <f t="shared" si="262"/>
        <v>35686977.495520458</v>
      </c>
      <c r="N819" s="905"/>
      <c r="O819" s="271">
        <f>'DGSP_chitiet (truKH)'!K819</f>
        <v>28153972.139273509</v>
      </c>
      <c r="P819" s="271">
        <f>'DGSP_chitiet (truKH)'!L819</f>
        <v>7038493.0348183773</v>
      </c>
      <c r="Q819" s="306">
        <f>'DGSP_chitiet (truKH)'!M819</f>
        <v>35192465.17409189</v>
      </c>
      <c r="R819" s="271">
        <f>'DGSP_chitiet (truKH)'!N819</f>
        <v>0</v>
      </c>
      <c r="S819" s="905">
        <f>NhanCong!V$166</f>
        <v>746836.5384615385</v>
      </c>
    </row>
    <row r="820" spans="1:19" s="240" customFormat="1">
      <c r="A820" s="1010"/>
      <c r="B820" s="1011"/>
      <c r="C820" s="1013"/>
      <c r="D820" s="274" t="s">
        <v>33</v>
      </c>
      <c r="E820" s="271">
        <f>NhanCong!U$168</f>
        <v>31663408.562500011</v>
      </c>
      <c r="F820" s="271">
        <f>NhanCong!U$169</f>
        <v>1875626.9230769232</v>
      </c>
      <c r="G820" s="905">
        <f>Dcu!P$249</f>
        <v>187274.39423076925</v>
      </c>
      <c r="H820" s="905">
        <f>VLieu!N$145</f>
        <v>69600</v>
      </c>
      <c r="I820" s="905">
        <f>TBi!Q$357</f>
        <v>494813.78571428574</v>
      </c>
      <c r="J820" s="905">
        <f>TBi!Q$361</f>
        <v>4808.1600000000008</v>
      </c>
      <c r="K820" s="905">
        <f t="shared" si="261"/>
        <v>34295531.825521983</v>
      </c>
      <c r="L820" s="905">
        <f t="shared" si="263"/>
        <v>8573882.9563804958</v>
      </c>
      <c r="M820" s="906">
        <f t="shared" si="262"/>
        <v>42869414.781902477</v>
      </c>
      <c r="N820" s="905"/>
      <c r="O820" s="271">
        <f>'DGSP_chitiet (truKH)'!K820</f>
        <v>33800718.0398077</v>
      </c>
      <c r="P820" s="271">
        <f>'DGSP_chitiet (truKH)'!L820</f>
        <v>8450179.5099519249</v>
      </c>
      <c r="Q820" s="306">
        <f>'DGSP_chitiet (truKH)'!M820</f>
        <v>42250897.549759626</v>
      </c>
      <c r="R820" s="271">
        <f>'DGSP_chitiet (truKH)'!N820</f>
        <v>0</v>
      </c>
      <c r="S820" s="905">
        <f>NhanCong!V$168</f>
        <v>896447.11538461549</v>
      </c>
    </row>
    <row r="821" spans="1:19" s="240" customFormat="1">
      <c r="A821" s="1010"/>
      <c r="B821" s="1011"/>
      <c r="C821" s="1013"/>
      <c r="D821" s="274" t="s">
        <v>13</v>
      </c>
      <c r="E821" s="271">
        <f>NhanCong!U$170</f>
        <v>38000386.531250015</v>
      </c>
      <c r="F821" s="271">
        <f>NhanCong!U$171</f>
        <v>2250388.4615384615</v>
      </c>
      <c r="G821" s="905">
        <f>Dcu!P$250</f>
        <v>242763.10363247863</v>
      </c>
      <c r="H821" s="905">
        <f>VLieu!N$145</f>
        <v>69600</v>
      </c>
      <c r="I821" s="905">
        <f>TBi!R$357</f>
        <v>688597</v>
      </c>
      <c r="J821" s="905">
        <f>TBi!R$361</f>
        <v>0</v>
      </c>
      <c r="K821" s="905">
        <f t="shared" si="261"/>
        <v>41251735.096420959</v>
      </c>
      <c r="L821" s="905">
        <f t="shared" si="263"/>
        <v>10312933.77410524</v>
      </c>
      <c r="M821" s="906">
        <f t="shared" si="262"/>
        <v>51564668.870526195</v>
      </c>
      <c r="N821" s="905"/>
      <c r="O821" s="271">
        <f>'DGSP_chitiet (truKH)'!K821</f>
        <v>40563138.096420959</v>
      </c>
      <c r="P821" s="271">
        <f>'DGSP_chitiet (truKH)'!L821</f>
        <v>10140784.52410524</v>
      </c>
      <c r="Q821" s="306">
        <f>'DGSP_chitiet (truKH)'!M821</f>
        <v>50703922.620526195</v>
      </c>
      <c r="R821" s="271">
        <f>'DGSP_chitiet (truKH)'!N821</f>
        <v>0</v>
      </c>
      <c r="S821" s="905">
        <f>NhanCong!V$170</f>
        <v>1075858.173076923</v>
      </c>
    </row>
    <row r="822" spans="1:19" s="240" customFormat="1">
      <c r="A822" s="242">
        <v>2</v>
      </c>
      <c r="B822" s="276" t="s">
        <v>192</v>
      </c>
      <c r="C822" s="274"/>
      <c r="D822" s="274"/>
      <c r="E822" s="271"/>
      <c r="F822" s="271"/>
      <c r="G822" s="905"/>
      <c r="H822" s="905"/>
      <c r="I822" s="905"/>
      <c r="J822" s="905"/>
      <c r="K822" s="905"/>
      <c r="L822" s="905"/>
      <c r="M822" s="906"/>
      <c r="N822" s="905"/>
      <c r="O822" s="271">
        <f>'DGSP_chitiet (truKH)'!K822</f>
        <v>0</v>
      </c>
      <c r="P822" s="271">
        <f>'DGSP_chitiet (truKH)'!L822</f>
        <v>0</v>
      </c>
      <c r="Q822" s="306">
        <f>'DGSP_chitiet (truKH)'!M822</f>
        <v>0</v>
      </c>
      <c r="R822" s="271">
        <f>'DGSP_chitiet (truKH)'!N822</f>
        <v>0</v>
      </c>
      <c r="S822" s="905"/>
    </row>
    <row r="823" spans="1:19" s="240" customFormat="1">
      <c r="A823" s="1010" t="s">
        <v>268</v>
      </c>
      <c r="B823" s="1011" t="str">
        <f>NhanCong!B$173</f>
        <v>Số hóa BĐĐC: Áp dụng theo mức quy định tại Điều 8, Chương I</v>
      </c>
      <c r="C823" s="1013" t="s">
        <v>317</v>
      </c>
      <c r="D823" s="274" t="s">
        <v>18</v>
      </c>
      <c r="E823" s="271">
        <f t="shared" ref="E823:J827" si="264">E484</f>
        <v>51726.925250000008</v>
      </c>
      <c r="F823" s="271">
        <f t="shared" si="264"/>
        <v>0</v>
      </c>
      <c r="G823" s="271">
        <f t="shared" si="264"/>
        <v>595.83065914529925</v>
      </c>
      <c r="H823" s="271">
        <f t="shared" si="264"/>
        <v>1101</v>
      </c>
      <c r="I823" s="271">
        <f t="shared" si="264"/>
        <v>3876.912864285714</v>
      </c>
      <c r="J823" s="271">
        <f t="shared" si="264"/>
        <v>1241.4402</v>
      </c>
      <c r="K823" s="905">
        <f>SUM(E823:J823)</f>
        <v>58542.108973431023</v>
      </c>
      <c r="L823" s="905">
        <f>K823*0.15</f>
        <v>8781.3163460146534</v>
      </c>
      <c r="M823" s="906">
        <f>K823+L823</f>
        <v>67323.425319445669</v>
      </c>
      <c r="N823" s="271">
        <f>N484</f>
        <v>0</v>
      </c>
      <c r="O823" s="271">
        <f>'DGSP_chitiet (truKH)'!K823</f>
        <v>54665.196109145305</v>
      </c>
      <c r="P823" s="271">
        <f>'DGSP_chitiet (truKH)'!L823</f>
        <v>8199.7794163717954</v>
      </c>
      <c r="Q823" s="306">
        <f>'DGSP_chitiet (truKH)'!M823</f>
        <v>62864.975525517104</v>
      </c>
      <c r="R823" s="271">
        <f>'DGSP_chitiet (truKH)'!N823</f>
        <v>0</v>
      </c>
      <c r="S823" s="271">
        <f>S484</f>
        <v>1464.4807692307691</v>
      </c>
    </row>
    <row r="824" spans="1:19" s="240" customFormat="1">
      <c r="A824" s="1010"/>
      <c r="B824" s="1011"/>
      <c r="C824" s="1013"/>
      <c r="D824" s="274" t="s">
        <v>20</v>
      </c>
      <c r="E824" s="271">
        <f t="shared" si="264"/>
        <v>58291.604800000008</v>
      </c>
      <c r="F824" s="271">
        <f t="shared" si="264"/>
        <v>0</v>
      </c>
      <c r="G824" s="271">
        <f t="shared" si="264"/>
        <v>682.06930717948728</v>
      </c>
      <c r="H824" s="271">
        <f t="shared" si="264"/>
        <v>1101</v>
      </c>
      <c r="I824" s="271">
        <f t="shared" si="264"/>
        <v>4789.8023142857146</v>
      </c>
      <c r="J824" s="271">
        <f t="shared" si="264"/>
        <v>1540.1694</v>
      </c>
      <c r="K824" s="905">
        <f>SUM(E824:J824)</f>
        <v>66404.645821465208</v>
      </c>
      <c r="L824" s="905">
        <f>K824*0.15</f>
        <v>9960.6968732197802</v>
      </c>
      <c r="M824" s="906">
        <f>K824+L824</f>
        <v>76365.342694684994</v>
      </c>
      <c r="N824" s="271">
        <f>N485</f>
        <v>0</v>
      </c>
      <c r="O824" s="271">
        <f>'DGSP_chitiet (truKH)'!K824</f>
        <v>61614.843507179496</v>
      </c>
      <c r="P824" s="271">
        <f>'DGSP_chitiet (truKH)'!L824</f>
        <v>9242.2265260769236</v>
      </c>
      <c r="Q824" s="306">
        <f>'DGSP_chitiet (truKH)'!M824</f>
        <v>70857.070033256416</v>
      </c>
      <c r="R824" s="271">
        <f>'DGSP_chitiet (truKH)'!N824</f>
        <v>0</v>
      </c>
      <c r="S824" s="271">
        <f>S485</f>
        <v>1650.3384615384614</v>
      </c>
    </row>
    <row r="825" spans="1:19" s="240" customFormat="1">
      <c r="A825" s="1010"/>
      <c r="B825" s="1011"/>
      <c r="C825" s="1013"/>
      <c r="D825" s="274" t="s">
        <v>35</v>
      </c>
      <c r="E825" s="271">
        <f t="shared" si="264"/>
        <v>65818.645750000011</v>
      </c>
      <c r="F825" s="271">
        <f t="shared" si="264"/>
        <v>0</v>
      </c>
      <c r="G825" s="271">
        <f t="shared" si="264"/>
        <v>783.98770940170948</v>
      </c>
      <c r="H825" s="271">
        <f t="shared" si="264"/>
        <v>1101</v>
      </c>
      <c r="I825" s="271">
        <f t="shared" si="264"/>
        <v>6322.0746857142849</v>
      </c>
      <c r="J825" s="271">
        <f t="shared" si="264"/>
        <v>2031.8928000000001</v>
      </c>
      <c r="K825" s="905">
        <f>SUM(E825:J825)</f>
        <v>76057.600945116006</v>
      </c>
      <c r="L825" s="905">
        <f>K825*0.15</f>
        <v>11408.640141767401</v>
      </c>
      <c r="M825" s="906">
        <f>K825+L825</f>
        <v>87466.241086883412</v>
      </c>
      <c r="N825" s="271">
        <f>N486</f>
        <v>0</v>
      </c>
      <c r="O825" s="271">
        <f>'DGSP_chitiet (truKH)'!K825</f>
        <v>69735.526259401726</v>
      </c>
      <c r="P825" s="271">
        <f>'DGSP_chitiet (truKH)'!L825</f>
        <v>10460.328938910259</v>
      </c>
      <c r="Q825" s="306">
        <f>'DGSP_chitiet (truKH)'!M825</f>
        <v>80195.855198311983</v>
      </c>
      <c r="R825" s="271">
        <f>'DGSP_chitiet (truKH)'!N825</f>
        <v>0</v>
      </c>
      <c r="S825" s="271">
        <f>S486</f>
        <v>1863.4423076923078</v>
      </c>
    </row>
    <row r="826" spans="1:19" s="240" customFormat="1">
      <c r="A826" s="1010"/>
      <c r="B826" s="1011"/>
      <c r="C826" s="1013"/>
      <c r="D826" s="274" t="s">
        <v>33</v>
      </c>
      <c r="E826" s="271">
        <f t="shared" si="264"/>
        <v>74479.898350000018</v>
      </c>
      <c r="F826" s="271">
        <f t="shared" si="264"/>
        <v>0</v>
      </c>
      <c r="G826" s="271">
        <f t="shared" si="264"/>
        <v>901.58586581196585</v>
      </c>
      <c r="H826" s="271">
        <f t="shared" si="264"/>
        <v>1101</v>
      </c>
      <c r="I826" s="271">
        <f t="shared" si="264"/>
        <v>7354.7002928571428</v>
      </c>
      <c r="J826" s="271">
        <f t="shared" si="264"/>
        <v>2353.5498000000002</v>
      </c>
      <c r="K826" s="905">
        <f>SUM(E826:J826)</f>
        <v>86190.734308669125</v>
      </c>
      <c r="L826" s="905">
        <f>K826*0.15</f>
        <v>12928.610146300369</v>
      </c>
      <c r="M826" s="906">
        <f>K826+L826</f>
        <v>99119.344454969498</v>
      </c>
      <c r="N826" s="271">
        <f>N487</f>
        <v>0</v>
      </c>
      <c r="O826" s="271">
        <f>'DGSP_chitiet (truKH)'!K826</f>
        <v>78836.03401581198</v>
      </c>
      <c r="P826" s="271">
        <f>'DGSP_chitiet (truKH)'!L826</f>
        <v>11825.405102371797</v>
      </c>
      <c r="Q826" s="306">
        <f>'DGSP_chitiet (truKH)'!M826</f>
        <v>90661.439118183771</v>
      </c>
      <c r="R826" s="271">
        <f>'DGSP_chitiet (truKH)'!N826</f>
        <v>0</v>
      </c>
      <c r="S826" s="271">
        <f>S487</f>
        <v>2108.6576923076923</v>
      </c>
    </row>
    <row r="827" spans="1:19" s="240" customFormat="1">
      <c r="A827" s="1010"/>
      <c r="B827" s="1011"/>
      <c r="C827" s="1013"/>
      <c r="D827" s="274" t="s">
        <v>13</v>
      </c>
      <c r="E827" s="271">
        <f t="shared" si="264"/>
        <v>84447.212850000011</v>
      </c>
      <c r="F827" s="271">
        <f t="shared" si="264"/>
        <v>0</v>
      </c>
      <c r="G827" s="271">
        <f t="shared" si="264"/>
        <v>1034.8637764102566</v>
      </c>
      <c r="H827" s="271">
        <f t="shared" si="264"/>
        <v>1101</v>
      </c>
      <c r="I827" s="271">
        <f t="shared" si="264"/>
        <v>9142.9525428571433</v>
      </c>
      <c r="J827" s="271">
        <f t="shared" si="264"/>
        <v>2912.7209999999995</v>
      </c>
      <c r="K827" s="905">
        <f>SUM(E827:J827)</f>
        <v>98638.750169267427</v>
      </c>
      <c r="L827" s="905">
        <f>K827*0.15</f>
        <v>14795.812525390113</v>
      </c>
      <c r="M827" s="906">
        <f>K827+L827</f>
        <v>113434.56269465754</v>
      </c>
      <c r="N827" s="271">
        <f>N488</f>
        <v>0</v>
      </c>
      <c r="O827" s="271">
        <f>'DGSP_chitiet (truKH)'!K827</f>
        <v>89495.797626410276</v>
      </c>
      <c r="P827" s="271">
        <f>'DGSP_chitiet (truKH)'!L827</f>
        <v>13424.369643961541</v>
      </c>
      <c r="Q827" s="306">
        <f>'DGSP_chitiet (truKH)'!M827</f>
        <v>102920.16727037182</v>
      </c>
      <c r="R827" s="271">
        <f>'DGSP_chitiet (truKH)'!N827</f>
        <v>0</v>
      </c>
      <c r="S827" s="271">
        <f>S488</f>
        <v>2390.85</v>
      </c>
    </row>
    <row r="828" spans="1:19" s="240" customFormat="1" ht="12.75" customHeight="1">
      <c r="A828" s="1010" t="s">
        <v>34</v>
      </c>
      <c r="B828" s="1011" t="str">
        <f>NhanCong!B$174</f>
        <v>Lập bản vẽ BĐĐC (Công nhóm/100 thửa chỉnh lý)</v>
      </c>
      <c r="C828" s="1015" t="s">
        <v>329</v>
      </c>
      <c r="D828" s="274" t="s">
        <v>18</v>
      </c>
      <c r="E828" s="271">
        <f>NhanCong!U$174</f>
        <v>524972.4700000002</v>
      </c>
      <c r="F828" s="271"/>
      <c r="G828" s="905">
        <f>Dcu!P$271</f>
        <v>10870.739907692308</v>
      </c>
      <c r="H828" s="905">
        <f>VLieu!N$159</f>
        <v>626800</v>
      </c>
      <c r="I828" s="905">
        <f>TBi!N$394</f>
        <v>9714.9771428571439</v>
      </c>
      <c r="J828" s="905">
        <f>TBi!N$398</f>
        <v>38532.06</v>
      </c>
      <c r="K828" s="905">
        <f t="shared" ref="K828:K834" si="265">SUM(E828:J828)</f>
        <v>1210890.2470505496</v>
      </c>
      <c r="L828" s="905">
        <f t="shared" ref="L828:L836" si="266">K828*0.15</f>
        <v>181633.53705758243</v>
      </c>
      <c r="M828" s="906">
        <f t="shared" ref="M828:M834" si="267">K828+L828</f>
        <v>1392523.7841081321</v>
      </c>
      <c r="N828" s="905"/>
      <c r="O828" s="271">
        <f>'DGSP_chitiet (truKH)'!K828</f>
        <v>1201175.2699076924</v>
      </c>
      <c r="P828" s="271">
        <f>'DGSP_chitiet (truKH)'!L828</f>
        <v>180176.29048615386</v>
      </c>
      <c r="Q828" s="306">
        <f>'DGSP_chitiet (truKH)'!M828</f>
        <v>1381351.5603938464</v>
      </c>
      <c r="R828" s="271">
        <f>'DGSP_chitiet (truKH)'!N828</f>
        <v>0</v>
      </c>
      <c r="S828" s="905">
        <f>NhanCong!V$174</f>
        <v>13039.23076923077</v>
      </c>
    </row>
    <row r="829" spans="1:19" s="240" customFormat="1">
      <c r="A829" s="1010"/>
      <c r="B829" s="1011"/>
      <c r="C829" s="1013"/>
      <c r="D829" s="274" t="s">
        <v>20</v>
      </c>
      <c r="E829" s="271">
        <f>NhanCong!U$175</f>
        <v>697351.49000000022</v>
      </c>
      <c r="F829" s="271"/>
      <c r="G829" s="905">
        <f>Dcu!P$272</f>
        <v>13588.424884615386</v>
      </c>
      <c r="H829" s="905">
        <f>VLieu!N$159</f>
        <v>626800</v>
      </c>
      <c r="I829" s="905">
        <f>TBi!O$394</f>
        <v>10277.873928571427</v>
      </c>
      <c r="J829" s="905">
        <f>TBi!O$398</f>
        <v>40980.660000000003</v>
      </c>
      <c r="K829" s="905">
        <f t="shared" si="265"/>
        <v>1388998.448813187</v>
      </c>
      <c r="L829" s="905">
        <f t="shared" si="266"/>
        <v>208349.76732197803</v>
      </c>
      <c r="M829" s="906">
        <f t="shared" si="267"/>
        <v>1597348.216135165</v>
      </c>
      <c r="N829" s="905"/>
      <c r="O829" s="271">
        <f>'DGSP_chitiet (truKH)'!K829</f>
        <v>1378720.5748846156</v>
      </c>
      <c r="P829" s="271">
        <f>'DGSP_chitiet (truKH)'!L829</f>
        <v>206808.08623269232</v>
      </c>
      <c r="Q829" s="306">
        <f>'DGSP_chitiet (truKH)'!M829</f>
        <v>1585528.6611173078</v>
      </c>
      <c r="R829" s="271">
        <f>'DGSP_chitiet (truKH)'!N829</f>
        <v>0</v>
      </c>
      <c r="S829" s="905">
        <f>NhanCong!V$175</f>
        <v>17320.76923076923</v>
      </c>
    </row>
    <row r="830" spans="1:19" s="240" customFormat="1">
      <c r="A830" s="1010"/>
      <c r="B830" s="1011"/>
      <c r="C830" s="1013"/>
      <c r="D830" s="274" t="s">
        <v>35</v>
      </c>
      <c r="E830" s="271">
        <f>NhanCong!U$176</f>
        <v>869730.51000000036</v>
      </c>
      <c r="F830" s="271"/>
      <c r="G830" s="905">
        <f>Dcu!P$273</f>
        <v>18117.899846153847</v>
      </c>
      <c r="H830" s="905">
        <f>VLieu!N$159</f>
        <v>626800</v>
      </c>
      <c r="I830" s="905">
        <f>TBi!P$394</f>
        <v>10903.051428571429</v>
      </c>
      <c r="J830" s="905">
        <f>TBi!P$398</f>
        <v>43206.66</v>
      </c>
      <c r="K830" s="905">
        <f t="shared" si="265"/>
        <v>1568758.1212747253</v>
      </c>
      <c r="L830" s="905">
        <f t="shared" si="266"/>
        <v>235313.71819120878</v>
      </c>
      <c r="M830" s="906">
        <f t="shared" si="267"/>
        <v>1804071.8394659341</v>
      </c>
      <c r="N830" s="905"/>
      <c r="O830" s="271">
        <f>'DGSP_chitiet (truKH)'!K830</f>
        <v>1557855.069846154</v>
      </c>
      <c r="P830" s="271">
        <f>'DGSP_chitiet (truKH)'!L830</f>
        <v>233678.26047692308</v>
      </c>
      <c r="Q830" s="306">
        <f>'DGSP_chitiet (truKH)'!M830</f>
        <v>1791533.330323077</v>
      </c>
      <c r="R830" s="271">
        <f>'DGSP_chitiet (truKH)'!N830</f>
        <v>0</v>
      </c>
      <c r="S830" s="905">
        <f>NhanCong!V$176</f>
        <v>21602.307692307695</v>
      </c>
    </row>
    <row r="831" spans="1:19" s="240" customFormat="1">
      <c r="A831" s="1010"/>
      <c r="B831" s="1011"/>
      <c r="C831" s="1013"/>
      <c r="D831" s="274" t="s">
        <v>33</v>
      </c>
      <c r="E831" s="271">
        <f>NhanCong!U$177</f>
        <v>1089121.9900000002</v>
      </c>
      <c r="F831" s="271"/>
      <c r="G831" s="905">
        <f>Dcu!P$274</f>
        <v>24459.164792307696</v>
      </c>
      <c r="H831" s="905">
        <f>VLieu!N$159</f>
        <v>626800</v>
      </c>
      <c r="I831" s="905">
        <f>TBi!Q$394</f>
        <v>11603.240357142855</v>
      </c>
      <c r="J831" s="905">
        <f>TBi!Q$398</f>
        <v>46122.719999999994</v>
      </c>
      <c r="K831" s="905">
        <f t="shared" si="265"/>
        <v>1798107.1151494507</v>
      </c>
      <c r="L831" s="905">
        <f t="shared" si="266"/>
        <v>269716.0672724176</v>
      </c>
      <c r="M831" s="906">
        <f t="shared" si="267"/>
        <v>2067823.1824218682</v>
      </c>
      <c r="N831" s="905"/>
      <c r="O831" s="271">
        <f>'DGSP_chitiet (truKH)'!K831</f>
        <v>1786503.8747923078</v>
      </c>
      <c r="P831" s="271">
        <f>'DGSP_chitiet (truKH)'!L831</f>
        <v>267975.58121884614</v>
      </c>
      <c r="Q831" s="306">
        <f>'DGSP_chitiet (truKH)'!M831</f>
        <v>2054479.456011154</v>
      </c>
      <c r="R831" s="271">
        <f>'DGSP_chitiet (truKH)'!N831</f>
        <v>0</v>
      </c>
      <c r="S831" s="905">
        <f>NhanCong!V$177</f>
        <v>27051.538461538457</v>
      </c>
    </row>
    <row r="832" spans="1:19" s="240" customFormat="1">
      <c r="A832" s="1010"/>
      <c r="B832" s="1011"/>
      <c r="C832" s="1013"/>
      <c r="D832" s="274" t="s">
        <v>13</v>
      </c>
      <c r="E832" s="271">
        <f>NhanCong!U$178</f>
        <v>1520069.5400000005</v>
      </c>
      <c r="F832" s="271"/>
      <c r="G832" s="905">
        <f>Dcu!P$275</f>
        <v>31706.324730769233</v>
      </c>
      <c r="H832" s="905">
        <f>VLieu!N$159</f>
        <v>626800</v>
      </c>
      <c r="I832" s="905">
        <f>TBi!R$394</f>
        <v>13064.901428571429</v>
      </c>
      <c r="J832" s="905">
        <f>TBi!R$398</f>
        <v>48816.18</v>
      </c>
      <c r="K832" s="905">
        <f t="shared" si="265"/>
        <v>2240456.9461593414</v>
      </c>
      <c r="L832" s="905">
        <f t="shared" si="266"/>
        <v>336068.54192390118</v>
      </c>
      <c r="M832" s="906">
        <f t="shared" si="267"/>
        <v>2576525.4880832424</v>
      </c>
      <c r="N832" s="905"/>
      <c r="O832" s="271">
        <f>'DGSP_chitiet (truKH)'!K832</f>
        <v>2227392.0447307699</v>
      </c>
      <c r="P832" s="271">
        <f>'DGSP_chitiet (truKH)'!L832</f>
        <v>334108.80670961546</v>
      </c>
      <c r="Q832" s="306">
        <f>'DGSP_chitiet (truKH)'!M832</f>
        <v>2561500.8514403854</v>
      </c>
      <c r="R832" s="271">
        <f>'DGSP_chitiet (truKH)'!N832</f>
        <v>0</v>
      </c>
      <c r="S832" s="905">
        <f>NhanCong!V$178</f>
        <v>37755.38461538461</v>
      </c>
    </row>
    <row r="833" spans="1:19" s="240" customFormat="1" ht="26">
      <c r="A833" s="969" t="s">
        <v>246</v>
      </c>
      <c r="B833" s="970" t="str">
        <f>NhanCong!B$179</f>
        <v>Lập Phiếu đo đạc chỉnh lý thửa đất (Công/100 thửa chỉnh lý)</v>
      </c>
      <c r="C833" s="983" t="s">
        <v>329</v>
      </c>
      <c r="D833" s="983" t="s">
        <v>15</v>
      </c>
      <c r="E833" s="984">
        <f>NhanCong!U$179</f>
        <v>1031101.5000000002</v>
      </c>
      <c r="F833" s="984"/>
      <c r="G833" s="985">
        <f>Dcu!P$270</f>
        <v>18117.899846153847</v>
      </c>
      <c r="H833" s="905">
        <f>VLieu!N$159</f>
        <v>626800</v>
      </c>
      <c r="I833" s="985"/>
      <c r="J833" s="985"/>
      <c r="K833" s="985">
        <f t="shared" si="265"/>
        <v>1676019.399846154</v>
      </c>
      <c r="L833" s="905">
        <f t="shared" si="266"/>
        <v>251402.90997692308</v>
      </c>
      <c r="M833" s="986">
        <f t="shared" si="267"/>
        <v>1927422.3098230772</v>
      </c>
      <c r="N833" s="985"/>
      <c r="O833" s="271">
        <f>'DGSP_chitiet (truKH)'!K833</f>
        <v>1676019.399846154</v>
      </c>
      <c r="P833" s="271">
        <f>'DGSP_chitiet (truKH)'!L833</f>
        <v>251402.90997692308</v>
      </c>
      <c r="Q833" s="306">
        <f>'DGSP_chitiet (truKH)'!M833</f>
        <v>1927422.3098230772</v>
      </c>
      <c r="R833" s="271">
        <f>'DGSP_chitiet (truKH)'!N833</f>
        <v>0</v>
      </c>
      <c r="S833" s="985">
        <f>NhanCong!V$179</f>
        <v>29192.307692307691</v>
      </c>
    </row>
    <row r="834" spans="1:19" s="240" customFormat="1" ht="26">
      <c r="A834" s="969" t="s">
        <v>271</v>
      </c>
      <c r="B834" s="970" t="str">
        <f>NhanCong!B$180</f>
        <v>Bổ sung sổ mục kê (công nhóm/100 thửa chỉnh lý)</v>
      </c>
      <c r="C834" s="983" t="s">
        <v>329</v>
      </c>
      <c r="D834" s="983" t="s">
        <v>15</v>
      </c>
      <c r="E834" s="984">
        <f>NhanCong!U$180</f>
        <v>893621.30000000016</v>
      </c>
      <c r="F834" s="984"/>
      <c r="G834" s="985">
        <f>Dcu!P$290</f>
        <v>13800.392222222223</v>
      </c>
      <c r="H834" s="985">
        <f>VLieu!J$170</f>
        <v>120500</v>
      </c>
      <c r="I834" s="985">
        <f>TBi!N$411</f>
        <v>6891.4414285714283</v>
      </c>
      <c r="J834" s="985">
        <f>TBi!N$414</f>
        <v>27379.800000000003</v>
      </c>
      <c r="K834" s="985">
        <f t="shared" si="265"/>
        <v>1062192.9336507937</v>
      </c>
      <c r="L834" s="905">
        <f t="shared" si="266"/>
        <v>159328.94004761905</v>
      </c>
      <c r="M834" s="986">
        <f t="shared" si="267"/>
        <v>1221521.8736984129</v>
      </c>
      <c r="N834" s="985"/>
      <c r="O834" s="271">
        <f>'DGSP_chitiet (truKH)'!K834</f>
        <v>1055301.4922222223</v>
      </c>
      <c r="P834" s="271">
        <f>'DGSP_chitiet (truKH)'!L834</f>
        <v>158295.22383333332</v>
      </c>
      <c r="Q834" s="306">
        <f>'DGSP_chitiet (truKH)'!M834</f>
        <v>1213596.7160555555</v>
      </c>
      <c r="R834" s="271">
        <f>'DGSP_chitiet (truKH)'!N834</f>
        <v>0</v>
      </c>
      <c r="S834" s="985">
        <f>NhanCong!V$180</f>
        <v>25300</v>
      </c>
    </row>
    <row r="835" spans="1:19" s="240" customFormat="1" ht="26">
      <c r="A835" s="969" t="s">
        <v>365</v>
      </c>
      <c r="B835" s="970" t="str">
        <f>NhanCong!B$181</f>
        <v>Biên tập bản đồ và in (công nhóm/mảnh)</v>
      </c>
      <c r="C835" s="983" t="s">
        <v>317</v>
      </c>
      <c r="D835" s="983" t="s">
        <v>15</v>
      </c>
      <c r="E835" s="984">
        <f>NhanCong!U$181</f>
        <v>2646.4938500000007</v>
      </c>
      <c r="F835" s="984"/>
      <c r="G835" s="985">
        <f>Dcu!P$304</f>
        <v>94.541333333333355</v>
      </c>
      <c r="H835" s="985">
        <f>VLieu!N$181</f>
        <v>1042.0999999999999</v>
      </c>
      <c r="I835" s="985">
        <f>TBi!N$433</f>
        <v>34.771057142857146</v>
      </c>
      <c r="J835" s="985">
        <f>TBi!N$437</f>
        <v>84.587999999999994</v>
      </c>
      <c r="K835" s="985">
        <f>SUM(E835:J835)</f>
        <v>3902.4942404761914</v>
      </c>
      <c r="L835" s="905">
        <f t="shared" si="266"/>
        <v>585.37413607142867</v>
      </c>
      <c r="M835" s="986">
        <f>K835+L835</f>
        <v>4487.8683765476198</v>
      </c>
      <c r="N835" s="985"/>
      <c r="O835" s="271">
        <f>'DGSP_chitiet (truKH)'!K835</f>
        <v>3867.7231833333344</v>
      </c>
      <c r="P835" s="271">
        <f>'DGSP_chitiet (truKH)'!L835</f>
        <v>580.15847750000012</v>
      </c>
      <c r="Q835" s="306">
        <f>'DGSP_chitiet (truKH)'!M835</f>
        <v>4447.8816608333345</v>
      </c>
      <c r="R835" s="271">
        <f>'DGSP_chitiet (truKH)'!N835</f>
        <v>0</v>
      </c>
      <c r="S835" s="985">
        <f>NhanCong!V$181</f>
        <v>74.926923076923075</v>
      </c>
    </row>
    <row r="836" spans="1:19" s="240" customFormat="1" ht="26">
      <c r="A836" s="969" t="s">
        <v>366</v>
      </c>
      <c r="B836" s="970" t="str">
        <f>NhanCong!B$182</f>
        <v>Xác nhận hồ sơ các cấp (công nhóm/mảnh)</v>
      </c>
      <c r="C836" s="983" t="s">
        <v>317</v>
      </c>
      <c r="D836" s="983" t="s">
        <v>15</v>
      </c>
      <c r="E836" s="984">
        <f>NhanCong!U$182</f>
        <v>3780.7055000000009</v>
      </c>
      <c r="F836" s="984"/>
      <c r="G836" s="985">
        <f>Dcu!P$304</f>
        <v>94.541333333333355</v>
      </c>
      <c r="H836" s="985">
        <f>VLieu!N$181</f>
        <v>1042.0999999999999</v>
      </c>
      <c r="I836" s="985">
        <f>TBi!N$433</f>
        <v>34.771057142857146</v>
      </c>
      <c r="J836" s="985">
        <f>TBi!N$437</f>
        <v>84.587999999999994</v>
      </c>
      <c r="K836" s="985">
        <f>SUM(E836:J836)</f>
        <v>5036.7058904761916</v>
      </c>
      <c r="L836" s="905">
        <f t="shared" si="266"/>
        <v>755.50588357142874</v>
      </c>
      <c r="M836" s="986">
        <f>K836+L836</f>
        <v>5792.2117740476206</v>
      </c>
      <c r="N836" s="985"/>
      <c r="O836" s="271">
        <f>'DGSP_chitiet (truKH)'!K836</f>
        <v>5001.9348333333346</v>
      </c>
      <c r="P836" s="271">
        <f>'DGSP_chitiet (truKH)'!L836</f>
        <v>750.29022500000019</v>
      </c>
      <c r="Q836" s="306">
        <f>'DGSP_chitiet (truKH)'!M836</f>
        <v>5752.2250583333353</v>
      </c>
      <c r="R836" s="271">
        <f>'DGSP_chitiet (truKH)'!N836</f>
        <v>0</v>
      </c>
      <c r="S836" s="985">
        <f>NhanCong!V$182</f>
        <v>107.03846153846155</v>
      </c>
    </row>
    <row r="837" spans="1:19" s="240" customFormat="1" ht="26">
      <c r="A837" s="969" t="s">
        <v>367</v>
      </c>
      <c r="B837" s="970" t="str">
        <f>NhanCong!B$183</f>
        <v>Giao nộp sản phẩm (công nhóm/mảnh)</v>
      </c>
      <c r="C837" s="983" t="s">
        <v>317</v>
      </c>
      <c r="D837" s="983" t="s">
        <v>15</v>
      </c>
      <c r="E837" s="984">
        <f>NhanCong!U$183</f>
        <v>8729.9927000000007</v>
      </c>
      <c r="F837" s="984"/>
      <c r="G837" s="985">
        <f>Dcu!P$304</f>
        <v>94.541333333333355</v>
      </c>
      <c r="H837" s="985">
        <f>VLieu!N$181</f>
        <v>1042.0999999999999</v>
      </c>
      <c r="I837" s="985">
        <f>TBi!N$433</f>
        <v>34.771057142857146</v>
      </c>
      <c r="J837" s="985">
        <f>TBi!N$437</f>
        <v>84.587999999999994</v>
      </c>
      <c r="K837" s="985">
        <f>SUM(E837:J837)</f>
        <v>9985.9930904761914</v>
      </c>
      <c r="L837" s="905">
        <f>K837*0.15</f>
        <v>1497.8989635714286</v>
      </c>
      <c r="M837" s="986">
        <f>K837+L837</f>
        <v>11483.892054047619</v>
      </c>
      <c r="N837" s="985"/>
      <c r="O837" s="271">
        <f>'DGSP_chitiet (truKH)'!K837</f>
        <v>9951.2220333333335</v>
      </c>
      <c r="P837" s="271">
        <f>'DGSP_chitiet (truKH)'!L837</f>
        <v>1492.683305</v>
      </c>
      <c r="Q837" s="306">
        <f>'DGSP_chitiet (truKH)'!M837</f>
        <v>11443.905338333334</v>
      </c>
      <c r="R837" s="271">
        <f>'DGSP_chitiet (truKH)'!N837</f>
        <v>0</v>
      </c>
      <c r="S837" s="985">
        <f>NhanCong!V$183</f>
        <v>247.16153846153847</v>
      </c>
    </row>
    <row r="838" spans="1:19" s="240" customFormat="1">
      <c r="A838" s="242" t="s">
        <v>30</v>
      </c>
      <c r="B838" s="276" t="s">
        <v>206</v>
      </c>
      <c r="C838" s="981" t="s">
        <v>349</v>
      </c>
      <c r="D838" s="275"/>
      <c r="E838" s="271"/>
      <c r="F838" s="271"/>
      <c r="G838" s="271"/>
      <c r="H838" s="271"/>
      <c r="I838" s="271"/>
      <c r="J838" s="271"/>
      <c r="K838" s="271"/>
      <c r="L838" s="271"/>
      <c r="M838" s="971">
        <v>100</v>
      </c>
      <c r="N838" s="271" t="s">
        <v>21</v>
      </c>
      <c r="O838" s="271">
        <f>'DGSP_chitiet (truKH)'!K838</f>
        <v>0</v>
      </c>
      <c r="P838" s="271">
        <f>'DGSP_chitiet (truKH)'!L838</f>
        <v>0</v>
      </c>
      <c r="Q838" s="306">
        <f>'DGSP_chitiet (truKH)'!M838</f>
        <v>100</v>
      </c>
      <c r="R838" s="271" t="str">
        <f>'DGSP_chitiet (truKH)'!N838</f>
        <v>ha</v>
      </c>
      <c r="S838" s="271"/>
    </row>
    <row r="839" spans="1:19" s="240" customFormat="1" ht="13.15" customHeight="1">
      <c r="A839" s="1005"/>
      <c r="B839" s="1014" t="s">
        <v>190</v>
      </c>
      <c r="C839" s="242">
        <f>HeSoKK!B34</f>
        <v>1.1000000000000001</v>
      </c>
      <c r="D839" s="242">
        <v>1</v>
      </c>
      <c r="E839" s="271">
        <f>E882/C839+(E886+E890)/100</f>
        <v>292933.96722222224</v>
      </c>
      <c r="F839" s="271">
        <f>F882/C839+(F886+F890)/100</f>
        <v>15208.76923076923</v>
      </c>
      <c r="G839" s="271">
        <f>G882/C839+(G886+G890)/100</f>
        <v>1618.508783022533</v>
      </c>
      <c r="H839" s="271">
        <f>H882/C839+(H886+H890)/100</f>
        <v>3679969.6015909086</v>
      </c>
      <c r="I839" s="271">
        <f>I882/C839+(I886+I890)/100</f>
        <v>3678.4064285714285</v>
      </c>
      <c r="J839" s="271">
        <f>J882/C839+(J886+J890)/100</f>
        <v>36.061199999999999</v>
      </c>
      <c r="K839" s="271">
        <f t="shared" ref="K839:K846" si="268">SUM(E839:J839)</f>
        <v>3993445.3144554938</v>
      </c>
      <c r="L839" s="271">
        <f>K839*0.25</f>
        <v>998361.32861387345</v>
      </c>
      <c r="M839" s="272">
        <f t="shared" ref="M839:M846" si="269">K839+L839</f>
        <v>4991806.6430693669</v>
      </c>
      <c r="N839" s="271">
        <f>M839+M843</f>
        <v>5058462.3082469506</v>
      </c>
      <c r="O839" s="271">
        <f>'DGSP_chitiet (truKH)'!K839</f>
        <v>3989766.9080269225</v>
      </c>
      <c r="P839" s="271">
        <f>'DGSP_chitiet (truKH)'!L839</f>
        <v>997441.72700673062</v>
      </c>
      <c r="Q839" s="306">
        <f>'DGSP_chitiet (truKH)'!M839</f>
        <v>4987208.6350336531</v>
      </c>
      <c r="R839" s="271">
        <f>'DGSP_chitiet (truKH)'!N839</f>
        <v>5052858.9709994346</v>
      </c>
      <c r="S839" s="271">
        <f>S882/C839+(S886+S890)/100</f>
        <v>8333.5683760683751</v>
      </c>
    </row>
    <row r="840" spans="1:19" s="240" customFormat="1" ht="13.15" customHeight="1">
      <c r="A840" s="1005"/>
      <c r="B840" s="1014"/>
      <c r="C840" s="242">
        <f>HeSoKK!D34</f>
        <v>3</v>
      </c>
      <c r="D840" s="242">
        <v>2</v>
      </c>
      <c r="E840" s="271">
        <f>E883/C840+(E887+E891)/100</f>
        <v>336306.78876157419</v>
      </c>
      <c r="F840" s="271">
        <f>F883/C840+(F887+F891)/100</f>
        <v>18246.884615384613</v>
      </c>
      <c r="G840" s="271">
        <f>G883/C840+(G887+G891)/100</f>
        <v>1915.9082042378916</v>
      </c>
      <c r="H840" s="271">
        <f>H883/C840+(H887+H891)/100</f>
        <v>1349878.6924999999</v>
      </c>
      <c r="I840" s="271">
        <f>I883/C840+(I887+I891)/100</f>
        <v>4239.82</v>
      </c>
      <c r="J840" s="271">
        <f>J883/C840+(J887+J891)/100</f>
        <v>41.180999999999997</v>
      </c>
      <c r="K840" s="271">
        <f t="shared" si="268"/>
        <v>1710629.2750811968</v>
      </c>
      <c r="L840" s="271">
        <f>K840*0.25</f>
        <v>427657.3187702992</v>
      </c>
      <c r="M840" s="272">
        <f t="shared" si="269"/>
        <v>2138286.593851496</v>
      </c>
      <c r="N840" s="271">
        <f>M840+M844</f>
        <v>2198485.3935911544</v>
      </c>
      <c r="O840" s="271">
        <f>'DGSP_chitiet (truKH)'!K840</f>
        <v>1706389.4550811967</v>
      </c>
      <c r="P840" s="271">
        <f>'DGSP_chitiet (truKH)'!L840</f>
        <v>426597.36377029918</v>
      </c>
      <c r="Q840" s="306">
        <f>'DGSP_chitiet (truKH)'!M840</f>
        <v>2132986.8188514961</v>
      </c>
      <c r="R840" s="271">
        <f>'DGSP_chitiet (truKH)'!N840</f>
        <v>2192585.2606293289</v>
      </c>
      <c r="S840" s="271">
        <f>S883/C840+(S887+S891)/100</f>
        <v>9539.0820868945866</v>
      </c>
    </row>
    <row r="841" spans="1:19" s="240" customFormat="1" ht="13.15" customHeight="1">
      <c r="A841" s="1005"/>
      <c r="B841" s="1014"/>
      <c r="C841" s="242">
        <f>HeSoKK!F34</f>
        <v>6</v>
      </c>
      <c r="D841" s="242">
        <v>3</v>
      </c>
      <c r="E841" s="271">
        <f>E884/C841+(E888+E892)/100</f>
        <v>401302.21350694459</v>
      </c>
      <c r="F841" s="271">
        <f>F884/C841+(F888+F892)/100</f>
        <v>21885.346153846156</v>
      </c>
      <c r="G841" s="271">
        <f>G884/C841+(G888+G892)/100</f>
        <v>2513.1581137226972</v>
      </c>
      <c r="H841" s="271">
        <f>H884/C841+(H888+H892)/100</f>
        <v>675378.6925</v>
      </c>
      <c r="I841" s="271">
        <f>I884/C841+(I888+I892)/100</f>
        <v>5650.8207142857145</v>
      </c>
      <c r="J841" s="271">
        <f>J884/C841+(J888+J892)/100</f>
        <v>55.204799999999999</v>
      </c>
      <c r="K841" s="271">
        <f t="shared" si="268"/>
        <v>1106785.4357887993</v>
      </c>
      <c r="L841" s="271">
        <f>K841*0.25</f>
        <v>276696.35894719983</v>
      </c>
      <c r="M841" s="272">
        <f t="shared" si="269"/>
        <v>1383481.7947359991</v>
      </c>
      <c r="N841" s="271">
        <f>M841+M845</f>
        <v>1446078.517388551</v>
      </c>
      <c r="O841" s="271">
        <f>'DGSP_chitiet (truKH)'!K841</f>
        <v>1101134.6150745135</v>
      </c>
      <c r="P841" s="271">
        <f>'DGSP_chitiet (truKH)'!L841</f>
        <v>275283.65376862837</v>
      </c>
      <c r="Q841" s="306">
        <f>'DGSP_chitiet (truKH)'!M841</f>
        <v>1376418.2688431419</v>
      </c>
      <c r="R841" s="271">
        <f>'DGSP_chitiet (truKH)'!N841</f>
        <v>1438551.4619868842</v>
      </c>
      <c r="S841" s="271">
        <f>S884/C841+(S888+S892)/100</f>
        <v>11372.160790598291</v>
      </c>
    </row>
    <row r="842" spans="1:19" s="240" customFormat="1" ht="13.15" customHeight="1">
      <c r="A842" s="1005"/>
      <c r="B842" s="1014"/>
      <c r="C842" s="242">
        <f>HeSoKK!H34</f>
        <v>8.5</v>
      </c>
      <c r="D842" s="242">
        <v>4</v>
      </c>
      <c r="E842" s="271">
        <f>E885/C842+(E889+E893)/100</f>
        <v>477015.06337132357</v>
      </c>
      <c r="F842" s="271">
        <f>F885/C842+(F889+F893)/100</f>
        <v>26269.692307692309</v>
      </c>
      <c r="G842" s="271">
        <f>G885/C842+(G889+G893)/100</f>
        <v>2751.0842855496908</v>
      </c>
      <c r="H842" s="271">
        <f>H885/C842+(H889+H893)/100</f>
        <v>476996.33955882356</v>
      </c>
      <c r="I842" s="271">
        <f>I885/C842+(I889+I893)/100</f>
        <v>6223.5042857142853</v>
      </c>
      <c r="J842" s="271">
        <f>J885/C842+(J889+J893)/100</f>
        <v>60.324600000000004</v>
      </c>
      <c r="K842" s="271">
        <f t="shared" si="268"/>
        <v>989316.00840910338</v>
      </c>
      <c r="L842" s="271">
        <f>K842*0.25</f>
        <v>247329.00210227584</v>
      </c>
      <c r="M842" s="272">
        <f t="shared" si="269"/>
        <v>1236645.0105113792</v>
      </c>
      <c r="N842" s="271">
        <f>M842+M846</f>
        <v>1300591.8981918234</v>
      </c>
      <c r="O842" s="271">
        <f>'DGSP_chitiet (truKH)'!K842</f>
        <v>983092.50412338914</v>
      </c>
      <c r="P842" s="271">
        <f>'DGSP_chitiet (truKH)'!L842</f>
        <v>245773.12603084728</v>
      </c>
      <c r="Q842" s="306">
        <f>'DGSP_chitiet (truKH)'!M842</f>
        <v>1228865.6301542365</v>
      </c>
      <c r="R842" s="271">
        <f>'DGSP_chitiet (truKH)'!N842</f>
        <v>1292378.1688707042</v>
      </c>
      <c r="S842" s="271">
        <f>S885/C842+(S889+S893)/100</f>
        <v>13514.106617647058</v>
      </c>
    </row>
    <row r="843" spans="1:19" s="240" customFormat="1">
      <c r="A843" s="1005"/>
      <c r="B843" s="1014" t="s">
        <v>192</v>
      </c>
      <c r="C843" s="242">
        <f>C839</f>
        <v>1.1000000000000001</v>
      </c>
      <c r="D843" s="242">
        <v>1</v>
      </c>
      <c r="E843" s="271">
        <f>(E895+E905+E906+E907)/C843+(E899+E903+E904)/100</f>
        <v>41343.671722222229</v>
      </c>
      <c r="F843" s="271">
        <f>(F895+F905+F906+F907)/C843+(F899+F903+F904)/100</f>
        <v>0</v>
      </c>
      <c r="G843" s="271">
        <f>(G895+G905+G906+G907)/C843+(G899+G903+G904)/100</f>
        <v>655.6468891295865</v>
      </c>
      <c r="H843" s="271">
        <f>(H895+H905+H906+H907)/C843+(H899+H903+H904)/100</f>
        <v>14107.075757575758</v>
      </c>
      <c r="I843" s="271">
        <f>(I895+I905+I906+I907)/C843+(I899+I903+I904)/100</f>
        <v>874.19931461038959</v>
      </c>
      <c r="J843" s="271">
        <f>(J895+J905+J906+J907)/C843+(J899+J903+J904)/100</f>
        <v>980.85429696969686</v>
      </c>
      <c r="K843" s="271">
        <f t="shared" si="268"/>
        <v>57961.447980507663</v>
      </c>
      <c r="L843" s="271">
        <f>K843*0.15</f>
        <v>8694.2171970761483</v>
      </c>
      <c r="M843" s="272">
        <f t="shared" si="269"/>
        <v>66655.665177583811</v>
      </c>
      <c r="N843" s="271"/>
      <c r="O843" s="271">
        <f>'DGSP_chitiet (truKH)'!K843</f>
        <v>57087.24866589727</v>
      </c>
      <c r="P843" s="271">
        <f>'DGSP_chitiet (truKH)'!L843</f>
        <v>8563.0872998845898</v>
      </c>
      <c r="Q843" s="306">
        <f>'DGSP_chitiet (truKH)'!M843</f>
        <v>65650.335965781866</v>
      </c>
      <c r="R843" s="271">
        <f>'DGSP_chitiet (truKH)'!N843</f>
        <v>0</v>
      </c>
      <c r="S843" s="271">
        <f>(S895+S905+S906+S907)/C843+(S899+S903+S904)/100</f>
        <v>1132.4059829059829</v>
      </c>
    </row>
    <row r="844" spans="1:19" s="240" customFormat="1">
      <c r="A844" s="1005"/>
      <c r="B844" s="1014"/>
      <c r="C844" s="242">
        <f>C840</f>
        <v>3</v>
      </c>
      <c r="D844" s="242">
        <v>2</v>
      </c>
      <c r="E844" s="271">
        <f>(E896+E905+E906+E907)/C844+(E900+E903+E904)/100</f>
        <v>36463.436187037049</v>
      </c>
      <c r="F844" s="271">
        <f>(F896+F905+F906+F907)/C844+(F900+F903+F904)/100</f>
        <v>0</v>
      </c>
      <c r="G844" s="271">
        <f>(G896+G905+G906+G907)/C844+(G900+G903+G904)/100</f>
        <v>611.79414924264006</v>
      </c>
      <c r="H844" s="271">
        <f>(H896+H905+H906+H907)/C844+(H900+H903+H904)/100</f>
        <v>13875.227777777778</v>
      </c>
      <c r="I844" s="271">
        <f>(I896+I905+I906+I907)/C844+(I900+I903+I904)/100</f>
        <v>522.05040158730162</v>
      </c>
      <c r="J844" s="271">
        <f>(J896+J905+J906+J907)/C844+(J900+J903+J904)/100</f>
        <v>874.27386666666655</v>
      </c>
      <c r="K844" s="271">
        <f t="shared" si="268"/>
        <v>52346.782382311438</v>
      </c>
      <c r="L844" s="271">
        <f>K844*0.15</f>
        <v>7852.0173573467155</v>
      </c>
      <c r="M844" s="272">
        <f t="shared" si="269"/>
        <v>60198.799739658156</v>
      </c>
      <c r="N844" s="271"/>
      <c r="O844" s="271">
        <f>'DGSP_chitiet (truKH)'!K844</f>
        <v>51824.731980724137</v>
      </c>
      <c r="P844" s="271">
        <f>'DGSP_chitiet (truKH)'!L844</f>
        <v>7773.7097971086205</v>
      </c>
      <c r="Q844" s="306">
        <f>'DGSP_chitiet (truKH)'!M844</f>
        <v>59598.441777832755</v>
      </c>
      <c r="R844" s="271">
        <f>'DGSP_chitiet (truKH)'!N844</f>
        <v>0</v>
      </c>
      <c r="S844" s="271">
        <f>(S896+S905+S906+S907)/C844+(S900+S903+S904)/100</f>
        <v>988.2497150997151</v>
      </c>
    </row>
    <row r="845" spans="1:19" s="240" customFormat="1">
      <c r="A845" s="1005"/>
      <c r="B845" s="1014"/>
      <c r="C845" s="242">
        <f>C841</f>
        <v>6</v>
      </c>
      <c r="D845" s="242">
        <v>3</v>
      </c>
      <c r="E845" s="271">
        <f>(E897+E905+E906+E907)/C845+(E901+E903+E904)/100</f>
        <v>38688.3650388889</v>
      </c>
      <c r="F845" s="271">
        <f>(F897+F905+F906+F907)/C845+(F901+F903+F904)/100</f>
        <v>0</v>
      </c>
      <c r="G845" s="271">
        <f>(G897+G905+G906+G907)/C845+(G901+G903+G904)/100</f>
        <v>647.6321199208611</v>
      </c>
      <c r="H845" s="271">
        <f>(H897+H905+H906+H907)/C845+(H901+H903+H904)/100</f>
        <v>13808.113888888889</v>
      </c>
      <c r="I845" s="271">
        <f>(I897+I905+I906+I907)/C845+(I901+I903+I904)/100</f>
        <v>403.06913809523803</v>
      </c>
      <c r="J845" s="271">
        <f>(J897+J905+J906+J907)/C845+(J901+J903+J904)/100</f>
        <v>884.75255555555555</v>
      </c>
      <c r="K845" s="271">
        <f t="shared" si="268"/>
        <v>54431.932741349447</v>
      </c>
      <c r="L845" s="271">
        <f>K845*0.15</f>
        <v>8164.789911202417</v>
      </c>
      <c r="M845" s="272">
        <f t="shared" si="269"/>
        <v>62596.722652551864</v>
      </c>
      <c r="N845" s="271"/>
      <c r="O845" s="271">
        <f>'DGSP_chitiet (truKH)'!K845</f>
        <v>54028.863603254205</v>
      </c>
      <c r="P845" s="271">
        <f>'DGSP_chitiet (truKH)'!L845</f>
        <v>8104.3295404881301</v>
      </c>
      <c r="Q845" s="306">
        <f>'DGSP_chitiet (truKH)'!M845</f>
        <v>62133.193143742334</v>
      </c>
      <c r="R845" s="271">
        <f>'DGSP_chitiet (truKH)'!N845</f>
        <v>0</v>
      </c>
      <c r="S845" s="271">
        <f>(S897+S905+S906+S907)/C845+(S901+S903+S904)/100</f>
        <v>1036.5431623931622</v>
      </c>
    </row>
    <row r="846" spans="1:19" s="240" customFormat="1">
      <c r="A846" s="1005"/>
      <c r="B846" s="1014"/>
      <c r="C846" s="242">
        <f>C842</f>
        <v>8.5</v>
      </c>
      <c r="D846" s="242">
        <v>4</v>
      </c>
      <c r="E846" s="271">
        <f>(E898+E905+E906+E907)/C846+(E902+E903+E904)/100</f>
        <v>39879.082502614394</v>
      </c>
      <c r="F846" s="271">
        <f>(F898+F905+F906+F907)/C846+(F902+F903+F904)/100</f>
        <v>0</v>
      </c>
      <c r="G846" s="271">
        <f>(G898+G905+G906+G907)/C846+(G902+G903+G904)/100</f>
        <v>665.19405697396803</v>
      </c>
      <c r="H846" s="271">
        <f>(H898+H905+H906+H907)/C846+(H902+H903+H904)/100</f>
        <v>13788.374509803922</v>
      </c>
      <c r="I846" s="271">
        <f>(I898+I905+I906+I907)/C846+(I902+I903+I904)/100</f>
        <v>377.69475128384681</v>
      </c>
      <c r="J846" s="271">
        <f>(J898+J905+J906+J907)/C846+(J902+J903+J904)/100</f>
        <v>895.64346666666665</v>
      </c>
      <c r="K846" s="271">
        <f t="shared" si="268"/>
        <v>55605.989287342796</v>
      </c>
      <c r="L846" s="271">
        <f>K846*0.15</f>
        <v>8340.8983931014191</v>
      </c>
      <c r="M846" s="272">
        <f t="shared" si="269"/>
        <v>63946.887680444212</v>
      </c>
      <c r="N846" s="271"/>
      <c r="O846" s="271">
        <f>'DGSP_chitiet (truKH)'!K846</f>
        <v>55228.294536058951</v>
      </c>
      <c r="P846" s="271">
        <f>'DGSP_chitiet (truKH)'!L846</f>
        <v>8284.244180408843</v>
      </c>
      <c r="Q846" s="306">
        <f>'DGSP_chitiet (truKH)'!M846</f>
        <v>63512.538716467796</v>
      </c>
      <c r="R846" s="271">
        <f>'DGSP_chitiet (truKH)'!N846</f>
        <v>0</v>
      </c>
      <c r="S846" s="271">
        <f>(S898+S905+S906+S907)/C846+(S902+S903+S904)/100</f>
        <v>1064.2663147310204</v>
      </c>
    </row>
    <row r="847" spans="1:19" s="240" customFormat="1" ht="13.5">
      <c r="A847" s="242"/>
      <c r="B847" s="277" t="s">
        <v>332</v>
      </c>
      <c r="C847" s="242"/>
      <c r="D847" s="242"/>
      <c r="E847" s="271"/>
      <c r="F847" s="271"/>
      <c r="G847" s="271"/>
      <c r="H847" s="271"/>
      <c r="I847" s="271"/>
      <c r="J847" s="271"/>
      <c r="K847" s="271"/>
      <c r="L847" s="271"/>
      <c r="M847" s="272"/>
      <c r="N847" s="271"/>
      <c r="O847" s="271">
        <f>'DGSP_chitiet (truKH)'!K847</f>
        <v>0</v>
      </c>
      <c r="P847" s="271">
        <f>'DGSP_chitiet (truKH)'!L847</f>
        <v>0</v>
      </c>
      <c r="Q847" s="306">
        <f>'DGSP_chitiet (truKH)'!M847</f>
        <v>0</v>
      </c>
      <c r="R847" s="271">
        <f>'DGSP_chitiet (truKH)'!N847</f>
        <v>0</v>
      </c>
      <c r="S847" s="271"/>
    </row>
    <row r="848" spans="1:19" s="240" customFormat="1" ht="13.5">
      <c r="A848" s="242" t="s">
        <v>494</v>
      </c>
      <c r="B848" s="277" t="s">
        <v>333</v>
      </c>
      <c r="C848" s="242"/>
      <c r="D848" s="242"/>
      <c r="E848" s="271"/>
      <c r="F848" s="271"/>
      <c r="G848" s="271"/>
      <c r="H848" s="271"/>
      <c r="I848" s="271"/>
      <c r="J848" s="271"/>
      <c r="K848" s="271"/>
      <c r="L848" s="271"/>
      <c r="M848" s="272"/>
      <c r="N848" s="271"/>
      <c r="O848" s="271">
        <f>'DGSP_chitiet (truKH)'!K848</f>
        <v>0</v>
      </c>
      <c r="P848" s="271">
        <f>'DGSP_chitiet (truKH)'!L848</f>
        <v>0</v>
      </c>
      <c r="Q848" s="306">
        <f>'DGSP_chitiet (truKH)'!M848</f>
        <v>0</v>
      </c>
      <c r="R848" s="271">
        <f>'DGSP_chitiet (truKH)'!N848</f>
        <v>0</v>
      </c>
      <c r="S848" s="271"/>
    </row>
    <row r="849" spans="1:19" s="240" customFormat="1" ht="13.15" customHeight="1">
      <c r="A849" s="1005"/>
      <c r="B849" s="1014" t="s">
        <v>330</v>
      </c>
      <c r="C849" s="1005" t="s">
        <v>49</v>
      </c>
      <c r="D849" s="242">
        <v>1</v>
      </c>
      <c r="E849" s="271">
        <f t="shared" ref="E849:J852" si="270">E839-E886/100</f>
        <v>275534.12940972223</v>
      </c>
      <c r="F849" s="271">
        <f t="shared" si="270"/>
        <v>15208.76923076923</v>
      </c>
      <c r="G849" s="271">
        <f t="shared" si="270"/>
        <v>1377.4708984071483</v>
      </c>
      <c r="H849" s="271">
        <f t="shared" si="270"/>
        <v>3679927.7590909088</v>
      </c>
      <c r="I849" s="271">
        <f t="shared" si="270"/>
        <v>3400.7142857142858</v>
      </c>
      <c r="J849" s="271">
        <f t="shared" si="270"/>
        <v>33.39</v>
      </c>
      <c r="K849" s="271">
        <f t="shared" ref="K849:K856" si="271">SUM(E849:J849)</f>
        <v>3975482.2329155216</v>
      </c>
      <c r="L849" s="271">
        <f>K849*0.25</f>
        <v>993870.5582288804</v>
      </c>
      <c r="M849" s="272">
        <f t="shared" ref="M849:M856" si="272">K849+L849</f>
        <v>4969352.7911444018</v>
      </c>
      <c r="N849" s="271">
        <f>M849+M853</f>
        <v>5036008.4563219855</v>
      </c>
      <c r="O849" s="271">
        <f>'DGSP_chitiet (truKH)'!K849</f>
        <v>3972081.5186298075</v>
      </c>
      <c r="P849" s="271">
        <f>'DGSP_chitiet (truKH)'!L849</f>
        <v>993020.37965745188</v>
      </c>
      <c r="Q849" s="306">
        <f>'DGSP_chitiet (truKH)'!M849</f>
        <v>4965101.898287259</v>
      </c>
      <c r="R849" s="271">
        <f>'DGSP_chitiet (truKH)'!N849</f>
        <v>5030752.2342530405</v>
      </c>
      <c r="S849" s="271">
        <f>S839-S886/100</f>
        <v>7840.9481837606827</v>
      </c>
    </row>
    <row r="850" spans="1:19" s="240" customFormat="1" ht="13.15" customHeight="1">
      <c r="A850" s="1005"/>
      <c r="B850" s="1014"/>
      <c r="C850" s="1005"/>
      <c r="D850" s="242">
        <v>2</v>
      </c>
      <c r="E850" s="271">
        <f t="shared" si="270"/>
        <v>316329.1971990742</v>
      </c>
      <c r="F850" s="271">
        <f t="shared" si="270"/>
        <v>18246.884615384613</v>
      </c>
      <c r="G850" s="271">
        <f t="shared" si="270"/>
        <v>1614.6108484686608</v>
      </c>
      <c r="H850" s="271">
        <f t="shared" si="270"/>
        <v>1349836.8499999999</v>
      </c>
      <c r="I850" s="271">
        <f t="shared" si="270"/>
        <v>3922.2885714285712</v>
      </c>
      <c r="J850" s="271">
        <f t="shared" si="270"/>
        <v>37.841999999999999</v>
      </c>
      <c r="K850" s="271">
        <f t="shared" si="271"/>
        <v>1689987.6732343559</v>
      </c>
      <c r="L850" s="271">
        <f>K850*0.25</f>
        <v>422496.91830858897</v>
      </c>
      <c r="M850" s="272">
        <f t="shared" si="272"/>
        <v>2112484.5915429448</v>
      </c>
      <c r="N850" s="271">
        <f>M850+M854</f>
        <v>2172683.3912826031</v>
      </c>
      <c r="O850" s="271">
        <f>'DGSP_chitiet (truKH)'!K850</f>
        <v>1686065.3846629274</v>
      </c>
      <c r="P850" s="271">
        <f>'DGSP_chitiet (truKH)'!L850</f>
        <v>421516.34616573184</v>
      </c>
      <c r="Q850" s="306">
        <f>'DGSP_chitiet (truKH)'!M850</f>
        <v>2107581.7308286591</v>
      </c>
      <c r="R850" s="271">
        <f>'DGSP_chitiet (truKH)'!N850</f>
        <v>2167180.1726064919</v>
      </c>
      <c r="S850" s="271">
        <f>S840-S887/100</f>
        <v>8973.4811253561256</v>
      </c>
    </row>
    <row r="851" spans="1:19" s="240" customFormat="1" ht="13.15" customHeight="1">
      <c r="A851" s="1005"/>
      <c r="B851" s="1014"/>
      <c r="C851" s="1005"/>
      <c r="D851" s="242">
        <v>3</v>
      </c>
      <c r="E851" s="271">
        <f t="shared" si="270"/>
        <v>374665.42475694459</v>
      </c>
      <c r="F851" s="271">
        <f t="shared" si="270"/>
        <v>21885.346153846156</v>
      </c>
      <c r="G851" s="271">
        <f t="shared" si="270"/>
        <v>2111.4283060303896</v>
      </c>
      <c r="H851" s="271">
        <f t="shared" si="270"/>
        <v>675336.85</v>
      </c>
      <c r="I851" s="271">
        <f t="shared" si="270"/>
        <v>5231.4650000000001</v>
      </c>
      <c r="J851" s="271">
        <f t="shared" si="270"/>
        <v>51.198</v>
      </c>
      <c r="K851" s="271">
        <f t="shared" si="271"/>
        <v>1079281.7122168213</v>
      </c>
      <c r="L851" s="271">
        <f>K851*0.25</f>
        <v>269820.42805420532</v>
      </c>
      <c r="M851" s="272">
        <f t="shared" si="272"/>
        <v>1349102.1402710266</v>
      </c>
      <c r="N851" s="271">
        <f>M851+M855</f>
        <v>1411698.8629235786</v>
      </c>
      <c r="O851" s="271">
        <f>'DGSP_chitiet (truKH)'!K851</f>
        <v>1074050.2472168212</v>
      </c>
      <c r="P851" s="271">
        <f>'DGSP_chitiet (truKH)'!L851</f>
        <v>268512.5618042053</v>
      </c>
      <c r="Q851" s="306">
        <f>'DGSP_chitiet (truKH)'!M851</f>
        <v>1342562.8090210264</v>
      </c>
      <c r="R851" s="271">
        <f>'DGSP_chitiet (truKH)'!N851</f>
        <v>1404696.0021647688</v>
      </c>
      <c r="S851" s="271">
        <f>S841-S888/100</f>
        <v>10618.026175213676</v>
      </c>
    </row>
    <row r="852" spans="1:19" s="240" customFormat="1" ht="13.15" customHeight="1">
      <c r="A852" s="1005"/>
      <c r="B852" s="1014"/>
      <c r="C852" s="1005"/>
      <c r="D852" s="242">
        <v>4</v>
      </c>
      <c r="E852" s="271">
        <f t="shared" si="270"/>
        <v>447800.52087132353</v>
      </c>
      <c r="F852" s="271">
        <f t="shared" si="270"/>
        <v>26269.692307692309</v>
      </c>
      <c r="G852" s="271">
        <f t="shared" si="270"/>
        <v>2309.1814970881524</v>
      </c>
      <c r="H852" s="271">
        <f t="shared" si="270"/>
        <v>476954.49705882353</v>
      </c>
      <c r="I852" s="271">
        <f t="shared" si="270"/>
        <v>5758.6742857142854</v>
      </c>
      <c r="J852" s="271">
        <f t="shared" si="270"/>
        <v>55.650000000000006</v>
      </c>
      <c r="K852" s="271">
        <f t="shared" si="271"/>
        <v>959148.21602064185</v>
      </c>
      <c r="L852" s="271">
        <f>K852*0.25</f>
        <v>239787.05400516046</v>
      </c>
      <c r="M852" s="272">
        <f t="shared" si="272"/>
        <v>1198935.2700258023</v>
      </c>
      <c r="N852" s="271">
        <f>M852+M856</f>
        <v>1262882.1577062465</v>
      </c>
      <c r="O852" s="271">
        <f>'DGSP_chitiet (truKH)'!K852</f>
        <v>953389.54173492757</v>
      </c>
      <c r="P852" s="271">
        <f>'DGSP_chitiet (truKH)'!L852</f>
        <v>238347.38543373189</v>
      </c>
      <c r="Q852" s="306">
        <f>'DGSP_chitiet (truKH)'!M852</f>
        <v>1191736.9271686594</v>
      </c>
      <c r="R852" s="271">
        <f>'DGSP_chitiet (truKH)'!N852</f>
        <v>1255249.4658851272</v>
      </c>
      <c r="S852" s="271">
        <f>S842-S889/100</f>
        <v>12686.991233031673</v>
      </c>
    </row>
    <row r="853" spans="1:19" s="240" customFormat="1" ht="13.15" customHeight="1">
      <c r="A853" s="1005"/>
      <c r="B853" s="1014" t="s">
        <v>331</v>
      </c>
      <c r="C853" s="1005" t="s">
        <v>49</v>
      </c>
      <c r="D853" s="242">
        <v>1</v>
      </c>
      <c r="E853" s="271">
        <f t="shared" ref="E853:J856" si="273">E843</f>
        <v>41343.671722222229</v>
      </c>
      <c r="F853" s="271">
        <f t="shared" si="273"/>
        <v>0</v>
      </c>
      <c r="G853" s="271">
        <f t="shared" si="273"/>
        <v>655.6468891295865</v>
      </c>
      <c r="H853" s="271">
        <f t="shared" si="273"/>
        <v>14107.075757575758</v>
      </c>
      <c r="I853" s="271">
        <f t="shared" si="273"/>
        <v>874.19931461038959</v>
      </c>
      <c r="J853" s="271">
        <f t="shared" si="273"/>
        <v>980.85429696969686</v>
      </c>
      <c r="K853" s="271">
        <f t="shared" si="271"/>
        <v>57961.447980507663</v>
      </c>
      <c r="L853" s="271">
        <f>K853*0.15</f>
        <v>8694.2171970761483</v>
      </c>
      <c r="M853" s="272">
        <f t="shared" si="272"/>
        <v>66655.665177583811</v>
      </c>
      <c r="N853" s="271"/>
      <c r="O853" s="271">
        <f>'DGSP_chitiet (truKH)'!K853</f>
        <v>57087.24866589727</v>
      </c>
      <c r="P853" s="271">
        <f>'DGSP_chitiet (truKH)'!L853</f>
        <v>8563.0872998845898</v>
      </c>
      <c r="Q853" s="306">
        <f>'DGSP_chitiet (truKH)'!M853</f>
        <v>65650.335965781866</v>
      </c>
      <c r="R853" s="271">
        <f>'DGSP_chitiet (truKH)'!N853</f>
        <v>0</v>
      </c>
      <c r="S853" s="271">
        <f>S843</f>
        <v>1132.4059829059829</v>
      </c>
    </row>
    <row r="854" spans="1:19" s="240" customFormat="1" ht="13.15" customHeight="1">
      <c r="A854" s="1005"/>
      <c r="B854" s="1014"/>
      <c r="C854" s="1005"/>
      <c r="D854" s="242">
        <v>2</v>
      </c>
      <c r="E854" s="271">
        <f t="shared" si="273"/>
        <v>36463.436187037049</v>
      </c>
      <c r="F854" s="271">
        <f t="shared" si="273"/>
        <v>0</v>
      </c>
      <c r="G854" s="271">
        <f t="shared" si="273"/>
        <v>611.79414924264006</v>
      </c>
      <c r="H854" s="271">
        <f t="shared" si="273"/>
        <v>13875.227777777778</v>
      </c>
      <c r="I854" s="271">
        <f t="shared" si="273"/>
        <v>522.05040158730162</v>
      </c>
      <c r="J854" s="271">
        <f t="shared" si="273"/>
        <v>874.27386666666655</v>
      </c>
      <c r="K854" s="271">
        <f t="shared" si="271"/>
        <v>52346.782382311438</v>
      </c>
      <c r="L854" s="271">
        <f>K854*0.15</f>
        <v>7852.0173573467155</v>
      </c>
      <c r="M854" s="272">
        <f t="shared" si="272"/>
        <v>60198.799739658156</v>
      </c>
      <c r="N854" s="271"/>
      <c r="O854" s="271">
        <f>'DGSP_chitiet (truKH)'!K854</f>
        <v>51824.731980724137</v>
      </c>
      <c r="P854" s="271">
        <f>'DGSP_chitiet (truKH)'!L854</f>
        <v>7773.7097971086205</v>
      </c>
      <c r="Q854" s="306">
        <f>'DGSP_chitiet (truKH)'!M854</f>
        <v>59598.441777832755</v>
      </c>
      <c r="R854" s="271">
        <f>'DGSP_chitiet (truKH)'!N854</f>
        <v>0</v>
      </c>
      <c r="S854" s="271">
        <f>S844</f>
        <v>988.2497150997151</v>
      </c>
    </row>
    <row r="855" spans="1:19" s="240" customFormat="1" ht="13.15" customHeight="1">
      <c r="A855" s="1005"/>
      <c r="B855" s="1014"/>
      <c r="C855" s="1005"/>
      <c r="D855" s="242">
        <v>3</v>
      </c>
      <c r="E855" s="271">
        <f t="shared" si="273"/>
        <v>38688.3650388889</v>
      </c>
      <c r="F855" s="271">
        <f t="shared" si="273"/>
        <v>0</v>
      </c>
      <c r="G855" s="271">
        <f t="shared" si="273"/>
        <v>647.6321199208611</v>
      </c>
      <c r="H855" s="271">
        <f t="shared" si="273"/>
        <v>13808.113888888889</v>
      </c>
      <c r="I855" s="271">
        <f t="shared" si="273"/>
        <v>403.06913809523803</v>
      </c>
      <c r="J855" s="271">
        <f t="shared" si="273"/>
        <v>884.75255555555555</v>
      </c>
      <c r="K855" s="271">
        <f t="shared" si="271"/>
        <v>54431.932741349447</v>
      </c>
      <c r="L855" s="271">
        <f>K855*0.15</f>
        <v>8164.789911202417</v>
      </c>
      <c r="M855" s="272">
        <f t="shared" si="272"/>
        <v>62596.722652551864</v>
      </c>
      <c r="N855" s="271"/>
      <c r="O855" s="271">
        <f>'DGSP_chitiet (truKH)'!K855</f>
        <v>54028.863603254205</v>
      </c>
      <c r="P855" s="271">
        <f>'DGSP_chitiet (truKH)'!L855</f>
        <v>8104.3295404881301</v>
      </c>
      <c r="Q855" s="306">
        <f>'DGSP_chitiet (truKH)'!M855</f>
        <v>62133.193143742334</v>
      </c>
      <c r="R855" s="271">
        <f>'DGSP_chitiet (truKH)'!N855</f>
        <v>0</v>
      </c>
      <c r="S855" s="271">
        <f>S845</f>
        <v>1036.5431623931622</v>
      </c>
    </row>
    <row r="856" spans="1:19" s="240" customFormat="1" ht="13.15" customHeight="1">
      <c r="A856" s="1005"/>
      <c r="B856" s="1014"/>
      <c r="C856" s="1005"/>
      <c r="D856" s="242">
        <v>4</v>
      </c>
      <c r="E856" s="271">
        <f t="shared" si="273"/>
        <v>39879.082502614394</v>
      </c>
      <c r="F856" s="271">
        <f t="shared" si="273"/>
        <v>0</v>
      </c>
      <c r="G856" s="271">
        <f t="shared" si="273"/>
        <v>665.19405697396803</v>
      </c>
      <c r="H856" s="271">
        <f t="shared" si="273"/>
        <v>13788.374509803922</v>
      </c>
      <c r="I856" s="271">
        <f t="shared" si="273"/>
        <v>377.69475128384681</v>
      </c>
      <c r="J856" s="271">
        <f t="shared" si="273"/>
        <v>895.64346666666665</v>
      </c>
      <c r="K856" s="271">
        <f t="shared" si="271"/>
        <v>55605.989287342796</v>
      </c>
      <c r="L856" s="271">
        <f>K856*0.15</f>
        <v>8340.8983931014191</v>
      </c>
      <c r="M856" s="272">
        <f t="shared" si="272"/>
        <v>63946.887680444212</v>
      </c>
      <c r="N856" s="271"/>
      <c r="O856" s="271">
        <f>'DGSP_chitiet (truKH)'!K856</f>
        <v>55228.294536058951</v>
      </c>
      <c r="P856" s="271">
        <f>'DGSP_chitiet (truKH)'!L856</f>
        <v>8284.244180408843</v>
      </c>
      <c r="Q856" s="306">
        <f>'DGSP_chitiet (truKH)'!M856</f>
        <v>63512.538716467796</v>
      </c>
      <c r="R856" s="271">
        <f>'DGSP_chitiet (truKH)'!N856</f>
        <v>0</v>
      </c>
      <c r="S856" s="271">
        <f>S846</f>
        <v>1064.2663147310204</v>
      </c>
    </row>
    <row r="857" spans="1:19" s="240" customFormat="1" ht="13.5">
      <c r="A857" s="242" t="s">
        <v>495</v>
      </c>
      <c r="B857" s="277" t="s">
        <v>423</v>
      </c>
      <c r="C857" s="242"/>
      <c r="D857" s="242"/>
      <c r="E857" s="271"/>
      <c r="F857" s="271"/>
      <c r="G857" s="271"/>
      <c r="H857" s="271"/>
      <c r="I857" s="271"/>
      <c r="J857" s="271"/>
      <c r="K857" s="271"/>
      <c r="L857" s="271"/>
      <c r="M857" s="272"/>
      <c r="N857" s="271"/>
      <c r="O857" s="271">
        <f>'DGSP_chitiet (truKH)'!K857</f>
        <v>0</v>
      </c>
      <c r="P857" s="271">
        <f>'DGSP_chitiet (truKH)'!L857</f>
        <v>0</v>
      </c>
      <c r="Q857" s="306">
        <f>'DGSP_chitiet (truKH)'!M857</f>
        <v>0</v>
      </c>
      <c r="R857" s="271">
        <f>'DGSP_chitiet (truKH)'!N857</f>
        <v>0</v>
      </c>
      <c r="S857" s="271"/>
    </row>
    <row r="858" spans="1:19" s="240" customFormat="1" ht="13.15" customHeight="1">
      <c r="A858" s="1005"/>
      <c r="B858" s="1014" t="s">
        <v>330</v>
      </c>
      <c r="C858" s="1005" t="s">
        <v>49</v>
      </c>
      <c r="D858" s="242">
        <v>1</v>
      </c>
      <c r="E858" s="271">
        <f t="shared" ref="E858:G865" si="274">E839*0.9</f>
        <v>263640.57050000003</v>
      </c>
      <c r="F858" s="271">
        <f t="shared" si="274"/>
        <v>13687.892307692307</v>
      </c>
      <c r="G858" s="271">
        <f t="shared" si="274"/>
        <v>1456.6579047202797</v>
      </c>
      <c r="H858" s="271">
        <f t="shared" ref="H858:H865" si="275">H839</f>
        <v>3679969.6015909086</v>
      </c>
      <c r="I858" s="271">
        <f t="shared" ref="I858:J865" si="276">I839*0.9</f>
        <v>3310.5657857142855</v>
      </c>
      <c r="J858" s="271">
        <f t="shared" si="276"/>
        <v>32.455080000000002</v>
      </c>
      <c r="K858" s="271">
        <f t="shared" ref="K858:K865" si="277">SUM(E858:J858)</f>
        <v>3962097.7431690358</v>
      </c>
      <c r="L858" s="271">
        <f>K858*0.25</f>
        <v>990524.43579225894</v>
      </c>
      <c r="M858" s="272">
        <f t="shared" ref="M858:M865" si="278">K858+L858</f>
        <v>4952622.1789612947</v>
      </c>
      <c r="N858" s="271">
        <f>M858+M862</f>
        <v>5014234.5913332412</v>
      </c>
      <c r="O858" s="271">
        <f>'DGSP_chitiet (truKH)'!K858</f>
        <v>3958787.1773833213</v>
      </c>
      <c r="P858" s="271">
        <f>'DGSP_chitiet (truKH)'!L858</f>
        <v>989696.79434583033</v>
      </c>
      <c r="Q858" s="306">
        <f>'DGSP_chitiet (truKH)'!M858</f>
        <v>4948483.9717291519</v>
      </c>
      <c r="R858" s="271">
        <f>'DGSP_chitiet (truKH)'!N858</f>
        <v>5009191.5878104772</v>
      </c>
      <c r="S858" s="271">
        <f t="shared" ref="S858:S865" si="279">S839*0.9</f>
        <v>7500.2115384615381</v>
      </c>
    </row>
    <row r="859" spans="1:19" s="240" customFormat="1" ht="13.15" customHeight="1">
      <c r="A859" s="1005"/>
      <c r="B859" s="1014"/>
      <c r="C859" s="1005"/>
      <c r="D859" s="242">
        <v>2</v>
      </c>
      <c r="E859" s="271">
        <f t="shared" si="274"/>
        <v>302676.10988541681</v>
      </c>
      <c r="F859" s="271">
        <f t="shared" si="274"/>
        <v>16422.196153846151</v>
      </c>
      <c r="G859" s="271">
        <f t="shared" si="274"/>
        <v>1724.3173838141024</v>
      </c>
      <c r="H859" s="271">
        <f t="shared" si="275"/>
        <v>1349878.6924999999</v>
      </c>
      <c r="I859" s="271">
        <f t="shared" si="276"/>
        <v>3815.8379999999997</v>
      </c>
      <c r="J859" s="271">
        <f t="shared" si="276"/>
        <v>37.062899999999999</v>
      </c>
      <c r="K859" s="271">
        <f t="shared" si="277"/>
        <v>1674554.2168230771</v>
      </c>
      <c r="L859" s="271">
        <f>K859*0.25</f>
        <v>418638.55420576927</v>
      </c>
      <c r="M859" s="272">
        <f t="shared" si="278"/>
        <v>2093192.7710288463</v>
      </c>
      <c r="N859" s="271">
        <f>M859+M863</f>
        <v>2148967.3419889831</v>
      </c>
      <c r="O859" s="271">
        <f>'DGSP_chitiet (truKH)'!K859</f>
        <v>1670738.3788230771</v>
      </c>
      <c r="P859" s="271">
        <f>'DGSP_chitiet (truKH)'!L859</f>
        <v>417684.59470576927</v>
      </c>
      <c r="Q859" s="306">
        <f>'DGSP_chitiet (truKH)'!M859</f>
        <v>2088422.9735288464</v>
      </c>
      <c r="R859" s="271">
        <f>'DGSP_chitiet (truKH)'!N859</f>
        <v>2143657.2223233404</v>
      </c>
      <c r="S859" s="271">
        <f t="shared" si="279"/>
        <v>8585.1738782051289</v>
      </c>
    </row>
    <row r="860" spans="1:19" s="240" customFormat="1" ht="13.15" customHeight="1">
      <c r="A860" s="1005"/>
      <c r="B860" s="1014"/>
      <c r="C860" s="1005"/>
      <c r="D860" s="242">
        <v>3</v>
      </c>
      <c r="E860" s="271">
        <f t="shared" si="274"/>
        <v>361171.99215625017</v>
      </c>
      <c r="F860" s="271">
        <f t="shared" si="274"/>
        <v>19696.811538461541</v>
      </c>
      <c r="G860" s="271">
        <f t="shared" si="274"/>
        <v>2261.8423023504274</v>
      </c>
      <c r="H860" s="271">
        <f t="shared" si="275"/>
        <v>675378.6925</v>
      </c>
      <c r="I860" s="271">
        <f t="shared" si="276"/>
        <v>5085.7386428571435</v>
      </c>
      <c r="J860" s="271">
        <f t="shared" si="276"/>
        <v>49.68432</v>
      </c>
      <c r="K860" s="271">
        <f t="shared" si="277"/>
        <v>1063644.7614599194</v>
      </c>
      <c r="L860" s="271">
        <f>K860*0.25</f>
        <v>265911.19036497985</v>
      </c>
      <c r="M860" s="272">
        <f t="shared" si="278"/>
        <v>1329555.9518248993</v>
      </c>
      <c r="N860" s="271">
        <f>M860+M864</f>
        <v>1387480.9353094182</v>
      </c>
      <c r="O860" s="271">
        <f>'DGSP_chitiet (truKH)'!K860</f>
        <v>1058559.0228170622</v>
      </c>
      <c r="P860" s="271">
        <f>'DGSP_chitiet (truKH)'!L860</f>
        <v>264639.75570426555</v>
      </c>
      <c r="Q860" s="306">
        <f>'DGSP_chitiet (truKH)'!M860</f>
        <v>1323198.7785213278</v>
      </c>
      <c r="R860" s="271">
        <f>'DGSP_chitiet (truKH)'!N860</f>
        <v>1380706.5854479182</v>
      </c>
      <c r="S860" s="271">
        <f t="shared" si="279"/>
        <v>10234.944711538463</v>
      </c>
    </row>
    <row r="861" spans="1:19" s="240" customFormat="1" ht="13.15" customHeight="1">
      <c r="A861" s="1005"/>
      <c r="B861" s="1014"/>
      <c r="C861" s="1005"/>
      <c r="D861" s="242">
        <v>4</v>
      </c>
      <c r="E861" s="271">
        <f t="shared" si="274"/>
        <v>429313.55703419121</v>
      </c>
      <c r="F861" s="271">
        <f t="shared" si="274"/>
        <v>23642.723076923077</v>
      </c>
      <c r="G861" s="271">
        <f t="shared" si="274"/>
        <v>2475.9758569947217</v>
      </c>
      <c r="H861" s="271">
        <f t="shared" si="275"/>
        <v>476996.33955882356</v>
      </c>
      <c r="I861" s="271">
        <f t="shared" si="276"/>
        <v>5601.1538571428573</v>
      </c>
      <c r="J861" s="271">
        <f t="shared" si="276"/>
        <v>54.292140000000003</v>
      </c>
      <c r="K861" s="271">
        <f t="shared" si="277"/>
        <v>938084.04152407544</v>
      </c>
      <c r="L861" s="271">
        <f>K861*0.25</f>
        <v>234521.01038101886</v>
      </c>
      <c r="M861" s="272">
        <f t="shared" si="278"/>
        <v>1172605.0519050942</v>
      </c>
      <c r="N861" s="271">
        <f>M861+M865</f>
        <v>1231742.9138861215</v>
      </c>
      <c r="O861" s="271">
        <f>'DGSP_chitiet (truKH)'!K861</f>
        <v>932482.88766693254</v>
      </c>
      <c r="P861" s="271">
        <f>'DGSP_chitiet (truKH)'!L861</f>
        <v>233120.72191673314</v>
      </c>
      <c r="Q861" s="306">
        <f>'DGSP_chitiet (truKH)'!M861</f>
        <v>1165603.6095836656</v>
      </c>
      <c r="R861" s="271">
        <f>'DGSP_chitiet (truKH)'!N861</f>
        <v>1224350.5574971142</v>
      </c>
      <c r="S861" s="271">
        <f t="shared" si="279"/>
        <v>12162.695955882353</v>
      </c>
    </row>
    <row r="862" spans="1:19" s="240" customFormat="1">
      <c r="A862" s="1005"/>
      <c r="B862" s="1006" t="s">
        <v>331</v>
      </c>
      <c r="C862" s="1005" t="s">
        <v>49</v>
      </c>
      <c r="D862" s="275" t="s">
        <v>18</v>
      </c>
      <c r="E862" s="271">
        <f t="shared" si="274"/>
        <v>37209.304550000008</v>
      </c>
      <c r="F862" s="271">
        <f t="shared" si="274"/>
        <v>0</v>
      </c>
      <c r="G862" s="271">
        <f t="shared" si="274"/>
        <v>590.08220021662783</v>
      </c>
      <c r="H862" s="271">
        <f t="shared" si="275"/>
        <v>14107.075757575758</v>
      </c>
      <c r="I862" s="271">
        <f t="shared" si="276"/>
        <v>786.77938314935068</v>
      </c>
      <c r="J862" s="271">
        <f t="shared" si="276"/>
        <v>882.76886727272722</v>
      </c>
      <c r="K862" s="271">
        <f t="shared" si="277"/>
        <v>53576.01075821447</v>
      </c>
      <c r="L862" s="271">
        <f>K862*0.15</f>
        <v>8036.4016137321705</v>
      </c>
      <c r="M862" s="272">
        <f t="shared" si="278"/>
        <v>61612.412371946644</v>
      </c>
      <c r="N862" s="271"/>
      <c r="O862" s="271">
        <f>'DGSP_chitiet (truKH)'!K862</f>
        <v>52789.231375065123</v>
      </c>
      <c r="P862" s="271">
        <f>'DGSP_chitiet (truKH)'!L862</f>
        <v>7918.3847062597679</v>
      </c>
      <c r="Q862" s="306">
        <f>'DGSP_chitiet (truKH)'!M862</f>
        <v>60707.616081324893</v>
      </c>
      <c r="R862" s="271">
        <f>'DGSP_chitiet (truKH)'!N862</f>
        <v>0</v>
      </c>
      <c r="S862" s="271">
        <f t="shared" si="279"/>
        <v>1019.1653846153846</v>
      </c>
    </row>
    <row r="863" spans="1:19" s="240" customFormat="1">
      <c r="A863" s="1005"/>
      <c r="B863" s="1014"/>
      <c r="C863" s="1005"/>
      <c r="D863" s="242">
        <v>2</v>
      </c>
      <c r="E863" s="271">
        <f t="shared" si="274"/>
        <v>32817.092568333348</v>
      </c>
      <c r="F863" s="271">
        <f t="shared" si="274"/>
        <v>0</v>
      </c>
      <c r="G863" s="271">
        <f t="shared" si="274"/>
        <v>550.61473431837612</v>
      </c>
      <c r="H863" s="271">
        <f t="shared" si="275"/>
        <v>13875.227777777778</v>
      </c>
      <c r="I863" s="271">
        <f t="shared" si="276"/>
        <v>469.84536142857149</v>
      </c>
      <c r="J863" s="271">
        <f t="shared" si="276"/>
        <v>786.84647999999993</v>
      </c>
      <c r="K863" s="271">
        <f t="shared" si="277"/>
        <v>48499.626921858071</v>
      </c>
      <c r="L863" s="271">
        <f>K863*0.15</f>
        <v>7274.9440382787107</v>
      </c>
      <c r="M863" s="272">
        <f t="shared" si="278"/>
        <v>55774.570960136785</v>
      </c>
      <c r="N863" s="271"/>
      <c r="O863" s="271">
        <f>'DGSP_chitiet (truKH)'!K863</f>
        <v>48029.781560429503</v>
      </c>
      <c r="P863" s="271">
        <f>'DGSP_chitiet (truKH)'!L863</f>
        <v>7204.4672340644256</v>
      </c>
      <c r="Q863" s="306">
        <f>'DGSP_chitiet (truKH)'!M863</f>
        <v>55234.248794493928</v>
      </c>
      <c r="R863" s="271">
        <f>'DGSP_chitiet (truKH)'!N863</f>
        <v>0</v>
      </c>
      <c r="S863" s="271">
        <f t="shared" si="279"/>
        <v>889.42474358974357</v>
      </c>
    </row>
    <row r="864" spans="1:19" s="240" customFormat="1">
      <c r="A864" s="1005"/>
      <c r="B864" s="1014"/>
      <c r="C864" s="1005"/>
      <c r="D864" s="242">
        <v>3</v>
      </c>
      <c r="E864" s="271">
        <f t="shared" si="274"/>
        <v>34819.528535000012</v>
      </c>
      <c r="F864" s="271">
        <f t="shared" si="274"/>
        <v>0</v>
      </c>
      <c r="G864" s="271">
        <f t="shared" si="274"/>
        <v>582.868907928775</v>
      </c>
      <c r="H864" s="271">
        <f t="shared" si="275"/>
        <v>13808.113888888889</v>
      </c>
      <c r="I864" s="271">
        <f t="shared" si="276"/>
        <v>362.76222428571424</v>
      </c>
      <c r="J864" s="271">
        <f t="shared" si="276"/>
        <v>796.27729999999997</v>
      </c>
      <c r="K864" s="271">
        <f t="shared" si="277"/>
        <v>50369.550856103393</v>
      </c>
      <c r="L864" s="271">
        <f>K864*0.15</f>
        <v>7555.4326284155086</v>
      </c>
      <c r="M864" s="272">
        <f t="shared" si="278"/>
        <v>57924.983484518903</v>
      </c>
      <c r="N864" s="271"/>
      <c r="O864" s="271">
        <f>'DGSP_chitiet (truKH)'!K864</f>
        <v>50006.788631817675</v>
      </c>
      <c r="P864" s="271">
        <f>'DGSP_chitiet (truKH)'!L864</f>
        <v>7501.0182947726507</v>
      </c>
      <c r="Q864" s="306">
        <f>'DGSP_chitiet (truKH)'!M864</f>
        <v>57507.806926590325</v>
      </c>
      <c r="R864" s="271">
        <f>'DGSP_chitiet (truKH)'!N864</f>
        <v>0</v>
      </c>
      <c r="S864" s="271">
        <f t="shared" si="279"/>
        <v>932.88884615384598</v>
      </c>
    </row>
    <row r="865" spans="1:19" s="240" customFormat="1">
      <c r="A865" s="1005"/>
      <c r="B865" s="1014"/>
      <c r="C865" s="1005"/>
      <c r="D865" s="242">
        <v>4</v>
      </c>
      <c r="E865" s="271">
        <f t="shared" si="274"/>
        <v>35891.174252352954</v>
      </c>
      <c r="F865" s="271">
        <f t="shared" si="274"/>
        <v>0</v>
      </c>
      <c r="G865" s="271">
        <f t="shared" si="274"/>
        <v>598.67465127657124</v>
      </c>
      <c r="H865" s="271">
        <f t="shared" si="275"/>
        <v>13788.374509803922</v>
      </c>
      <c r="I865" s="271">
        <f t="shared" si="276"/>
        <v>339.92527615546214</v>
      </c>
      <c r="J865" s="271">
        <f t="shared" si="276"/>
        <v>806.07911999999999</v>
      </c>
      <c r="K865" s="271">
        <f t="shared" si="277"/>
        <v>51424.227809588905</v>
      </c>
      <c r="L865" s="271">
        <f>K865*0.15</f>
        <v>7713.6341714383352</v>
      </c>
      <c r="M865" s="272">
        <f t="shared" si="278"/>
        <v>59137.861981027243</v>
      </c>
      <c r="N865" s="271"/>
      <c r="O865" s="271">
        <f>'DGSP_chitiet (truKH)'!K865</f>
        <v>51084.302533433445</v>
      </c>
      <c r="P865" s="271">
        <f>'DGSP_chitiet (truKH)'!L865</f>
        <v>7662.6453800150166</v>
      </c>
      <c r="Q865" s="306">
        <f>'DGSP_chitiet (truKH)'!M865</f>
        <v>58746.947913448465</v>
      </c>
      <c r="R865" s="271">
        <f>'DGSP_chitiet (truKH)'!N865</f>
        <v>0</v>
      </c>
      <c r="S865" s="271">
        <f t="shared" si="279"/>
        <v>957.83968325791841</v>
      </c>
    </row>
    <row r="866" spans="1:19" s="240" customFormat="1" ht="13.5">
      <c r="A866" s="242" t="s">
        <v>496</v>
      </c>
      <c r="B866" s="277" t="s">
        <v>424</v>
      </c>
      <c r="C866" s="242"/>
      <c r="D866" s="242"/>
      <c r="E866" s="271"/>
      <c r="F866" s="271"/>
      <c r="G866" s="271"/>
      <c r="H866" s="271"/>
      <c r="I866" s="271"/>
      <c r="J866" s="271"/>
      <c r="K866" s="271"/>
      <c r="L866" s="271"/>
      <c r="M866" s="272"/>
      <c r="N866" s="271"/>
      <c r="O866" s="271">
        <f>'DGSP_chitiet (truKH)'!K866</f>
        <v>0</v>
      </c>
      <c r="P866" s="271">
        <f>'DGSP_chitiet (truKH)'!L866</f>
        <v>0</v>
      </c>
      <c r="Q866" s="306">
        <f>'DGSP_chitiet (truKH)'!M866</f>
        <v>0</v>
      </c>
      <c r="R866" s="271">
        <f>'DGSP_chitiet (truKH)'!N866</f>
        <v>0</v>
      </c>
      <c r="S866" s="271"/>
    </row>
    <row r="867" spans="1:19" s="240" customFormat="1" ht="13.15" customHeight="1">
      <c r="A867" s="1005"/>
      <c r="B867" s="1014" t="s">
        <v>330</v>
      </c>
      <c r="C867" s="1005" t="s">
        <v>49</v>
      </c>
      <c r="D867" s="242">
        <v>1</v>
      </c>
      <c r="E867" s="271">
        <f t="shared" ref="E867:G874" si="280">E839*0.8</f>
        <v>234347.17377777782</v>
      </c>
      <c r="F867" s="271">
        <f t="shared" si="280"/>
        <v>12167.015384615384</v>
      </c>
      <c r="G867" s="271">
        <f t="shared" si="280"/>
        <v>1294.8070264180265</v>
      </c>
      <c r="H867" s="271">
        <f t="shared" ref="H867:H874" si="281">H839</f>
        <v>3679969.6015909086</v>
      </c>
      <c r="I867" s="271">
        <f t="shared" ref="I867:J874" si="282">I839*0.8</f>
        <v>2942.7251428571431</v>
      </c>
      <c r="J867" s="271">
        <f t="shared" si="282"/>
        <v>28.848960000000002</v>
      </c>
      <c r="K867" s="271">
        <f t="shared" ref="K867:K874" si="283">SUM(E867:J867)</f>
        <v>3930750.1718825768</v>
      </c>
      <c r="L867" s="271">
        <f>K867*0.25</f>
        <v>982687.54297064419</v>
      </c>
      <c r="M867" s="272">
        <f t="shared" ref="M867:M874" si="284">K867+L867</f>
        <v>4913437.7148532206</v>
      </c>
      <c r="N867" s="271">
        <f>M867+M871</f>
        <v>4970006.8744195299</v>
      </c>
      <c r="O867" s="271">
        <f>'DGSP_chitiet (truKH)'!K867</f>
        <v>3927807.4467397197</v>
      </c>
      <c r="P867" s="271">
        <f>'DGSP_chitiet (truKH)'!L867</f>
        <v>981951.86168492993</v>
      </c>
      <c r="Q867" s="306">
        <f>'DGSP_chitiet (truKH)'!M867</f>
        <v>4909759.3084246498</v>
      </c>
      <c r="R867" s="271">
        <f>'DGSP_chitiet (truKH)'!N867</f>
        <v>4965524.204621518</v>
      </c>
      <c r="S867" s="271">
        <f t="shared" ref="S867:S874" si="285">S839*0.8</f>
        <v>6666.8547008547002</v>
      </c>
    </row>
    <row r="868" spans="1:19" s="240" customFormat="1" ht="13.15" customHeight="1">
      <c r="A868" s="1005"/>
      <c r="B868" s="1014"/>
      <c r="C868" s="1005"/>
      <c r="D868" s="242">
        <v>2</v>
      </c>
      <c r="E868" s="271">
        <f t="shared" si="280"/>
        <v>269045.43100925937</v>
      </c>
      <c r="F868" s="271">
        <f t="shared" si="280"/>
        <v>14597.507692307692</v>
      </c>
      <c r="G868" s="271">
        <f t="shared" si="280"/>
        <v>1532.7265633903135</v>
      </c>
      <c r="H868" s="271">
        <f t="shared" si="281"/>
        <v>1349878.6924999999</v>
      </c>
      <c r="I868" s="271">
        <f t="shared" si="282"/>
        <v>3391.8559999999998</v>
      </c>
      <c r="J868" s="271">
        <f t="shared" si="282"/>
        <v>32.944800000000001</v>
      </c>
      <c r="K868" s="271">
        <f t="shared" si="283"/>
        <v>1638479.1585649571</v>
      </c>
      <c r="L868" s="271">
        <f>K868*0.25</f>
        <v>409619.78964123927</v>
      </c>
      <c r="M868" s="272">
        <f t="shared" si="284"/>
        <v>2048098.9482061963</v>
      </c>
      <c r="N868" s="271">
        <f>M868+M872</f>
        <v>2099449.2903868118</v>
      </c>
      <c r="O868" s="271">
        <f>'DGSP_chitiet (truKH)'!K868</f>
        <v>1635087.3025649572</v>
      </c>
      <c r="P868" s="271">
        <f>'DGSP_chitiet (truKH)'!L868</f>
        <v>408771.82564123929</v>
      </c>
      <c r="Q868" s="306">
        <f>'DGSP_chitiet (truKH)'!M868</f>
        <v>2043859.1282061965</v>
      </c>
      <c r="R868" s="271">
        <f>'DGSP_chitiet (truKH)'!N868</f>
        <v>2094729.1840173516</v>
      </c>
      <c r="S868" s="271">
        <f t="shared" si="285"/>
        <v>7631.2656695156693</v>
      </c>
    </row>
    <row r="869" spans="1:19" s="240" customFormat="1" ht="13.15" customHeight="1">
      <c r="A869" s="1005"/>
      <c r="B869" s="1014"/>
      <c r="C869" s="1005"/>
      <c r="D869" s="242">
        <v>3</v>
      </c>
      <c r="E869" s="271">
        <f t="shared" si="280"/>
        <v>321041.77080555569</v>
      </c>
      <c r="F869" s="271">
        <f t="shared" si="280"/>
        <v>17508.276923076926</v>
      </c>
      <c r="G869" s="271">
        <f t="shared" si="280"/>
        <v>2010.5264909781579</v>
      </c>
      <c r="H869" s="271">
        <f t="shared" si="281"/>
        <v>675378.6925</v>
      </c>
      <c r="I869" s="271">
        <f t="shared" si="282"/>
        <v>4520.6565714285716</v>
      </c>
      <c r="J869" s="271">
        <f t="shared" si="282"/>
        <v>44.16384</v>
      </c>
      <c r="K869" s="271">
        <f t="shared" si="283"/>
        <v>1020504.0871310394</v>
      </c>
      <c r="L869" s="271">
        <f>K869*0.25</f>
        <v>255126.02178275984</v>
      </c>
      <c r="M869" s="272">
        <f t="shared" si="284"/>
        <v>1275630.1089137993</v>
      </c>
      <c r="N869" s="271">
        <f>M869+M873</f>
        <v>1328883.3532302852</v>
      </c>
      <c r="O869" s="271">
        <f>'DGSP_chitiet (truKH)'!K869</f>
        <v>1015983.4305596108</v>
      </c>
      <c r="P869" s="271">
        <f>'DGSP_chitiet (truKH)'!L869</f>
        <v>253995.85763990271</v>
      </c>
      <c r="Q869" s="306">
        <f>'DGSP_chitiet (truKH)'!M869</f>
        <v>1269979.2881995135</v>
      </c>
      <c r="R869" s="271">
        <f>'DGSP_chitiet (truKH)'!N869</f>
        <v>1322861.7089089518</v>
      </c>
      <c r="S869" s="271">
        <f t="shared" si="285"/>
        <v>9097.7286324786328</v>
      </c>
    </row>
    <row r="870" spans="1:19" s="240" customFormat="1" ht="13.15" customHeight="1">
      <c r="A870" s="1005"/>
      <c r="B870" s="1014"/>
      <c r="C870" s="1005"/>
      <c r="D870" s="242">
        <v>4</v>
      </c>
      <c r="E870" s="271">
        <f t="shared" si="280"/>
        <v>381612.0506970589</v>
      </c>
      <c r="F870" s="271">
        <f t="shared" si="280"/>
        <v>21015.75384615385</v>
      </c>
      <c r="G870" s="271">
        <f t="shared" si="280"/>
        <v>2200.8674284397525</v>
      </c>
      <c r="H870" s="271">
        <f t="shared" si="281"/>
        <v>476996.33955882356</v>
      </c>
      <c r="I870" s="271">
        <f t="shared" si="282"/>
        <v>4978.8034285714284</v>
      </c>
      <c r="J870" s="271">
        <f t="shared" si="282"/>
        <v>48.259680000000003</v>
      </c>
      <c r="K870" s="271">
        <f t="shared" si="283"/>
        <v>886852.0746390475</v>
      </c>
      <c r="L870" s="271">
        <f>K870*0.25</f>
        <v>221713.01865976187</v>
      </c>
      <c r="M870" s="272">
        <f t="shared" si="284"/>
        <v>1108565.0932988094</v>
      </c>
      <c r="N870" s="271">
        <f>M870+M874</f>
        <v>1162893.9295804196</v>
      </c>
      <c r="O870" s="271">
        <f>'DGSP_chitiet (truKH)'!K870</f>
        <v>881873.27121047606</v>
      </c>
      <c r="P870" s="271">
        <f>'DGSP_chitiet (truKH)'!L870</f>
        <v>220468.31780261901</v>
      </c>
      <c r="Q870" s="306">
        <f>'DGSP_chitiet (truKH)'!M870</f>
        <v>1102341.589013095</v>
      </c>
      <c r="R870" s="271">
        <f>'DGSP_chitiet (truKH)'!N870</f>
        <v>1156322.9461235241</v>
      </c>
      <c r="S870" s="271">
        <f t="shared" si="285"/>
        <v>10811.285294117646</v>
      </c>
    </row>
    <row r="871" spans="1:19" s="240" customFormat="1" ht="13.15" customHeight="1">
      <c r="A871" s="1005"/>
      <c r="B871" s="1014" t="s">
        <v>331</v>
      </c>
      <c r="C871" s="1005" t="s">
        <v>49</v>
      </c>
      <c r="D871" s="275" t="s">
        <v>18</v>
      </c>
      <c r="E871" s="271">
        <f t="shared" si="280"/>
        <v>33074.937377777787</v>
      </c>
      <c r="F871" s="271">
        <f t="shared" si="280"/>
        <v>0</v>
      </c>
      <c r="G871" s="271">
        <f t="shared" si="280"/>
        <v>524.51751130366927</v>
      </c>
      <c r="H871" s="271">
        <f t="shared" si="281"/>
        <v>14107.075757575758</v>
      </c>
      <c r="I871" s="271">
        <f t="shared" si="282"/>
        <v>699.35945168831176</v>
      </c>
      <c r="J871" s="271">
        <f t="shared" si="282"/>
        <v>784.68343757575758</v>
      </c>
      <c r="K871" s="271">
        <f t="shared" si="283"/>
        <v>49190.573535921285</v>
      </c>
      <c r="L871" s="271">
        <f>K871*0.15</f>
        <v>7378.5860303881927</v>
      </c>
      <c r="M871" s="272">
        <f t="shared" si="284"/>
        <v>56569.159566309478</v>
      </c>
      <c r="N871" s="271"/>
      <c r="O871" s="271">
        <f>'DGSP_chitiet (truKH)'!K871</f>
        <v>48491.214084232975</v>
      </c>
      <c r="P871" s="271">
        <f>'DGSP_chitiet (truKH)'!L871</f>
        <v>7273.682112634946</v>
      </c>
      <c r="Q871" s="306">
        <f>'DGSP_chitiet (truKH)'!M871</f>
        <v>55764.896196867921</v>
      </c>
      <c r="R871" s="271">
        <f>'DGSP_chitiet (truKH)'!N871</f>
        <v>0</v>
      </c>
      <c r="S871" s="271">
        <f t="shared" si="285"/>
        <v>905.9247863247864</v>
      </c>
    </row>
    <row r="872" spans="1:19" s="240" customFormat="1" ht="13.15" customHeight="1">
      <c r="A872" s="1005"/>
      <c r="B872" s="1014"/>
      <c r="C872" s="1005"/>
      <c r="D872" s="242">
        <v>2</v>
      </c>
      <c r="E872" s="271">
        <f t="shared" si="280"/>
        <v>29170.74894962964</v>
      </c>
      <c r="F872" s="271">
        <f t="shared" si="280"/>
        <v>0</v>
      </c>
      <c r="G872" s="271">
        <f t="shared" si="280"/>
        <v>489.43531939411207</v>
      </c>
      <c r="H872" s="271">
        <f t="shared" si="281"/>
        <v>13875.227777777778</v>
      </c>
      <c r="I872" s="271">
        <f t="shared" si="282"/>
        <v>417.64032126984131</v>
      </c>
      <c r="J872" s="271">
        <f t="shared" si="282"/>
        <v>699.41909333333331</v>
      </c>
      <c r="K872" s="271">
        <f t="shared" si="283"/>
        <v>44652.471461404704</v>
      </c>
      <c r="L872" s="271">
        <f>K872*0.15</f>
        <v>6697.8707192107058</v>
      </c>
      <c r="M872" s="272">
        <f t="shared" si="284"/>
        <v>51350.342180615407</v>
      </c>
      <c r="N872" s="271"/>
      <c r="O872" s="271">
        <f>'DGSP_chitiet (truKH)'!K872</f>
        <v>44234.831140134862</v>
      </c>
      <c r="P872" s="271">
        <f>'DGSP_chitiet (truKH)'!L872</f>
        <v>6635.2246710202289</v>
      </c>
      <c r="Q872" s="306">
        <f>'DGSP_chitiet (truKH)'!M872</f>
        <v>50870.055811155093</v>
      </c>
      <c r="R872" s="271">
        <f>'DGSP_chitiet (truKH)'!N872</f>
        <v>0</v>
      </c>
      <c r="S872" s="271">
        <f t="shared" si="285"/>
        <v>790.59977207977215</v>
      </c>
    </row>
    <row r="873" spans="1:19" s="240" customFormat="1" ht="13.15" customHeight="1">
      <c r="A873" s="1005"/>
      <c r="B873" s="1014"/>
      <c r="C873" s="1005"/>
      <c r="D873" s="242">
        <v>3</v>
      </c>
      <c r="E873" s="271">
        <f t="shared" si="280"/>
        <v>30950.692031111121</v>
      </c>
      <c r="F873" s="271">
        <f t="shared" si="280"/>
        <v>0</v>
      </c>
      <c r="G873" s="271">
        <f t="shared" si="280"/>
        <v>518.1056959366889</v>
      </c>
      <c r="H873" s="271">
        <f t="shared" si="281"/>
        <v>13808.113888888889</v>
      </c>
      <c r="I873" s="271">
        <f t="shared" si="282"/>
        <v>322.45531047619045</v>
      </c>
      <c r="J873" s="271">
        <f t="shared" si="282"/>
        <v>707.8020444444445</v>
      </c>
      <c r="K873" s="271">
        <f t="shared" si="283"/>
        <v>46307.168970857325</v>
      </c>
      <c r="L873" s="271">
        <f>K873*0.15</f>
        <v>6946.0753456285984</v>
      </c>
      <c r="M873" s="272">
        <f t="shared" si="284"/>
        <v>53253.244316485921</v>
      </c>
      <c r="N873" s="271"/>
      <c r="O873" s="271">
        <f>'DGSP_chitiet (truKH)'!K873</f>
        <v>45984.713660381138</v>
      </c>
      <c r="P873" s="271">
        <f>'DGSP_chitiet (truKH)'!L873</f>
        <v>6897.7070490571705</v>
      </c>
      <c r="Q873" s="306">
        <f>'DGSP_chitiet (truKH)'!M873</f>
        <v>52882.420709438309</v>
      </c>
      <c r="R873" s="271">
        <f>'DGSP_chitiet (truKH)'!N873</f>
        <v>0</v>
      </c>
      <c r="S873" s="271">
        <f t="shared" si="285"/>
        <v>829.23452991452984</v>
      </c>
    </row>
    <row r="874" spans="1:19" s="240" customFormat="1" ht="13.15" customHeight="1">
      <c r="A874" s="1005"/>
      <c r="B874" s="1014"/>
      <c r="C874" s="1005"/>
      <c r="D874" s="242">
        <v>4</v>
      </c>
      <c r="E874" s="271">
        <f t="shared" si="280"/>
        <v>31903.266002091517</v>
      </c>
      <c r="F874" s="271">
        <f t="shared" si="280"/>
        <v>0</v>
      </c>
      <c r="G874" s="271">
        <f t="shared" si="280"/>
        <v>532.15524557917445</v>
      </c>
      <c r="H874" s="271">
        <f t="shared" si="281"/>
        <v>13788.374509803922</v>
      </c>
      <c r="I874" s="271">
        <f t="shared" si="282"/>
        <v>302.15580102707747</v>
      </c>
      <c r="J874" s="271">
        <f t="shared" si="282"/>
        <v>716.51477333333332</v>
      </c>
      <c r="K874" s="271">
        <f t="shared" si="283"/>
        <v>47242.466331835021</v>
      </c>
      <c r="L874" s="271">
        <f>K874*0.15</f>
        <v>7086.3699497752532</v>
      </c>
      <c r="M874" s="272">
        <f t="shared" si="284"/>
        <v>54328.836281610274</v>
      </c>
      <c r="N874" s="271"/>
      <c r="O874" s="271">
        <f>'DGSP_chitiet (truKH)'!K874</f>
        <v>46940.310530807947</v>
      </c>
      <c r="P874" s="271">
        <f>'DGSP_chitiet (truKH)'!L874</f>
        <v>7041.046579621192</v>
      </c>
      <c r="Q874" s="306">
        <f>'DGSP_chitiet (truKH)'!M874</f>
        <v>53981.35711042914</v>
      </c>
      <c r="R874" s="271">
        <f>'DGSP_chitiet (truKH)'!N874</f>
        <v>0</v>
      </c>
      <c r="S874" s="271">
        <f t="shared" si="285"/>
        <v>851.41305178481639</v>
      </c>
    </row>
    <row r="875" spans="1:19" s="232" customFormat="1" ht="12.75" customHeight="1">
      <c r="A875" s="242" t="s">
        <v>497</v>
      </c>
      <c r="B875" s="277" t="s">
        <v>491</v>
      </c>
      <c r="C875" s="242"/>
      <c r="D875" s="242"/>
      <c r="E875" s="271"/>
      <c r="F875" s="271"/>
      <c r="G875" s="271"/>
      <c r="H875" s="271"/>
      <c r="I875" s="271"/>
      <c r="J875" s="271"/>
      <c r="K875" s="271"/>
      <c r="L875" s="271"/>
      <c r="M875" s="272"/>
      <c r="N875" s="271"/>
      <c r="O875" s="271">
        <f>'DGSP_chitiet (truKH)'!K875</f>
        <v>0</v>
      </c>
      <c r="P875" s="271">
        <f>'DGSP_chitiet (truKH)'!L875</f>
        <v>0</v>
      </c>
      <c r="Q875" s="306">
        <f>'DGSP_chitiet (truKH)'!M875</f>
        <v>0</v>
      </c>
      <c r="R875" s="271">
        <f>'DGSP_chitiet (truKH)'!N875</f>
        <v>0</v>
      </c>
      <c r="S875" s="271"/>
    </row>
    <row r="876" spans="1:19" s="240" customFormat="1" ht="13.15" customHeight="1">
      <c r="A876" s="242"/>
      <c r="B876" s="277"/>
      <c r="C876" s="242"/>
      <c r="D876" s="242" t="s">
        <v>18</v>
      </c>
      <c r="E876" s="271">
        <f>E$903/100+(E$905+E$906)/$C843</f>
        <v>11196.30416666667</v>
      </c>
      <c r="F876" s="271"/>
      <c r="G876" s="271">
        <f t="shared" ref="G876:J879" si="286">G839</f>
        <v>1618.508783022533</v>
      </c>
      <c r="H876" s="271">
        <f t="shared" si="286"/>
        <v>3679969.6015909086</v>
      </c>
      <c r="I876" s="271">
        <f t="shared" si="286"/>
        <v>3678.4064285714285</v>
      </c>
      <c r="J876" s="271">
        <f t="shared" si="286"/>
        <v>36.061199999999999</v>
      </c>
      <c r="K876" s="271">
        <f>SUM(E876:J876)</f>
        <v>3696498.8821691689</v>
      </c>
      <c r="L876" s="271">
        <f>K876*0.15</f>
        <v>554474.83232537529</v>
      </c>
      <c r="M876" s="272">
        <f>K876+L876</f>
        <v>4250973.7144945441</v>
      </c>
      <c r="N876" s="271">
        <f>M876</f>
        <v>4250973.7144945441</v>
      </c>
      <c r="O876" s="271">
        <f>'DGSP_chitiet (truKH)'!K876</f>
        <v>3692820.4757405976</v>
      </c>
      <c r="P876" s="271">
        <f>'DGSP_chitiet (truKH)'!L876</f>
        <v>553923.07136108959</v>
      </c>
      <c r="Q876" s="306">
        <f>'DGSP_chitiet (truKH)'!M876</f>
        <v>4246743.5471016876</v>
      </c>
      <c r="R876" s="271">
        <f>'DGSP_chitiet (truKH)'!N876</f>
        <v>4246743.5471016876</v>
      </c>
      <c r="S876" s="271">
        <f>S$903/100+(S$905+S$906)/$C843</f>
        <v>316.98717948717945</v>
      </c>
    </row>
    <row r="877" spans="1:19" s="240" customFormat="1" ht="13.15" customHeight="1">
      <c r="A877" s="242"/>
      <c r="B877" s="277" t="s">
        <v>192</v>
      </c>
      <c r="C877" s="242" t="s">
        <v>49</v>
      </c>
      <c r="D877" s="242" t="s">
        <v>20</v>
      </c>
      <c r="E877" s="271">
        <f>E$903/100+(E$905+E$906)/$C844</f>
        <v>10635.621027777781</v>
      </c>
      <c r="F877" s="271"/>
      <c r="G877" s="271">
        <f t="shared" si="286"/>
        <v>1915.9082042378916</v>
      </c>
      <c r="H877" s="271">
        <f t="shared" si="286"/>
        <v>1349878.6924999999</v>
      </c>
      <c r="I877" s="271">
        <f t="shared" si="286"/>
        <v>4239.82</v>
      </c>
      <c r="J877" s="271">
        <f t="shared" si="286"/>
        <v>41.180999999999997</v>
      </c>
      <c r="K877" s="271">
        <f>SUM(E877:J877)</f>
        <v>1366711.2227320157</v>
      </c>
      <c r="L877" s="271">
        <f>K877*0.15</f>
        <v>205006.68340980235</v>
      </c>
      <c r="M877" s="272">
        <f>K877+L877</f>
        <v>1571717.906141818</v>
      </c>
      <c r="N877" s="271">
        <f>M877</f>
        <v>1571717.906141818</v>
      </c>
      <c r="O877" s="271">
        <f>'DGSP_chitiet (truKH)'!K877</f>
        <v>1362471.4027320156</v>
      </c>
      <c r="P877" s="271">
        <f>'DGSP_chitiet (truKH)'!L877</f>
        <v>204370.71040980233</v>
      </c>
      <c r="Q877" s="306">
        <f>'DGSP_chitiet (truKH)'!M877</f>
        <v>1566842.113141818</v>
      </c>
      <c r="R877" s="271">
        <f>'DGSP_chitiet (truKH)'!N877</f>
        <v>1566842.113141818</v>
      </c>
      <c r="S877" s="271">
        <f>S$903/100+(S$905+S$906)/$C844</f>
        <v>301.11324786324786</v>
      </c>
    </row>
    <row r="878" spans="1:19" s="240" customFormat="1" ht="13.15" customHeight="1">
      <c r="A878" s="242"/>
      <c r="B878" s="277"/>
      <c r="C878" s="242"/>
      <c r="D878" s="242" t="s">
        <v>35</v>
      </c>
      <c r="E878" s="271">
        <f>E$903/100+(E$905+E$906)/$C845</f>
        <v>10473.318013888893</v>
      </c>
      <c r="F878" s="271"/>
      <c r="G878" s="271">
        <f t="shared" si="286"/>
        <v>2513.1581137226972</v>
      </c>
      <c r="H878" s="271">
        <f t="shared" si="286"/>
        <v>675378.6925</v>
      </c>
      <c r="I878" s="271">
        <f t="shared" si="286"/>
        <v>5650.8207142857145</v>
      </c>
      <c r="J878" s="271">
        <f t="shared" si="286"/>
        <v>55.204799999999999</v>
      </c>
      <c r="K878" s="271">
        <f>SUM(E878:J878)</f>
        <v>694071.19414189726</v>
      </c>
      <c r="L878" s="271">
        <f>K878*0.15</f>
        <v>104110.67912128459</v>
      </c>
      <c r="M878" s="272">
        <f>K878+L878</f>
        <v>798181.87326318189</v>
      </c>
      <c r="N878" s="271">
        <f>M878</f>
        <v>798181.87326318189</v>
      </c>
      <c r="O878" s="271">
        <f>'DGSP_chitiet (truKH)'!K878</f>
        <v>688420.37342761154</v>
      </c>
      <c r="P878" s="271">
        <f>'DGSP_chitiet (truKH)'!L878</f>
        <v>103263.05601414172</v>
      </c>
      <c r="Q878" s="306">
        <f>'DGSP_chitiet (truKH)'!M878</f>
        <v>791683.42944175331</v>
      </c>
      <c r="R878" s="271">
        <f>'DGSP_chitiet (truKH)'!N878</f>
        <v>791683.42944175331</v>
      </c>
      <c r="S878" s="271">
        <f>S$903/100+(S$905+S$906)/$C845</f>
        <v>296.51816239316236</v>
      </c>
    </row>
    <row r="879" spans="1:19" s="240" customFormat="1" ht="13.15" customHeight="1">
      <c r="A879" s="242"/>
      <c r="B879" s="277"/>
      <c r="C879" s="242"/>
      <c r="D879" s="242" t="s">
        <v>33</v>
      </c>
      <c r="E879" s="271">
        <f>E$903/100+(E$905+E$906)/$C846</f>
        <v>10425.581833333337</v>
      </c>
      <c r="F879" s="271"/>
      <c r="G879" s="271">
        <f t="shared" si="286"/>
        <v>2751.0842855496908</v>
      </c>
      <c r="H879" s="271">
        <f t="shared" si="286"/>
        <v>476996.33955882356</v>
      </c>
      <c r="I879" s="271">
        <f t="shared" si="286"/>
        <v>6223.5042857142853</v>
      </c>
      <c r="J879" s="271">
        <f t="shared" si="286"/>
        <v>60.324600000000004</v>
      </c>
      <c r="K879" s="271">
        <f>SUM(E879:J879)</f>
        <v>496456.83456342085</v>
      </c>
      <c r="L879" s="271">
        <f>K879*0.15</f>
        <v>74468.525184513128</v>
      </c>
      <c r="M879" s="272">
        <f>K879+L879</f>
        <v>570925.35974793392</v>
      </c>
      <c r="N879" s="271">
        <f>M879</f>
        <v>570925.35974793392</v>
      </c>
      <c r="O879" s="271">
        <f>'DGSP_chitiet (truKH)'!K879</f>
        <v>490233.33027770655</v>
      </c>
      <c r="P879" s="271">
        <f>'DGSP_chitiet (truKH)'!L879</f>
        <v>73534.999541655983</v>
      </c>
      <c r="Q879" s="306">
        <f>'DGSP_chitiet (truKH)'!M879</f>
        <v>563768.32981936249</v>
      </c>
      <c r="R879" s="271">
        <f>'DGSP_chitiet (truKH)'!N879</f>
        <v>563768.32981936249</v>
      </c>
      <c r="S879" s="271">
        <f>S$903/100+(S$905+S$906)/$C846</f>
        <v>295.16666666666663</v>
      </c>
    </row>
    <row r="880" spans="1:19" s="240" customFormat="1" ht="13.5" hidden="1">
      <c r="A880" s="242"/>
      <c r="B880" s="277"/>
      <c r="C880" s="242"/>
      <c r="D880" s="242"/>
      <c r="E880" s="271"/>
      <c r="F880" s="271"/>
      <c r="G880" s="271"/>
      <c r="H880" s="271"/>
      <c r="I880" s="271"/>
      <c r="J880" s="271"/>
      <c r="K880" s="271"/>
      <c r="L880" s="271"/>
      <c r="M880" s="272"/>
      <c r="N880" s="271"/>
      <c r="O880" s="271">
        <f>'DGSP_chitiet (truKH)'!K880</f>
        <v>0</v>
      </c>
      <c r="P880" s="271">
        <f>'DGSP_chitiet (truKH)'!L880</f>
        <v>0</v>
      </c>
      <c r="Q880" s="306">
        <f>'DGSP_chitiet (truKH)'!M880</f>
        <v>0</v>
      </c>
      <c r="R880" s="271">
        <f>'DGSP_chitiet (truKH)'!N880</f>
        <v>0</v>
      </c>
      <c r="S880" s="271"/>
    </row>
    <row r="881" spans="1:19" s="240" customFormat="1">
      <c r="A881" s="242">
        <v>1</v>
      </c>
      <c r="B881" s="276" t="s">
        <v>190</v>
      </c>
      <c r="C881" s="275"/>
      <c r="D881" s="275"/>
      <c r="E881" s="271"/>
      <c r="F881" s="271"/>
      <c r="G881" s="271"/>
      <c r="H881" s="271"/>
      <c r="I881" s="271"/>
      <c r="J881" s="271"/>
      <c r="K881" s="271"/>
      <c r="L881" s="271"/>
      <c r="M881" s="971"/>
      <c r="N881" s="271"/>
      <c r="O881" s="271">
        <f>'DGSP_chitiet (truKH)'!K881</f>
        <v>0</v>
      </c>
      <c r="P881" s="271">
        <f>'DGSP_chitiet (truKH)'!L881</f>
        <v>0</v>
      </c>
      <c r="Q881" s="306">
        <f>'DGSP_chitiet (truKH)'!M881</f>
        <v>0</v>
      </c>
      <c r="R881" s="271">
        <f>'DGSP_chitiet (truKH)'!N881</f>
        <v>0</v>
      </c>
      <c r="S881" s="271"/>
    </row>
    <row r="882" spans="1:19" s="240" customFormat="1">
      <c r="A882" s="1010">
        <v>1.1000000000000001</v>
      </c>
      <c r="B882" s="1011" t="str">
        <f>NhanCong!B$150</f>
        <v>Đối soát thực địa (công nhóm/mảnh)</v>
      </c>
      <c r="C882" s="1013" t="s">
        <v>317</v>
      </c>
      <c r="D882" s="274" t="s">
        <v>18</v>
      </c>
      <c r="E882" s="271">
        <f>NhanCong!Y$150</f>
        <v>20716.100319444446</v>
      </c>
      <c r="F882" s="271"/>
      <c r="G882" s="905">
        <f>Dcu!Q$200</f>
        <v>148.99017094017094</v>
      </c>
      <c r="H882" s="905">
        <f>VLieu!F$133</f>
        <v>4047000</v>
      </c>
      <c r="I882" s="905"/>
      <c r="J882" s="905"/>
      <c r="K882" s="905">
        <f t="shared" ref="K882:K893" si="287">SUM(E882:J882)</f>
        <v>4067865.0904903845</v>
      </c>
      <c r="L882" s="905">
        <f>K882*0.25</f>
        <v>1016966.2726225961</v>
      </c>
      <c r="M882" s="906">
        <f t="shared" ref="M882:M893" si="288">K882+L882</f>
        <v>5084831.3631129805</v>
      </c>
      <c r="N882" s="905"/>
      <c r="O882" s="271">
        <f>'DGSP_chitiet (truKH)'!K882</f>
        <v>4067865.0904903845</v>
      </c>
      <c r="P882" s="271">
        <f>'DGSP_chitiet (truKH)'!L882</f>
        <v>1016966.2726225961</v>
      </c>
      <c r="Q882" s="306">
        <f>'DGSP_chitiet (truKH)'!M882</f>
        <v>5084831.3631129805</v>
      </c>
      <c r="R882" s="271">
        <f>'DGSP_chitiet (truKH)'!N882</f>
        <v>0</v>
      </c>
      <c r="S882" s="905">
        <f>NhanCong!Z$150</f>
        <v>630.60790598290589</v>
      </c>
    </row>
    <row r="883" spans="1:19" s="240" customFormat="1">
      <c r="A883" s="1010"/>
      <c r="B883" s="1011"/>
      <c r="C883" s="1013"/>
      <c r="D883" s="274" t="s">
        <v>20</v>
      </c>
      <c r="E883" s="271">
        <f>NhanCong!Y$151</f>
        <v>24862.872222222228</v>
      </c>
      <c r="F883" s="271"/>
      <c r="G883" s="905">
        <f>Dcu!Q$201</f>
        <v>186.23771367521368</v>
      </c>
      <c r="H883" s="905">
        <f>VLieu!F$133</f>
        <v>4047000</v>
      </c>
      <c r="I883" s="905"/>
      <c r="J883" s="905"/>
      <c r="K883" s="905">
        <f t="shared" si="287"/>
        <v>4072049.1099358974</v>
      </c>
      <c r="L883" s="905">
        <f t="shared" ref="L883:L893" si="289">K883*0.25</f>
        <v>1018012.2774839744</v>
      </c>
      <c r="M883" s="906">
        <f t="shared" si="288"/>
        <v>5090061.387419872</v>
      </c>
      <c r="N883" s="905"/>
      <c r="O883" s="271">
        <f>'DGSP_chitiet (truKH)'!K883</f>
        <v>4072049.1099358974</v>
      </c>
      <c r="P883" s="271">
        <f>'DGSP_chitiet (truKH)'!L883</f>
        <v>1018012.2774839744</v>
      </c>
      <c r="Q883" s="306">
        <f>'DGSP_chitiet (truKH)'!M883</f>
        <v>5090061.387419872</v>
      </c>
      <c r="R883" s="271">
        <f>'DGSP_chitiet (truKH)'!N883</f>
        <v>0</v>
      </c>
      <c r="S883" s="905">
        <f>NhanCong!Z$151</f>
        <v>756.83760683760681</v>
      </c>
    </row>
    <row r="884" spans="1:19" s="240" customFormat="1">
      <c r="A884" s="1010"/>
      <c r="B884" s="1011"/>
      <c r="C884" s="1013"/>
      <c r="D884" s="274" t="s">
        <v>35</v>
      </c>
      <c r="E884" s="271">
        <f>NhanCong!Y$152</f>
        <v>29835.446666666674</v>
      </c>
      <c r="F884" s="271"/>
      <c r="G884" s="905">
        <f>Dcu!Q$202</f>
        <v>248.31695156695156</v>
      </c>
      <c r="H884" s="905">
        <f>VLieu!F$133</f>
        <v>4047000</v>
      </c>
      <c r="I884" s="905"/>
      <c r="J884" s="905"/>
      <c r="K884" s="905">
        <f t="shared" si="287"/>
        <v>4077083.7636182336</v>
      </c>
      <c r="L884" s="905">
        <f t="shared" si="289"/>
        <v>1019270.9409045584</v>
      </c>
      <c r="M884" s="906">
        <f t="shared" si="288"/>
        <v>5096354.7045227922</v>
      </c>
      <c r="N884" s="905"/>
      <c r="O884" s="271">
        <f>'DGSP_chitiet (truKH)'!K884</f>
        <v>4077083.7636182336</v>
      </c>
      <c r="P884" s="271">
        <f>'DGSP_chitiet (truKH)'!L884</f>
        <v>1019270.9409045584</v>
      </c>
      <c r="Q884" s="306">
        <f>'DGSP_chitiet (truKH)'!M884</f>
        <v>5096354.7045227922</v>
      </c>
      <c r="R884" s="271">
        <f>'DGSP_chitiet (truKH)'!N884</f>
        <v>0</v>
      </c>
      <c r="S884" s="905">
        <f>NhanCong!Z$152</f>
        <v>908.20512820512829</v>
      </c>
    </row>
    <row r="885" spans="1:19" s="240" customFormat="1">
      <c r="A885" s="1010"/>
      <c r="B885" s="1011"/>
      <c r="C885" s="1013"/>
      <c r="D885" s="274" t="s">
        <v>33</v>
      </c>
      <c r="E885" s="271">
        <f>NhanCong!Y$153</f>
        <v>35802.536000000007</v>
      </c>
      <c r="F885" s="271"/>
      <c r="G885" s="905">
        <f>Dcu!Q$203</f>
        <v>273.14864672364672</v>
      </c>
      <c r="H885" s="905">
        <f>VLieu!F$133</f>
        <v>4047000</v>
      </c>
      <c r="I885" s="905"/>
      <c r="J885" s="905"/>
      <c r="K885" s="905">
        <f t="shared" si="287"/>
        <v>4083075.6846467238</v>
      </c>
      <c r="L885" s="905">
        <f t="shared" si="289"/>
        <v>1020768.9211616809</v>
      </c>
      <c r="M885" s="906">
        <f t="shared" si="288"/>
        <v>5103844.6058084052</v>
      </c>
      <c r="N885" s="905"/>
      <c r="O885" s="271">
        <f>'DGSP_chitiet (truKH)'!K885</f>
        <v>4083075.6846467238</v>
      </c>
      <c r="P885" s="271">
        <f>'DGSP_chitiet (truKH)'!L885</f>
        <v>1020768.9211616809</v>
      </c>
      <c r="Q885" s="306">
        <f>'DGSP_chitiet (truKH)'!M885</f>
        <v>5103844.6058084052</v>
      </c>
      <c r="R885" s="271">
        <f>'DGSP_chitiet (truKH)'!N885</f>
        <v>0</v>
      </c>
      <c r="S885" s="905">
        <f>NhanCong!Z$153</f>
        <v>1089.8461538461538</v>
      </c>
    </row>
    <row r="886" spans="1:19" s="240" customFormat="1" ht="12.75" customHeight="1">
      <c r="A886" s="1010">
        <v>1.2</v>
      </c>
      <c r="B886" s="1011" t="str">
        <f>NhanCong!B$156</f>
        <v>Lưới đo vẽ (công nhóm/100 thửa có biến động cần chỉnh lý)</v>
      </c>
      <c r="C886" s="1015" t="s">
        <v>329</v>
      </c>
      <c r="D886" s="274" t="s">
        <v>18</v>
      </c>
      <c r="E886" s="271">
        <f>NhanCong!Y$156</f>
        <v>1739983.7812500005</v>
      </c>
      <c r="F886" s="271"/>
      <c r="G886" s="905">
        <f>Dcu!Q$222</f>
        <v>24103.788461538465</v>
      </c>
      <c r="H886" s="905">
        <f>VLieu!O$135</f>
        <v>4184.25</v>
      </c>
      <c r="I886" s="905">
        <f>TBi!N$327</f>
        <v>27769.214285714286</v>
      </c>
      <c r="J886" s="905">
        <f>TBi!N$331</f>
        <v>267.12</v>
      </c>
      <c r="K886" s="905">
        <f t="shared" si="287"/>
        <v>1796308.1539972534</v>
      </c>
      <c r="L886" s="905">
        <f t="shared" si="289"/>
        <v>449077.03849931335</v>
      </c>
      <c r="M886" s="906">
        <f t="shared" si="288"/>
        <v>2245385.1924965666</v>
      </c>
      <c r="N886" s="905"/>
      <c r="O886" s="271">
        <f>'DGSP_chitiet (truKH)'!K886</f>
        <v>1768538.9397115391</v>
      </c>
      <c r="P886" s="271">
        <f>'DGSP_chitiet (truKH)'!L886</f>
        <v>442134.73492788477</v>
      </c>
      <c r="Q886" s="306">
        <f>'DGSP_chitiet (truKH)'!M886</f>
        <v>2210673.6746394238</v>
      </c>
      <c r="R886" s="271">
        <f>'DGSP_chitiet (truKH)'!N886</f>
        <v>0</v>
      </c>
      <c r="S886" s="905">
        <f>NhanCong!Z$156</f>
        <v>49262.019230769234</v>
      </c>
    </row>
    <row r="887" spans="1:19" s="240" customFormat="1">
      <c r="A887" s="1010"/>
      <c r="B887" s="1011"/>
      <c r="C887" s="1013" t="s">
        <v>49</v>
      </c>
      <c r="D887" s="274" t="s">
        <v>20</v>
      </c>
      <c r="E887" s="271">
        <f>NhanCong!Y$157</f>
        <v>1997759.1562500005</v>
      </c>
      <c r="F887" s="271"/>
      <c r="G887" s="905">
        <f>Dcu!Q$223</f>
        <v>30129.735576923078</v>
      </c>
      <c r="H887" s="905">
        <f>VLieu!O$135</f>
        <v>4184.25</v>
      </c>
      <c r="I887" s="905">
        <f>TBi!O$327</f>
        <v>31753.142857142862</v>
      </c>
      <c r="J887" s="905">
        <f>TBi!O$331</f>
        <v>333.9</v>
      </c>
      <c r="K887" s="905">
        <f t="shared" si="287"/>
        <v>2064160.1846840663</v>
      </c>
      <c r="L887" s="905">
        <f t="shared" si="289"/>
        <v>516040.04617101658</v>
      </c>
      <c r="M887" s="906">
        <f t="shared" si="288"/>
        <v>2580200.2308550831</v>
      </c>
      <c r="N887" s="905"/>
      <c r="O887" s="271">
        <f>'DGSP_chitiet (truKH)'!K887</f>
        <v>2032407.0418269234</v>
      </c>
      <c r="P887" s="271">
        <f>'DGSP_chitiet (truKH)'!L887</f>
        <v>508101.76045673084</v>
      </c>
      <c r="Q887" s="306">
        <f>'DGSP_chitiet (truKH)'!M887</f>
        <v>2540508.802283654</v>
      </c>
      <c r="R887" s="271">
        <f>'DGSP_chitiet (truKH)'!N887</f>
        <v>0</v>
      </c>
      <c r="S887" s="905">
        <f>NhanCong!Z$157</f>
        <v>56560.096153846156</v>
      </c>
    </row>
    <row r="888" spans="1:19" s="240" customFormat="1">
      <c r="A888" s="1010"/>
      <c r="B888" s="1011"/>
      <c r="C888" s="1013"/>
      <c r="D888" s="274" t="s">
        <v>35</v>
      </c>
      <c r="E888" s="271">
        <f>NhanCong!Y$158</f>
        <v>2663678.8750000009</v>
      </c>
      <c r="F888" s="271"/>
      <c r="G888" s="905">
        <f>Dcu!Q$224</f>
        <v>40172.980769230773</v>
      </c>
      <c r="H888" s="905">
        <f>VLieu!O$135</f>
        <v>4184.25</v>
      </c>
      <c r="I888" s="905">
        <f>TBi!P$327</f>
        <v>41935.571428571428</v>
      </c>
      <c r="J888" s="905">
        <f>TBi!P$331</f>
        <v>400.68</v>
      </c>
      <c r="K888" s="905">
        <f t="shared" si="287"/>
        <v>2750372.3571978034</v>
      </c>
      <c r="L888" s="905">
        <f t="shared" si="289"/>
        <v>687593.08929945086</v>
      </c>
      <c r="M888" s="906">
        <f t="shared" si="288"/>
        <v>3437965.4464972541</v>
      </c>
      <c r="N888" s="905"/>
      <c r="O888" s="271">
        <f>'DGSP_chitiet (truKH)'!K888</f>
        <v>2708436.7857692321</v>
      </c>
      <c r="P888" s="271">
        <f>'DGSP_chitiet (truKH)'!L888</f>
        <v>677109.19644230802</v>
      </c>
      <c r="Q888" s="306">
        <f>'DGSP_chitiet (truKH)'!M888</f>
        <v>3385545.98221154</v>
      </c>
      <c r="R888" s="271">
        <f>'DGSP_chitiet (truKH)'!N888</f>
        <v>0</v>
      </c>
      <c r="S888" s="905">
        <f>NhanCong!Z$158</f>
        <v>75413.461538461546</v>
      </c>
    </row>
    <row r="889" spans="1:19" s="240" customFormat="1">
      <c r="A889" s="1010"/>
      <c r="B889" s="1011"/>
      <c r="C889" s="1013"/>
      <c r="D889" s="274" t="s">
        <v>33</v>
      </c>
      <c r="E889" s="271">
        <f>NhanCong!Y$159</f>
        <v>2921454.2500000009</v>
      </c>
      <c r="F889" s="271"/>
      <c r="G889" s="905">
        <f>Dcu!Q$225</f>
        <v>44190.278846153851</v>
      </c>
      <c r="H889" s="905">
        <f>VLieu!O$135</f>
        <v>4184.25</v>
      </c>
      <c r="I889" s="905">
        <f>TBi!Q$327</f>
        <v>46483</v>
      </c>
      <c r="J889" s="905">
        <f>TBi!Q$331</f>
        <v>467.46</v>
      </c>
      <c r="K889" s="905">
        <f t="shared" si="287"/>
        <v>3016779.2388461549</v>
      </c>
      <c r="L889" s="905">
        <f t="shared" si="289"/>
        <v>754194.80971153872</v>
      </c>
      <c r="M889" s="906">
        <f t="shared" si="288"/>
        <v>3770974.0485576936</v>
      </c>
      <c r="N889" s="905"/>
      <c r="O889" s="271">
        <f>'DGSP_chitiet (truKH)'!K889</f>
        <v>2970296.2388461549</v>
      </c>
      <c r="P889" s="271">
        <f>'DGSP_chitiet (truKH)'!L889</f>
        <v>742574.05971153872</v>
      </c>
      <c r="Q889" s="306">
        <f>'DGSP_chitiet (truKH)'!M889</f>
        <v>3712870.2985576936</v>
      </c>
      <c r="R889" s="271">
        <f>'DGSP_chitiet (truKH)'!N889</f>
        <v>0</v>
      </c>
      <c r="S889" s="905">
        <f>NhanCong!Z$159</f>
        <v>82711.538461538468</v>
      </c>
    </row>
    <row r="890" spans="1:19" s="240" customFormat="1" ht="12.75" customHeight="1">
      <c r="A890" s="1010">
        <v>1.3</v>
      </c>
      <c r="B890" s="1011" t="str">
        <f>NhanCong!B$162</f>
        <v>Đo đạc ranh giới thửa đất và các đối tượng địa lý có liên quan (công nhóm/100 thửa có biến động cần chỉnh lý)</v>
      </c>
      <c r="C890" s="1015" t="s">
        <v>329</v>
      </c>
      <c r="D890" s="274" t="s">
        <v>18</v>
      </c>
      <c r="E890" s="271">
        <f>NhanCong!Y$162</f>
        <v>25670131.093750004</v>
      </c>
      <c r="F890" s="271">
        <f>NhanCong!Y$163</f>
        <v>1520876.923076923</v>
      </c>
      <c r="G890" s="905">
        <f>Dcu!Q$246</f>
        <v>124202.52884615384</v>
      </c>
      <c r="H890" s="905">
        <f>VLieu!O$145</f>
        <v>83685</v>
      </c>
      <c r="I890" s="905">
        <f>TBi!N$362</f>
        <v>340071.42857142858</v>
      </c>
      <c r="J890" s="905">
        <f>TBi!N$366</f>
        <v>3339</v>
      </c>
      <c r="K890" s="905">
        <f t="shared" si="287"/>
        <v>27742305.974244509</v>
      </c>
      <c r="L890" s="905">
        <f t="shared" si="289"/>
        <v>6935576.4935611272</v>
      </c>
      <c r="M890" s="906">
        <f t="shared" si="288"/>
        <v>34677882.467805639</v>
      </c>
      <c r="N890" s="905"/>
      <c r="O890" s="271">
        <f>'DGSP_chitiet (truKH)'!K890</f>
        <v>27402234.54567308</v>
      </c>
      <c r="P890" s="271">
        <f>'DGSP_chitiet (truKH)'!L890</f>
        <v>6850558.6364182699</v>
      </c>
      <c r="Q890" s="306">
        <f>'DGSP_chitiet (truKH)'!M890</f>
        <v>34252793.182091348</v>
      </c>
      <c r="R890" s="271">
        <f>'DGSP_chitiet (truKH)'!N890</f>
        <v>0</v>
      </c>
      <c r="S890" s="905">
        <f>NhanCong!Z$162</f>
        <v>726766.82692307688</v>
      </c>
    </row>
    <row r="891" spans="1:19" s="240" customFormat="1">
      <c r="A891" s="1010"/>
      <c r="B891" s="1011"/>
      <c r="C891" s="1013" t="s">
        <v>49</v>
      </c>
      <c r="D891" s="274" t="s">
        <v>20</v>
      </c>
      <c r="E891" s="271">
        <f>NhanCong!Y$164</f>
        <v>30804157.312500007</v>
      </c>
      <c r="F891" s="271">
        <f>NhanCong!Y$165</f>
        <v>1824688.4615384615</v>
      </c>
      <c r="G891" s="905">
        <f>Dcu!Q$247</f>
        <v>155253.16105769231</v>
      </c>
      <c r="H891" s="905">
        <f>VLieu!O$145</f>
        <v>83685</v>
      </c>
      <c r="I891" s="905">
        <f>TBi!O$362</f>
        <v>392228.85714285716</v>
      </c>
      <c r="J891" s="905">
        <f>TBi!O$366</f>
        <v>3784.2</v>
      </c>
      <c r="K891" s="905">
        <f t="shared" si="287"/>
        <v>33263796.992239017</v>
      </c>
      <c r="L891" s="905">
        <f t="shared" si="289"/>
        <v>8315949.2480597543</v>
      </c>
      <c r="M891" s="906">
        <f t="shared" si="288"/>
        <v>41579746.24029877</v>
      </c>
      <c r="N891" s="905"/>
      <c r="O891" s="271">
        <f>'DGSP_chitiet (truKH)'!K891</f>
        <v>32871568.135096159</v>
      </c>
      <c r="P891" s="271">
        <f>'DGSP_chitiet (truKH)'!L891</f>
        <v>8217892.0337740397</v>
      </c>
      <c r="Q891" s="306">
        <f>'DGSP_chitiet (truKH)'!M891</f>
        <v>41089460.168870196</v>
      </c>
      <c r="R891" s="271">
        <f>'DGSP_chitiet (truKH)'!N891</f>
        <v>0</v>
      </c>
      <c r="S891" s="905">
        <f>NhanCong!Z$164</f>
        <v>872120.19230769237</v>
      </c>
    </row>
    <row r="892" spans="1:19" s="240" customFormat="1">
      <c r="A892" s="1010"/>
      <c r="B892" s="1011"/>
      <c r="C892" s="1013"/>
      <c r="D892" s="274" t="s">
        <v>35</v>
      </c>
      <c r="E892" s="271">
        <f>NhanCong!Y$166</f>
        <v>36969285.031250015</v>
      </c>
      <c r="F892" s="271">
        <f>NhanCong!Y$167</f>
        <v>2188534.6153846155</v>
      </c>
      <c r="G892" s="905">
        <f>Dcu!Q$248</f>
        <v>207004.21474358975</v>
      </c>
      <c r="H892" s="905">
        <f>VLieu!O$145</f>
        <v>83685</v>
      </c>
      <c r="I892" s="905">
        <f>TBi!P$362</f>
        <v>523146.5</v>
      </c>
      <c r="J892" s="905">
        <f>TBi!P$366</f>
        <v>5119.7999999999993</v>
      </c>
      <c r="K892" s="905">
        <f t="shared" si="287"/>
        <v>39976775.16137822</v>
      </c>
      <c r="L892" s="905">
        <f t="shared" si="289"/>
        <v>9994193.7903445549</v>
      </c>
      <c r="M892" s="906">
        <f t="shared" si="288"/>
        <v>49970968.951722771</v>
      </c>
      <c r="N892" s="905"/>
      <c r="O892" s="271">
        <f>'DGSP_chitiet (truKH)'!K892</f>
        <v>39453628.66137822</v>
      </c>
      <c r="P892" s="271">
        <f>'DGSP_chitiet (truKH)'!L892</f>
        <v>9863407.1653445549</v>
      </c>
      <c r="Q892" s="306">
        <f>'DGSP_chitiet (truKH)'!M892</f>
        <v>49317035.826722771</v>
      </c>
      <c r="R892" s="271">
        <f>'DGSP_chitiet (truKH)'!N892</f>
        <v>0</v>
      </c>
      <c r="S892" s="905">
        <f>NhanCong!Z$166</f>
        <v>1046665.8653846155</v>
      </c>
    </row>
    <row r="893" spans="1:19" s="240" customFormat="1">
      <c r="A893" s="1010"/>
      <c r="B893" s="1011"/>
      <c r="C893" s="1013"/>
      <c r="D893" s="274" t="s">
        <v>33</v>
      </c>
      <c r="E893" s="271">
        <f>NhanCong!Y$168</f>
        <v>44358845.781250007</v>
      </c>
      <c r="F893" s="271">
        <f>NhanCong!Y$169</f>
        <v>2626969.230769231</v>
      </c>
      <c r="G893" s="905">
        <f>Dcu!Q$249</f>
        <v>227704.63621794875</v>
      </c>
      <c r="H893" s="905">
        <f>VLieu!O$145</f>
        <v>83685</v>
      </c>
      <c r="I893" s="905">
        <f>TBi!Q$362</f>
        <v>575867.42857142852</v>
      </c>
      <c r="J893" s="905">
        <f>TBi!Q$366</f>
        <v>5565</v>
      </c>
      <c r="K893" s="905">
        <f t="shared" si="287"/>
        <v>47878637.076808617</v>
      </c>
      <c r="L893" s="905">
        <f t="shared" si="289"/>
        <v>11969659.269202154</v>
      </c>
      <c r="M893" s="906">
        <f t="shared" si="288"/>
        <v>59848296.346010774</v>
      </c>
      <c r="N893" s="905"/>
      <c r="O893" s="271">
        <f>'DGSP_chitiet (truKH)'!K893</f>
        <v>47302769.648237191</v>
      </c>
      <c r="P893" s="271">
        <f>'DGSP_chitiet (truKH)'!L893</f>
        <v>11825692.412059298</v>
      </c>
      <c r="Q893" s="306">
        <f>'DGSP_chitiet (truKH)'!M893</f>
        <v>59128462.060296491</v>
      </c>
      <c r="R893" s="271">
        <f>'DGSP_chitiet (truKH)'!N893</f>
        <v>0</v>
      </c>
      <c r="S893" s="905">
        <f>NhanCong!Z$168</f>
        <v>1255877.4038461538</v>
      </c>
    </row>
    <row r="894" spans="1:19" s="240" customFormat="1">
      <c r="A894" s="242">
        <v>2</v>
      </c>
      <c r="B894" s="276" t="s">
        <v>192</v>
      </c>
      <c r="C894" s="274"/>
      <c r="D894" s="274"/>
      <c r="E894" s="271"/>
      <c r="F894" s="271"/>
      <c r="G894" s="905"/>
      <c r="H894" s="905"/>
      <c r="I894" s="905"/>
      <c r="J894" s="905"/>
      <c r="K894" s="905"/>
      <c r="L894" s="905"/>
      <c r="M894" s="906"/>
      <c r="N894" s="905"/>
      <c r="O894" s="271">
        <f>'DGSP_chitiet (truKH)'!K894</f>
        <v>0</v>
      </c>
      <c r="P894" s="271">
        <f>'DGSP_chitiet (truKH)'!L894</f>
        <v>0</v>
      </c>
      <c r="Q894" s="306">
        <f>'DGSP_chitiet (truKH)'!M894</f>
        <v>0</v>
      </c>
      <c r="R894" s="271">
        <f>'DGSP_chitiet (truKH)'!N894</f>
        <v>0</v>
      </c>
      <c r="S894" s="905"/>
    </row>
    <row r="895" spans="1:19" s="240" customFormat="1">
      <c r="A895" s="1010" t="s">
        <v>268</v>
      </c>
      <c r="B895" s="1011" t="str">
        <f>NhanCong!B$173</f>
        <v>Số hóa BĐĐC: Áp dụng theo mức quy định tại Điều 8, Chương I</v>
      </c>
      <c r="C895" s="1013" t="s">
        <v>317</v>
      </c>
      <c r="D895" s="274" t="s">
        <v>18</v>
      </c>
      <c r="E895" s="271">
        <f t="shared" ref="E895:J898" si="290">E490</f>
        <v>9967.3145000000022</v>
      </c>
      <c r="F895" s="271">
        <f t="shared" si="290"/>
        <v>0</v>
      </c>
      <c r="G895" s="271">
        <f t="shared" si="290"/>
        <v>104.53232886989554</v>
      </c>
      <c r="H895" s="271">
        <f t="shared" si="290"/>
        <v>122.33333333333333</v>
      </c>
      <c r="I895" s="271">
        <f t="shared" si="290"/>
        <v>745.40651428571425</v>
      </c>
      <c r="J895" s="271">
        <f t="shared" si="290"/>
        <v>237.04426666666666</v>
      </c>
      <c r="K895" s="905">
        <f>SUM(E895:J895)</f>
        <v>11176.630943155611</v>
      </c>
      <c r="L895" s="905">
        <f>K895*0.15</f>
        <v>1676.4946414733415</v>
      </c>
      <c r="M895" s="906">
        <f>K895+L895</f>
        <v>12853.125584628953</v>
      </c>
      <c r="N895" s="271">
        <f>N490</f>
        <v>0</v>
      </c>
      <c r="O895" s="271">
        <f>'DGSP_chitiet (truKH)'!K895</f>
        <v>10431.224428869897</v>
      </c>
      <c r="P895" s="271">
        <f>'DGSP_chitiet (truKH)'!L895</f>
        <v>1564.6836643304844</v>
      </c>
      <c r="Q895" s="306">
        <f>'DGSP_chitiet (truKH)'!M895</f>
        <v>11995.908093200382</v>
      </c>
      <c r="R895" s="271">
        <f>'DGSP_chitiet (truKH)'!N895</f>
        <v>0</v>
      </c>
      <c r="S895" s="271">
        <f>S490</f>
        <v>282.19230769230762</v>
      </c>
    </row>
    <row r="896" spans="1:19" s="240" customFormat="1">
      <c r="A896" s="1010"/>
      <c r="B896" s="1011"/>
      <c r="C896" s="1013"/>
      <c r="D896" s="274" t="s">
        <v>20</v>
      </c>
      <c r="E896" s="271">
        <f t="shared" si="290"/>
        <v>11296.28976666667</v>
      </c>
      <c r="F896" s="271">
        <f t="shared" si="290"/>
        <v>0</v>
      </c>
      <c r="G896" s="271">
        <f t="shared" si="290"/>
        <v>119.66200804843304</v>
      </c>
      <c r="H896" s="271">
        <f t="shared" si="290"/>
        <v>122.33333333333333</v>
      </c>
      <c r="I896" s="271">
        <f t="shared" si="290"/>
        <v>980.23466190476177</v>
      </c>
      <c r="J896" s="271">
        <f t="shared" si="290"/>
        <v>313.12399999999997</v>
      </c>
      <c r="K896" s="905">
        <f>SUM(E896:J896)</f>
        <v>12831.6437699532</v>
      </c>
      <c r="L896" s="905">
        <f>K896*0.15</f>
        <v>1924.7465654929799</v>
      </c>
      <c r="M896" s="906">
        <f>K896+L896</f>
        <v>14756.39033544618</v>
      </c>
      <c r="N896" s="271">
        <f>N561</f>
        <v>0</v>
      </c>
      <c r="O896" s="271">
        <f>'DGSP_chitiet (truKH)'!K896</f>
        <v>11851.409108048438</v>
      </c>
      <c r="P896" s="271">
        <f>'DGSP_chitiet (truKH)'!L896</f>
        <v>1777.7113662072657</v>
      </c>
      <c r="Q896" s="306">
        <f>'DGSP_chitiet (truKH)'!M896</f>
        <v>13629.120474255704</v>
      </c>
      <c r="R896" s="271">
        <f>'DGSP_chitiet (truKH)'!N896</f>
        <v>0</v>
      </c>
      <c r="S896" s="271">
        <f>S491</f>
        <v>319.8179487179487</v>
      </c>
    </row>
    <row r="897" spans="1:21" s="240" customFormat="1">
      <c r="A897" s="1010"/>
      <c r="B897" s="1011"/>
      <c r="C897" s="1013"/>
      <c r="D897" s="274" t="s">
        <v>35</v>
      </c>
      <c r="E897" s="271">
        <f t="shared" si="290"/>
        <v>12827.666438888891</v>
      </c>
      <c r="F897" s="271">
        <f t="shared" si="290"/>
        <v>0</v>
      </c>
      <c r="G897" s="271">
        <f t="shared" si="290"/>
        <v>137.54253798670464</v>
      </c>
      <c r="H897" s="271">
        <f t="shared" si="290"/>
        <v>122.33333333333333</v>
      </c>
      <c r="I897" s="271">
        <f t="shared" si="290"/>
        <v>1171.2626928571428</v>
      </c>
      <c r="J897" s="271">
        <f t="shared" si="290"/>
        <v>373.02813333333336</v>
      </c>
      <c r="K897" s="905">
        <f>SUM(E897:J897)</f>
        <v>14631.833136399406</v>
      </c>
      <c r="L897" s="905">
        <f>K897*0.15</f>
        <v>2194.7749704599109</v>
      </c>
      <c r="M897" s="906">
        <f>K897+L897</f>
        <v>16826.608106859316</v>
      </c>
      <c r="N897" s="271">
        <f>N562</f>
        <v>0</v>
      </c>
      <c r="O897" s="271">
        <f>'DGSP_chitiet (truKH)'!K897</f>
        <v>13460.570443542263</v>
      </c>
      <c r="P897" s="271">
        <f>'DGSP_chitiet (truKH)'!L897</f>
        <v>2019.0855665313393</v>
      </c>
      <c r="Q897" s="306">
        <f>'DGSP_chitiet (truKH)'!M897</f>
        <v>15479.656010073602</v>
      </c>
      <c r="R897" s="271">
        <f>'DGSP_chitiet (truKH)'!N897</f>
        <v>0</v>
      </c>
      <c r="S897" s="271">
        <f>S492</f>
        <v>363.17393162393154</v>
      </c>
    </row>
    <row r="898" spans="1:21" s="240" customFormat="1">
      <c r="A898" s="1010"/>
      <c r="B898" s="1011"/>
      <c r="C898" s="1013"/>
      <c r="D898" s="274" t="s">
        <v>33</v>
      </c>
      <c r="E898" s="271">
        <f t="shared" si="290"/>
        <v>14588.17677777778</v>
      </c>
      <c r="F898" s="271">
        <f t="shared" si="290"/>
        <v>0</v>
      </c>
      <c r="G898" s="271">
        <f t="shared" si="290"/>
        <v>158.17391868471032</v>
      </c>
      <c r="H898" s="271">
        <f t="shared" si="290"/>
        <v>122.33333333333333</v>
      </c>
      <c r="I898" s="271">
        <f t="shared" si="290"/>
        <v>1401.003676984127</v>
      </c>
      <c r="J898" s="271">
        <f t="shared" si="290"/>
        <v>444.80426666666671</v>
      </c>
      <c r="K898" s="905">
        <f>SUM(E898:J898)</f>
        <v>16714.491973446617</v>
      </c>
      <c r="L898" s="905">
        <f>K898*0.15</f>
        <v>2507.1737960169926</v>
      </c>
      <c r="M898" s="906">
        <f>K898+L898</f>
        <v>19221.665769463609</v>
      </c>
      <c r="N898" s="271">
        <f>N563</f>
        <v>0</v>
      </c>
      <c r="O898" s="271">
        <f>'DGSP_chitiet (truKH)'!K898</f>
        <v>15313.48829646249</v>
      </c>
      <c r="P898" s="271">
        <f>'DGSP_chitiet (truKH)'!L898</f>
        <v>2297.0232444693734</v>
      </c>
      <c r="Q898" s="306">
        <f>'DGSP_chitiet (truKH)'!M898</f>
        <v>17610.511540931864</v>
      </c>
      <c r="R898" s="271">
        <f>'DGSP_chitiet (truKH)'!N898</f>
        <v>0</v>
      </c>
      <c r="S898" s="271">
        <f>S493</f>
        <v>413.01709401709394</v>
      </c>
    </row>
    <row r="899" spans="1:21" s="240" customFormat="1" ht="12.75" customHeight="1">
      <c r="A899" s="1010" t="s">
        <v>34</v>
      </c>
      <c r="B899" s="1011" t="str">
        <f>NhanCong!B$174</f>
        <v>Lập bản vẽ BĐĐC (Công nhóm/100 thửa chỉnh lý)</v>
      </c>
      <c r="C899" s="1015" t="s">
        <v>329</v>
      </c>
      <c r="D899" s="274" t="s">
        <v>18</v>
      </c>
      <c r="E899" s="271">
        <f>NhanCong!Y$174</f>
        <v>1096957.4000000004</v>
      </c>
      <c r="F899" s="271"/>
      <c r="G899" s="905">
        <f>Dcu!Q$271</f>
        <v>14386.826446153846</v>
      </c>
      <c r="H899" s="905">
        <f>VLieu!O$159</f>
        <v>626800</v>
      </c>
      <c r="I899" s="905">
        <f>TBi!N$399</f>
        <v>11638.751071428573</v>
      </c>
      <c r="J899" s="905">
        <f>TBi!N$403</f>
        <v>46323.06</v>
      </c>
      <c r="K899" s="905">
        <f t="shared" ref="K899:K904" si="291">SUM(E899:J899)</f>
        <v>1796106.037517583</v>
      </c>
      <c r="L899" s="905">
        <f t="shared" ref="L899:L906" si="292">K899*0.15</f>
        <v>269415.90562763746</v>
      </c>
      <c r="M899" s="906">
        <f t="shared" ref="M899:M904" si="293">K899+L899</f>
        <v>2065521.9431452204</v>
      </c>
      <c r="N899" s="905"/>
      <c r="O899" s="271">
        <f>'DGSP_chitiet (truKH)'!K899</f>
        <v>1784467.2864461544</v>
      </c>
      <c r="P899" s="271">
        <f>'DGSP_chitiet (truKH)'!L899</f>
        <v>267670.09296692314</v>
      </c>
      <c r="Q899" s="306">
        <f>'DGSP_chitiet (truKH)'!M899</f>
        <v>2052137.3794130776</v>
      </c>
      <c r="R899" s="271">
        <f>'DGSP_chitiet (truKH)'!N899</f>
        <v>0</v>
      </c>
      <c r="S899" s="905">
        <f>NhanCong!Z$174</f>
        <v>27246.153846153844</v>
      </c>
    </row>
    <row r="900" spans="1:21" s="240" customFormat="1">
      <c r="A900" s="1010"/>
      <c r="B900" s="1011"/>
      <c r="C900" s="1013"/>
      <c r="D900" s="274" t="s">
        <v>20</v>
      </c>
      <c r="E900" s="271">
        <f>NhanCong!Y$175</f>
        <v>1269336.4200000004</v>
      </c>
      <c r="F900" s="271"/>
      <c r="G900" s="905">
        <f>Dcu!Q$272</f>
        <v>17983.533057692308</v>
      </c>
      <c r="H900" s="905">
        <f>VLieu!O$159</f>
        <v>626800</v>
      </c>
      <c r="I900" s="905">
        <f>TBi!O$399</f>
        <v>12226.422857142858</v>
      </c>
      <c r="J900" s="905">
        <f>TBi!O$403</f>
        <v>48571.32</v>
      </c>
      <c r="K900" s="905">
        <f t="shared" si="291"/>
        <v>1974917.6959148354</v>
      </c>
      <c r="L900" s="905">
        <f t="shared" si="292"/>
        <v>296237.65438722528</v>
      </c>
      <c r="M900" s="906">
        <f t="shared" si="293"/>
        <v>2271155.3503020606</v>
      </c>
      <c r="N900" s="905"/>
      <c r="O900" s="271">
        <f>'DGSP_chitiet (truKH)'!K900</f>
        <v>1962691.2730576927</v>
      </c>
      <c r="P900" s="271">
        <f>'DGSP_chitiet (truKH)'!L900</f>
        <v>294403.69095865387</v>
      </c>
      <c r="Q900" s="306">
        <f>'DGSP_chitiet (truKH)'!M900</f>
        <v>2257094.9640163467</v>
      </c>
      <c r="R900" s="271">
        <f>'DGSP_chitiet (truKH)'!N900</f>
        <v>0</v>
      </c>
      <c r="S900" s="905">
        <f>NhanCong!Z$175</f>
        <v>31527.692307692309</v>
      </c>
    </row>
    <row r="901" spans="1:21" s="240" customFormat="1">
      <c r="A901" s="1010"/>
      <c r="B901" s="1011"/>
      <c r="C901" s="1013"/>
      <c r="D901" s="274" t="s">
        <v>35</v>
      </c>
      <c r="E901" s="271">
        <f>NhanCong!Y$176</f>
        <v>1692448.5600000005</v>
      </c>
      <c r="F901" s="271"/>
      <c r="G901" s="905">
        <f>Dcu!Q$273</f>
        <v>23978.044076923077</v>
      </c>
      <c r="H901" s="905">
        <f>VLieu!O$159</f>
        <v>626800</v>
      </c>
      <c r="I901" s="905">
        <f>TBi!P$399</f>
        <v>13688.083928571428</v>
      </c>
      <c r="J901" s="905">
        <f>TBi!P$403</f>
        <v>54358.920000000006</v>
      </c>
      <c r="K901" s="905">
        <f t="shared" si="291"/>
        <v>2411273.6080054953</v>
      </c>
      <c r="L901" s="905">
        <f t="shared" si="292"/>
        <v>361691.04120082426</v>
      </c>
      <c r="M901" s="906">
        <f t="shared" si="293"/>
        <v>2772964.6492063194</v>
      </c>
      <c r="N901" s="905"/>
      <c r="O901" s="271">
        <f>'DGSP_chitiet (truKH)'!K901</f>
        <v>2397585.5240769237</v>
      </c>
      <c r="P901" s="271">
        <f>'DGSP_chitiet (truKH)'!L901</f>
        <v>359637.82861153857</v>
      </c>
      <c r="Q901" s="306">
        <f>'DGSP_chitiet (truKH)'!M901</f>
        <v>2757223.3526884625</v>
      </c>
      <c r="R901" s="271">
        <f>'DGSP_chitiet (truKH)'!N901</f>
        <v>0</v>
      </c>
      <c r="S901" s="905">
        <f>NhanCong!Z$176</f>
        <v>42036.923076923078</v>
      </c>
    </row>
    <row r="902" spans="1:21" s="240" customFormat="1">
      <c r="A902" s="1010"/>
      <c r="B902" s="1011"/>
      <c r="C902" s="1013"/>
      <c r="D902" s="274" t="s">
        <v>33</v>
      </c>
      <c r="E902" s="271">
        <f>NhanCong!Y$177</f>
        <v>1864827.5800000005</v>
      </c>
      <c r="F902" s="271"/>
      <c r="G902" s="905">
        <f>Dcu!Q$274</f>
        <v>26375.848484615388</v>
      </c>
      <c r="H902" s="905">
        <f>VLieu!O$159</f>
        <v>626800</v>
      </c>
      <c r="I902" s="905">
        <f>TBi!Q$399</f>
        <v>14249.983214285712</v>
      </c>
      <c r="J902" s="905">
        <f>TBi!Q$403</f>
        <v>56584.920000000006</v>
      </c>
      <c r="K902" s="905">
        <f t="shared" si="291"/>
        <v>2588838.3316989015</v>
      </c>
      <c r="L902" s="905">
        <f t="shared" si="292"/>
        <v>388325.74975483521</v>
      </c>
      <c r="M902" s="906">
        <f t="shared" si="293"/>
        <v>2977164.0814537369</v>
      </c>
      <c r="N902" s="905"/>
      <c r="O902" s="271">
        <f>'DGSP_chitiet (truKH)'!K902</f>
        <v>2574588.3484846158</v>
      </c>
      <c r="P902" s="271">
        <f>'DGSP_chitiet (truKH)'!L902</f>
        <v>386188.25227269233</v>
      </c>
      <c r="Q902" s="306">
        <f>'DGSP_chitiet (truKH)'!M902</f>
        <v>2960776.6007573083</v>
      </c>
      <c r="R902" s="271">
        <f>'DGSP_chitiet (truKH)'!N902</f>
        <v>0</v>
      </c>
      <c r="S902" s="905">
        <f>NhanCong!Z$177</f>
        <v>46318.461538461532</v>
      </c>
    </row>
    <row r="903" spans="1:21" s="240" customFormat="1" ht="26">
      <c r="A903" s="969" t="s">
        <v>246</v>
      </c>
      <c r="B903" s="970" t="str">
        <f>NhanCong!B$179</f>
        <v>Lập Phiếu đo đạc chỉnh lý thửa đất (Công/100 thửa chỉnh lý)</v>
      </c>
      <c r="C903" s="983" t="s">
        <v>329</v>
      </c>
      <c r="D903" s="983" t="s">
        <v>679</v>
      </c>
      <c r="E903" s="984">
        <f>NhanCong!Y$179</f>
        <v>1031101.5000000002</v>
      </c>
      <c r="F903" s="984"/>
      <c r="G903" s="985">
        <f>Dcu!Q$270</f>
        <v>23978.044076923077</v>
      </c>
      <c r="H903" s="905">
        <f>VLieu!O$159</f>
        <v>626800</v>
      </c>
      <c r="I903" s="985"/>
      <c r="J903" s="985"/>
      <c r="K903" s="985">
        <f t="shared" si="291"/>
        <v>1681879.5440769233</v>
      </c>
      <c r="L903" s="905">
        <f t="shared" si="292"/>
        <v>252281.93161153849</v>
      </c>
      <c r="M903" s="986">
        <f t="shared" si="293"/>
        <v>1934161.4756884617</v>
      </c>
      <c r="N903" s="985"/>
      <c r="O903" s="271">
        <f>'DGSP_chitiet (truKH)'!K903</f>
        <v>1681879.5440769233</v>
      </c>
      <c r="P903" s="271">
        <f>'DGSP_chitiet (truKH)'!L903</f>
        <v>252281.93161153849</v>
      </c>
      <c r="Q903" s="306">
        <f>'DGSP_chitiet (truKH)'!M903</f>
        <v>1934161.4756884617</v>
      </c>
      <c r="R903" s="271">
        <f>'DGSP_chitiet (truKH)'!N903</f>
        <v>0</v>
      </c>
      <c r="S903" s="985">
        <f>NhanCong!Z$179</f>
        <v>29192.307692307691</v>
      </c>
    </row>
    <row r="904" spans="1:21" s="240" customFormat="1" ht="26">
      <c r="A904" s="969" t="s">
        <v>271</v>
      </c>
      <c r="B904" s="970" t="str">
        <f>NhanCong!B$180</f>
        <v>Bổ sung sổ mục kê (công nhóm/100 thửa chỉnh lý)</v>
      </c>
      <c r="C904" s="983" t="s">
        <v>329</v>
      </c>
      <c r="D904" s="983" t="s">
        <v>679</v>
      </c>
      <c r="E904" s="984">
        <f>NhanCong!Y$180</f>
        <v>893621.30000000016</v>
      </c>
      <c r="F904" s="984"/>
      <c r="G904" s="985">
        <f>Dcu!Q$290</f>
        <v>13800.392222222223</v>
      </c>
      <c r="H904" s="985">
        <f>VLieu!J$170</f>
        <v>120500</v>
      </c>
      <c r="I904" s="985">
        <f>TBi!N$411</f>
        <v>6891.4414285714283</v>
      </c>
      <c r="J904" s="985">
        <f>TBi!N$414</f>
        <v>27379.800000000003</v>
      </c>
      <c r="K904" s="985">
        <f t="shared" si="291"/>
        <v>1062192.9336507937</v>
      </c>
      <c r="L904" s="905">
        <f t="shared" si="292"/>
        <v>159328.94004761905</v>
      </c>
      <c r="M904" s="986">
        <f t="shared" si="293"/>
        <v>1221521.8736984129</v>
      </c>
      <c r="N904" s="985"/>
      <c r="O904" s="271">
        <f>'DGSP_chitiet (truKH)'!K904</f>
        <v>1055301.4922222223</v>
      </c>
      <c r="P904" s="271">
        <f>'DGSP_chitiet (truKH)'!L904</f>
        <v>158295.22383333332</v>
      </c>
      <c r="Q904" s="306">
        <f>'DGSP_chitiet (truKH)'!M904</f>
        <v>1213596.7160555555</v>
      </c>
      <c r="R904" s="271">
        <f>'DGSP_chitiet (truKH)'!N904</f>
        <v>0</v>
      </c>
      <c r="S904" s="985">
        <f>NhanCong!Z$180</f>
        <v>25300</v>
      </c>
    </row>
    <row r="905" spans="1:21" s="240" customFormat="1" ht="26">
      <c r="A905" s="969" t="s">
        <v>365</v>
      </c>
      <c r="B905" s="970" t="str">
        <f>NhanCong!B$181</f>
        <v>Biên tập bản đồ và in (công nhóm/mảnh)</v>
      </c>
      <c r="C905" s="983" t="s">
        <v>317</v>
      </c>
      <c r="D905" s="983" t="s">
        <v>679</v>
      </c>
      <c r="E905" s="984">
        <f>NhanCong!Y$181</f>
        <v>324.60602777777785</v>
      </c>
      <c r="F905" s="984"/>
      <c r="G905" s="985">
        <f>Dcu!Q$304</f>
        <v>14.287119658119662</v>
      </c>
      <c r="H905" s="985">
        <f>VLieu!O$181</f>
        <v>93.45</v>
      </c>
      <c r="I905" s="985">
        <f>TBi!N$438</f>
        <v>4.1268714285714285</v>
      </c>
      <c r="J905" s="985">
        <f>TBi!N$442</f>
        <v>10.388000000000002</v>
      </c>
      <c r="K905" s="985">
        <f>SUM(E905:J905)</f>
        <v>446.85801886446887</v>
      </c>
      <c r="L905" s="905">
        <f t="shared" si="292"/>
        <v>67.028702829670323</v>
      </c>
      <c r="M905" s="986">
        <f>K905+L905</f>
        <v>513.88672169413917</v>
      </c>
      <c r="N905" s="985"/>
      <c r="O905" s="271">
        <f>'DGSP_chitiet (truKH)'!K905</f>
        <v>442.73114743589747</v>
      </c>
      <c r="P905" s="271">
        <f>'DGSP_chitiet (truKH)'!L905</f>
        <v>66.409672115384623</v>
      </c>
      <c r="Q905" s="306">
        <f>'DGSP_chitiet (truKH)'!M905</f>
        <v>509.14081955128211</v>
      </c>
      <c r="R905" s="271">
        <f>'DGSP_chitiet (truKH)'!N905</f>
        <v>0</v>
      </c>
      <c r="S905" s="985">
        <f>NhanCong!Z$181</f>
        <v>9.1901709401709404</v>
      </c>
    </row>
    <row r="906" spans="1:21" s="240" customFormat="1" ht="26">
      <c r="A906" s="969" t="s">
        <v>366</v>
      </c>
      <c r="B906" s="970" t="str">
        <f>NhanCong!B$182</f>
        <v>Xác nhận hồ sơ các cấp (công nhóm/mảnh)</v>
      </c>
      <c r="C906" s="983" t="s">
        <v>317</v>
      </c>
      <c r="D906" s="983" t="s">
        <v>679</v>
      </c>
      <c r="E906" s="984">
        <f>NhanCong!Y$182</f>
        <v>649.21205555555571</v>
      </c>
      <c r="F906" s="984"/>
      <c r="G906" s="985">
        <f>Dcu!Q$304</f>
        <v>14.287119658119662</v>
      </c>
      <c r="H906" s="985">
        <f>VLieu!O$181</f>
        <v>93.45</v>
      </c>
      <c r="I906" s="985">
        <f>TBi!N$438</f>
        <v>4.1268714285714285</v>
      </c>
      <c r="J906" s="985">
        <f>TBi!N$442</f>
        <v>10.388000000000002</v>
      </c>
      <c r="K906" s="985">
        <f>SUM(E906:J906)</f>
        <v>771.4640466422469</v>
      </c>
      <c r="L906" s="905">
        <f t="shared" si="292"/>
        <v>115.71960699633703</v>
      </c>
      <c r="M906" s="986">
        <f>K906+L906</f>
        <v>887.18365363858391</v>
      </c>
      <c r="N906" s="985"/>
      <c r="O906" s="271">
        <f>'DGSP_chitiet (truKH)'!K906</f>
        <v>767.33717521367544</v>
      </c>
      <c r="P906" s="271">
        <f>'DGSP_chitiet (truKH)'!L906</f>
        <v>115.10057628205131</v>
      </c>
      <c r="Q906" s="306">
        <f>'DGSP_chitiet (truKH)'!M906</f>
        <v>882.43775149572673</v>
      </c>
      <c r="R906" s="271">
        <f>'DGSP_chitiet (truKH)'!N906</f>
        <v>0</v>
      </c>
      <c r="S906" s="985">
        <f>NhanCong!Z$182</f>
        <v>18.380341880341881</v>
      </c>
    </row>
    <row r="907" spans="1:21" s="240" customFormat="1" ht="26">
      <c r="A907" s="969" t="s">
        <v>367</v>
      </c>
      <c r="B907" s="970" t="str">
        <f>NhanCong!B$183</f>
        <v>Giao nộp sản phẩm (công nhóm/mảnh)</v>
      </c>
      <c r="C907" s="983" t="s">
        <v>317</v>
      </c>
      <c r="D907" s="983" t="s">
        <v>679</v>
      </c>
      <c r="E907" s="984">
        <f>NhanCong!Y$183</f>
        <v>1298.4241111111114</v>
      </c>
      <c r="F907" s="984"/>
      <c r="G907" s="985">
        <f>Dcu!Q$304</f>
        <v>14.287119658119662</v>
      </c>
      <c r="H907" s="985">
        <f>VLieu!O$181</f>
        <v>93.45</v>
      </c>
      <c r="I907" s="985">
        <f>TBi!N$438</f>
        <v>4.1268714285714285</v>
      </c>
      <c r="J907" s="985">
        <f>TBi!N$442</f>
        <v>10.388000000000002</v>
      </c>
      <c r="K907" s="985">
        <f>SUM(E907:J907)</f>
        <v>1420.6761021978025</v>
      </c>
      <c r="L907" s="905">
        <f>K907*0.15</f>
        <v>213.10141532967037</v>
      </c>
      <c r="M907" s="986">
        <f>K907+L907</f>
        <v>1633.7775175274728</v>
      </c>
      <c r="N907" s="985"/>
      <c r="O907" s="271">
        <f>'DGSP_chitiet (truKH)'!K907</f>
        <v>1416.5492307692311</v>
      </c>
      <c r="P907" s="271">
        <f>'DGSP_chitiet (truKH)'!L907</f>
        <v>212.48238461538466</v>
      </c>
      <c r="Q907" s="306">
        <f>'DGSP_chitiet (truKH)'!M907</f>
        <v>1629.0316153846159</v>
      </c>
      <c r="R907" s="271">
        <f>'DGSP_chitiet (truKH)'!N907</f>
        <v>0</v>
      </c>
      <c r="S907" s="985">
        <f>NhanCong!Z$183</f>
        <v>36.760683760683762</v>
      </c>
    </row>
    <row r="908" spans="1:21" s="240" customFormat="1">
      <c r="A908" s="242" t="s">
        <v>37</v>
      </c>
      <c r="B908" s="276" t="s">
        <v>425</v>
      </c>
      <c r="C908" s="981" t="s">
        <v>349</v>
      </c>
      <c r="D908" s="275"/>
      <c r="E908" s="271"/>
      <c r="F908" s="271"/>
      <c r="G908" s="271"/>
      <c r="H908" s="271"/>
      <c r="I908" s="271"/>
      <c r="J908" s="271"/>
      <c r="K908" s="271"/>
      <c r="L908" s="271"/>
      <c r="M908" s="971">
        <v>100</v>
      </c>
      <c r="N908" s="271" t="s">
        <v>21</v>
      </c>
      <c r="O908" s="271">
        <f>'DGSP_chitiet (truKH)'!K908</f>
        <v>0</v>
      </c>
      <c r="P908" s="271">
        <f>'DGSP_chitiet (truKH)'!L908</f>
        <v>0</v>
      </c>
      <c r="Q908" s="306">
        <f>'DGSP_chitiet (truKH)'!M908</f>
        <v>100</v>
      </c>
      <c r="R908" s="271" t="str">
        <f>'DGSP_chitiet (truKH)'!N908</f>
        <v>ha</v>
      </c>
      <c r="S908" s="271"/>
    </row>
    <row r="909" spans="1:21" s="240" customFormat="1" ht="13.15" customHeight="1">
      <c r="A909" s="1005"/>
      <c r="B909" s="1014" t="s">
        <v>190</v>
      </c>
      <c r="C909" s="242">
        <f>HeSoKK!B34</f>
        <v>1.1000000000000001</v>
      </c>
      <c r="D909" s="242">
        <v>1</v>
      </c>
      <c r="E909" s="271">
        <f>E952/C909+(E956+E960)/100</f>
        <v>555265.61347222235</v>
      </c>
      <c r="F909" s="271">
        <f>F952/C909+(F956+F960)/100</f>
        <v>30417.538461538461</v>
      </c>
      <c r="G909" s="271">
        <f>G952/C909+(G956+G960)/100</f>
        <v>3016.9184498834497</v>
      </c>
      <c r="H909" s="271">
        <f>H952/C909+(H956+H960)/100</f>
        <v>3681288.0865909089</v>
      </c>
      <c r="I909" s="271">
        <f>I952/C909+(I956+I960)/100</f>
        <v>5520.4271428571428</v>
      </c>
      <c r="J909" s="271">
        <f>J952/C909+(J956+J960)/100</f>
        <v>46.968599999999995</v>
      </c>
      <c r="K909" s="271">
        <f t="shared" ref="K909:K916" si="294">SUM(E909:J909)</f>
        <v>4275555.552717411</v>
      </c>
      <c r="L909" s="271">
        <f>K909*0.25</f>
        <v>1068888.8881793527</v>
      </c>
      <c r="M909" s="272">
        <f t="shared" ref="M909:M916" si="295">K909+L909</f>
        <v>5344444.4408967635</v>
      </c>
      <c r="N909" s="271">
        <f>M909+M913</f>
        <v>5417131.7635989944</v>
      </c>
      <c r="O909" s="271">
        <f>'DGSP_chitiet (truKH)'!K909</f>
        <v>4270035.1255745534</v>
      </c>
      <c r="P909" s="271">
        <f>'DGSP_chitiet (truKH)'!L909</f>
        <v>1067508.7813936383</v>
      </c>
      <c r="Q909" s="306">
        <f>'DGSP_chitiet (truKH)'!M909</f>
        <v>5337543.9069681913</v>
      </c>
      <c r="R909" s="271">
        <f>'DGSP_chitiet (truKH)'!N909</f>
        <v>5409167.0967708277</v>
      </c>
      <c r="S909" s="271">
        <f>S952/C909+(S956+S960)/100</f>
        <v>15735.587606837606</v>
      </c>
      <c r="U909" s="241"/>
    </row>
    <row r="910" spans="1:21" s="240" customFormat="1" ht="13.15" customHeight="1">
      <c r="A910" s="1005"/>
      <c r="B910" s="1014"/>
      <c r="C910" s="242">
        <f>HeSoKK!D34</f>
        <v>3</v>
      </c>
      <c r="D910" s="242">
        <v>2</v>
      </c>
      <c r="E910" s="271">
        <f>E953/C910+(E957+E961)/100</f>
        <v>659146.188402778</v>
      </c>
      <c r="F910" s="271">
        <f>F953/C910+(F957+F961)/100</f>
        <v>36475.576923076922</v>
      </c>
      <c r="G910" s="271">
        <f>G953/C910+(G957+G961)/100</f>
        <v>3730.9376469017093</v>
      </c>
      <c r="H910" s="271">
        <f>H953/C910+(H957+H961)/100</f>
        <v>1351197.1775</v>
      </c>
      <c r="I910" s="271">
        <f>I953/C910+(I957+I961)/100</f>
        <v>6359.9271428571419</v>
      </c>
      <c r="J910" s="271">
        <f>J953/C910+(J957+J961)/100</f>
        <v>53.646599999999999</v>
      </c>
      <c r="K910" s="271">
        <f t="shared" si="294"/>
        <v>2056963.4542156137</v>
      </c>
      <c r="L910" s="271">
        <f>K910*0.25</f>
        <v>514240.86355390341</v>
      </c>
      <c r="M910" s="272">
        <f t="shared" si="295"/>
        <v>2571204.3177695172</v>
      </c>
      <c r="N910" s="271">
        <f>M910+M914</f>
        <v>2638729.5372839775</v>
      </c>
      <c r="O910" s="271">
        <f>'DGSP_chitiet (truKH)'!K910</f>
        <v>2050603.5270727566</v>
      </c>
      <c r="P910" s="271">
        <f>'DGSP_chitiet (truKH)'!L910</f>
        <v>512650.88176818914</v>
      </c>
      <c r="Q910" s="306">
        <f>'DGSP_chitiet (truKH)'!M910</f>
        <v>2563254.4088409459</v>
      </c>
      <c r="R910" s="271">
        <f>'DGSP_chitiet (truKH)'!N910</f>
        <v>2630111.7131856345</v>
      </c>
      <c r="S910" s="271">
        <f>S953/C910+(S957+S961)/100</f>
        <v>18668.210470085469</v>
      </c>
      <c r="U910" s="241"/>
    </row>
    <row r="911" spans="1:21" s="240" customFormat="1" ht="13.15" customHeight="1">
      <c r="A911" s="1005"/>
      <c r="B911" s="1014"/>
      <c r="C911" s="242">
        <f>HeSoKK!F34</f>
        <v>6</v>
      </c>
      <c r="D911" s="242">
        <v>3</v>
      </c>
      <c r="E911" s="271">
        <f>E954/C911+(E958+E962)/100</f>
        <v>794309.18072916684</v>
      </c>
      <c r="F911" s="271">
        <f>F954/C911+(F958+F962)/100</f>
        <v>43770.692307692312</v>
      </c>
      <c r="G911" s="271">
        <f>G954/C911+(G958+G962)/100</f>
        <v>4959.0637197293454</v>
      </c>
      <c r="H911" s="271">
        <f>H954/C911+(H958+H962)/100</f>
        <v>676697.17749999999</v>
      </c>
      <c r="I911" s="271">
        <f>I954/C911+(I958+I962)/100</f>
        <v>8479.2457142857147</v>
      </c>
      <c r="J911" s="271">
        <f>J954/C911+(J958+J962)/100</f>
        <v>71.677200000000013</v>
      </c>
      <c r="K911" s="271">
        <f t="shared" si="294"/>
        <v>1528287.037170874</v>
      </c>
      <c r="L911" s="271">
        <f>K911*0.25</f>
        <v>382071.75929271849</v>
      </c>
      <c r="M911" s="272">
        <f t="shared" si="295"/>
        <v>1910358.7964635924</v>
      </c>
      <c r="N911" s="271">
        <f>M911+M915</f>
        <v>1980749.506154862</v>
      </c>
      <c r="O911" s="271">
        <f>'DGSP_chitiet (truKH)'!K911</f>
        <v>1519807.7914565883</v>
      </c>
      <c r="P911" s="271">
        <f>'DGSP_chitiet (truKH)'!L911</f>
        <v>379951.94786414708</v>
      </c>
      <c r="Q911" s="306">
        <f>'DGSP_chitiet (truKH)'!M911</f>
        <v>1899759.7393207354</v>
      </c>
      <c r="R911" s="271">
        <f>'DGSP_chitiet (truKH)'!N911</f>
        <v>1969609.5335481509</v>
      </c>
      <c r="S911" s="271">
        <f>S954/C911+(S958+S962)/100</f>
        <v>22492.267628205125</v>
      </c>
      <c r="U911" s="241"/>
    </row>
    <row r="912" spans="1:21" s="240" customFormat="1" ht="13.15" customHeight="1">
      <c r="A912" s="1005"/>
      <c r="B912" s="1014"/>
      <c r="C912" s="242">
        <f>HeSoKK!H34</f>
        <v>8.5</v>
      </c>
      <c r="D912" s="242">
        <v>4</v>
      </c>
      <c r="E912" s="271">
        <f>E955/C912+(E959+E963)/100</f>
        <v>947185.52427205897</v>
      </c>
      <c r="F912" s="271">
        <f>F955/C912+(F959+F963)/100</f>
        <v>52539.384615384617</v>
      </c>
      <c r="G912" s="271">
        <f>G955/C912+(G959+G963)/100</f>
        <v>5449.9489768728017</v>
      </c>
      <c r="H912" s="271">
        <f>H955/C912+(H959+H963)/100</f>
        <v>478314.82455882354</v>
      </c>
      <c r="I912" s="271">
        <f>I955/C912+(I959+I963)/100</f>
        <v>9335.6507142857154</v>
      </c>
      <c r="J912" s="271">
        <f>J955/C912+(J959+J963)/100</f>
        <v>78.355200000000011</v>
      </c>
      <c r="K912" s="271">
        <f t="shared" si="294"/>
        <v>1492903.6883374257</v>
      </c>
      <c r="L912" s="271">
        <f>K912*0.25</f>
        <v>373225.92208435643</v>
      </c>
      <c r="M912" s="272">
        <f t="shared" si="295"/>
        <v>1866129.6104217821</v>
      </c>
      <c r="N912" s="271">
        <f>M912+M916</f>
        <v>1938019.4280961226</v>
      </c>
      <c r="O912" s="271">
        <f>'DGSP_chitiet (truKH)'!K912</f>
        <v>1483568.03762314</v>
      </c>
      <c r="P912" s="271">
        <f>'DGSP_chitiet (truKH)'!L912</f>
        <v>370892.00940578501</v>
      </c>
      <c r="Q912" s="306">
        <f>'DGSP_chitiet (truKH)'!M912</f>
        <v>1854460.047028925</v>
      </c>
      <c r="R912" s="271">
        <f>'DGSP_chitiet (truKH)'!N912</f>
        <v>1925834.3525239003</v>
      </c>
      <c r="S912" s="271">
        <f>S955/C912+(S959+S963)/100</f>
        <v>26819.860294117643</v>
      </c>
      <c r="U912" s="241"/>
    </row>
    <row r="913" spans="1:19" s="240" customFormat="1">
      <c r="A913" s="1005"/>
      <c r="B913" s="1014" t="s">
        <v>192</v>
      </c>
      <c r="C913" s="242">
        <f>C909</f>
        <v>1.1000000000000001</v>
      </c>
      <c r="D913" s="242">
        <v>1</v>
      </c>
      <c r="E913" s="271">
        <f>(E965+E975+E976+E977)/C913+(E969+E973+E974)/100</f>
        <v>46153.876388888901</v>
      </c>
      <c r="F913" s="271">
        <f>(F965+F975+F976+F977)/C913+(F969+F973+F974)/100</f>
        <v>0</v>
      </c>
      <c r="G913" s="271">
        <f>(G965+G975+G976+G977)/C913+(G969+G973+G974)/100</f>
        <v>1019.8131584629198</v>
      </c>
      <c r="H913" s="271">
        <f>(H965+H975+H976+H977)/C913+(H969+H973+H974)/100</f>
        <v>13915.92803030303</v>
      </c>
      <c r="I913" s="271">
        <f>(I965+I975+I976+I977)/C913+(I969+I973+I974)/100</f>
        <v>925.33295616883129</v>
      </c>
      <c r="J913" s="271">
        <f>(J965+J975+J976+J977)/C913+(J969+J973+J974)/100</f>
        <v>1191.4170333333334</v>
      </c>
      <c r="K913" s="271">
        <f t="shared" si="294"/>
        <v>63206.367567157016</v>
      </c>
      <c r="L913" s="271">
        <f>K913*0.15</f>
        <v>9480.9551350735528</v>
      </c>
      <c r="M913" s="272">
        <f t="shared" si="295"/>
        <v>72687.322702230565</v>
      </c>
      <c r="N913" s="271"/>
      <c r="O913" s="271">
        <f>'DGSP_chitiet (truKH)'!K913</f>
        <v>62281.034610988187</v>
      </c>
      <c r="P913" s="271">
        <f>'DGSP_chitiet (truKH)'!L913</f>
        <v>9342.1551916482276</v>
      </c>
      <c r="Q913" s="306">
        <f>'DGSP_chitiet (truKH)'!M913</f>
        <v>71623.189802636422</v>
      </c>
      <c r="R913" s="271">
        <f>'DGSP_chitiet (truKH)'!N913</f>
        <v>0</v>
      </c>
      <c r="S913" s="271">
        <f>(S965+S975+S976+S977)/C913+(S969+S973+S974)/100</f>
        <v>1246.8162393162393</v>
      </c>
    </row>
    <row r="914" spans="1:19" s="240" customFormat="1">
      <c r="A914" s="1005"/>
      <c r="B914" s="1014"/>
      <c r="C914" s="242">
        <f>C910</f>
        <v>3</v>
      </c>
      <c r="D914" s="242">
        <v>2</v>
      </c>
      <c r="E914" s="271">
        <f>(E966+E975+E976+E977)/C914+(E970+E973+E974)/100</f>
        <v>42197.118964814821</v>
      </c>
      <c r="F914" s="271">
        <f>(F966+F975+F976+F977)/C914+(F970+F973+F974)/100</f>
        <v>0</v>
      </c>
      <c r="G914" s="271">
        <f>(G966+G975+G976+G977)/C914+(G970+G973+G974)/100</f>
        <v>1024.266360759734</v>
      </c>
      <c r="H914" s="271">
        <f>(H966+H975+H976+H977)/C914+(H970+H973+H974)/100</f>
        <v>13805.140277777778</v>
      </c>
      <c r="I914" s="271">
        <f>(I966+I975+I976+I977)/C914+(I970+I973+I974)/100</f>
        <v>580.79579980158724</v>
      </c>
      <c r="J914" s="271">
        <f>(J966+J975+J976+J977)/C914+(J970+J973+J974)/100</f>
        <v>1110.2607833333334</v>
      </c>
      <c r="K914" s="271">
        <f t="shared" si="294"/>
        <v>58717.582186487249</v>
      </c>
      <c r="L914" s="271">
        <f>K914*0.15</f>
        <v>8807.6373279730869</v>
      </c>
      <c r="M914" s="272">
        <f t="shared" si="295"/>
        <v>67525.219514460332</v>
      </c>
      <c r="N914" s="271"/>
      <c r="O914" s="271">
        <f>'DGSP_chitiet (truKH)'!K914</f>
        <v>58136.786386685664</v>
      </c>
      <c r="P914" s="271">
        <f>'DGSP_chitiet (truKH)'!L914</f>
        <v>8720.5179580028489</v>
      </c>
      <c r="Q914" s="306">
        <f>'DGSP_chitiet (truKH)'!M914</f>
        <v>66857.304344688513</v>
      </c>
      <c r="R914" s="271">
        <f>'DGSP_chitiet (truKH)'!N914</f>
        <v>0</v>
      </c>
      <c r="S914" s="271">
        <f>(S966+S975+S976+S977)/C914+(S970+S973+S974)/100</f>
        <v>1128.8052706552705</v>
      </c>
    </row>
    <row r="915" spans="1:19" s="240" customFormat="1">
      <c r="A915" s="1005"/>
      <c r="B915" s="1014"/>
      <c r="C915" s="242">
        <f>C911</f>
        <v>6</v>
      </c>
      <c r="D915" s="242">
        <v>3</v>
      </c>
      <c r="E915" s="271">
        <f>(E967+E975+E976+E977)/C915+(E971+E973+E974)/100</f>
        <v>44689.370427777787</v>
      </c>
      <c r="F915" s="271">
        <f>(F967+F975+F976+F977)/C915+(F971+F973+F974)/100</f>
        <v>0</v>
      </c>
      <c r="G915" s="271">
        <f>(G967+G975+G976+G977)/C915+(G971+G973+G974)/100</f>
        <v>1123.6212215447927</v>
      </c>
      <c r="H915" s="271">
        <f>(H967+H975+H976+H977)/C915+(H971+H973+H974)/100</f>
        <v>13773.070138888888</v>
      </c>
      <c r="I915" s="271">
        <f>(I967+I975+I976+I977)/C915+(I971+I973+I974)/100</f>
        <v>470.36127291666662</v>
      </c>
      <c r="J915" s="271">
        <f>(J967+J975+J976+J977)/C915+(J971+J973+J974)/100</f>
        <v>1152.889713888889</v>
      </c>
      <c r="K915" s="271">
        <f t="shared" si="294"/>
        <v>61209.312775017024</v>
      </c>
      <c r="L915" s="271">
        <f>K915*0.15</f>
        <v>9181.3969162525536</v>
      </c>
      <c r="M915" s="272">
        <f t="shared" si="295"/>
        <v>70390.709691269585</v>
      </c>
      <c r="N915" s="271"/>
      <c r="O915" s="271">
        <f>'DGSP_chitiet (truKH)'!K915</f>
        <v>60738.951502100361</v>
      </c>
      <c r="P915" s="271">
        <f>'DGSP_chitiet (truKH)'!L915</f>
        <v>9110.842725315053</v>
      </c>
      <c r="Q915" s="306">
        <f>'DGSP_chitiet (truKH)'!M915</f>
        <v>69849.794227415419</v>
      </c>
      <c r="R915" s="271">
        <f>'DGSP_chitiet (truKH)'!N915</f>
        <v>0</v>
      </c>
      <c r="S915" s="271">
        <f>(S967+S975+S976+S977)/C915+(S971+S973+S974)/100</f>
        <v>1184.6670940170941</v>
      </c>
    </row>
    <row r="916" spans="1:19" s="240" customFormat="1">
      <c r="A916" s="1005"/>
      <c r="B916" s="1014"/>
      <c r="C916" s="242">
        <f>C912</f>
        <v>8.5</v>
      </c>
      <c r="D916" s="242">
        <v>4</v>
      </c>
      <c r="E916" s="271">
        <f>(E968+E975+E976+E977)/C916+(E972+E973+E974)/100</f>
        <v>45958.712188888894</v>
      </c>
      <c r="F916" s="271">
        <f>(F968+F975+F976+F977)/C916+(F972+F973+F974)/100</f>
        <v>0</v>
      </c>
      <c r="G916" s="271">
        <f>(G968+G975+G976+G977)/C916+(G972+G973+G974)/100</f>
        <v>1166.2117261790961</v>
      </c>
      <c r="H916" s="271">
        <f>(H968+H975+H976+H977)/C916+(H972+H973+H974)/100</f>
        <v>13763.63774509804</v>
      </c>
      <c r="I916" s="271">
        <f>(I968+I975+I976+I977)/C916+(I972+I973+I974)/100</f>
        <v>448.27146031746025</v>
      </c>
      <c r="J916" s="271">
        <f>(J968+J975+J976+J977)/C916+(J972+J973+J974)/100</f>
        <v>1176.0518137254903</v>
      </c>
      <c r="K916" s="271">
        <f t="shared" si="294"/>
        <v>62512.884934208982</v>
      </c>
      <c r="L916" s="271">
        <f>K916*0.15</f>
        <v>9376.9327401313476</v>
      </c>
      <c r="M916" s="272">
        <f t="shared" si="295"/>
        <v>71889.817674340331</v>
      </c>
      <c r="N916" s="271"/>
      <c r="O916" s="271">
        <f>'DGSP_chitiet (truKH)'!K916</f>
        <v>62064.613473891521</v>
      </c>
      <c r="P916" s="271">
        <f>'DGSP_chitiet (truKH)'!L916</f>
        <v>9309.692021083727</v>
      </c>
      <c r="Q916" s="306">
        <f>'DGSP_chitiet (truKH)'!M916</f>
        <v>71374.30549497524</v>
      </c>
      <c r="R916" s="271">
        <f>'DGSP_chitiet (truKH)'!N916</f>
        <v>0</v>
      </c>
      <c r="S916" s="271">
        <f>(S968+S975+S976+S977)/C916+(S972+S973+S974)/100</f>
        <v>1214.6162393162392</v>
      </c>
    </row>
    <row r="917" spans="1:19" s="240" customFormat="1" ht="13.5">
      <c r="A917" s="242"/>
      <c r="B917" s="277"/>
      <c r="C917" s="242"/>
      <c r="D917" s="242"/>
      <c r="E917" s="271"/>
      <c r="F917" s="271"/>
      <c r="G917" s="271"/>
      <c r="H917" s="271"/>
      <c r="I917" s="271"/>
      <c r="J917" s="271"/>
      <c r="K917" s="271"/>
      <c r="L917" s="271"/>
      <c r="M917" s="272"/>
      <c r="N917" s="271"/>
      <c r="O917" s="271">
        <f>'DGSP_chitiet (truKH)'!K917</f>
        <v>0</v>
      </c>
      <c r="P917" s="271">
        <f>'DGSP_chitiet (truKH)'!L917</f>
        <v>0</v>
      </c>
      <c r="Q917" s="306">
        <f>'DGSP_chitiet (truKH)'!M917</f>
        <v>0</v>
      </c>
      <c r="R917" s="271">
        <f>'DGSP_chitiet (truKH)'!N917</f>
        <v>0</v>
      </c>
      <c r="S917" s="271"/>
    </row>
    <row r="918" spans="1:19" s="240" customFormat="1" ht="13.5">
      <c r="A918" s="242"/>
      <c r="B918" s="277" t="s">
        <v>332</v>
      </c>
      <c r="C918" s="242"/>
      <c r="D918" s="242"/>
      <c r="E918" s="271"/>
      <c r="F918" s="271"/>
      <c r="G918" s="271"/>
      <c r="H918" s="271"/>
      <c r="I918" s="271"/>
      <c r="J918" s="271"/>
      <c r="K918" s="271"/>
      <c r="L918" s="271"/>
      <c r="M918" s="272"/>
      <c r="N918" s="271"/>
      <c r="O918" s="271">
        <f>'DGSP_chitiet (truKH)'!K918</f>
        <v>0</v>
      </c>
      <c r="P918" s="271">
        <f>'DGSP_chitiet (truKH)'!L918</f>
        <v>0</v>
      </c>
      <c r="Q918" s="306">
        <f>'DGSP_chitiet (truKH)'!M918</f>
        <v>0</v>
      </c>
      <c r="R918" s="271">
        <f>'DGSP_chitiet (truKH)'!N918</f>
        <v>0</v>
      </c>
      <c r="S918" s="271"/>
    </row>
    <row r="919" spans="1:19" s="240" customFormat="1" ht="13.5">
      <c r="A919" s="242" t="s">
        <v>499</v>
      </c>
      <c r="B919" s="277" t="s">
        <v>333</v>
      </c>
      <c r="C919" s="242"/>
      <c r="D919" s="242"/>
      <c r="E919" s="271"/>
      <c r="F919" s="271"/>
      <c r="G919" s="271"/>
      <c r="H919" s="271"/>
      <c r="I919" s="271"/>
      <c r="J919" s="271"/>
      <c r="K919" s="271"/>
      <c r="L919" s="271"/>
      <c r="M919" s="272"/>
      <c r="N919" s="271"/>
      <c r="O919" s="271">
        <f>'DGSP_chitiet (truKH)'!K919</f>
        <v>0</v>
      </c>
      <c r="P919" s="271">
        <f>'DGSP_chitiet (truKH)'!L919</f>
        <v>0</v>
      </c>
      <c r="Q919" s="306">
        <f>'DGSP_chitiet (truKH)'!M919</f>
        <v>0</v>
      </c>
      <c r="R919" s="271">
        <f>'DGSP_chitiet (truKH)'!N919</f>
        <v>0</v>
      </c>
      <c r="S919" s="271"/>
    </row>
    <row r="920" spans="1:19" s="240" customFormat="1" ht="13.15" customHeight="1">
      <c r="A920" s="1005"/>
      <c r="B920" s="1006" t="s">
        <v>330</v>
      </c>
      <c r="C920" s="1005" t="s">
        <v>49</v>
      </c>
      <c r="D920" s="242">
        <v>1</v>
      </c>
      <c r="E920" s="271">
        <f t="shared" ref="E920:J923" si="296">E909-E956/100</f>
        <v>520465.93784722232</v>
      </c>
      <c r="F920" s="271">
        <f t="shared" si="296"/>
        <v>30417.538461538461</v>
      </c>
      <c r="G920" s="271">
        <f t="shared" si="296"/>
        <v>2534.8426806526804</v>
      </c>
      <c r="H920" s="271">
        <f t="shared" si="296"/>
        <v>3681183.459090909</v>
      </c>
      <c r="I920" s="271">
        <f t="shared" si="296"/>
        <v>5101.0714285714284</v>
      </c>
      <c r="J920" s="271">
        <f t="shared" si="296"/>
        <v>43.406999999999996</v>
      </c>
      <c r="K920" s="271">
        <f t="shared" ref="K920:K927" si="297">SUM(E920:J920)</f>
        <v>4239746.2565088943</v>
      </c>
      <c r="L920" s="271">
        <f>K920*0.25</f>
        <v>1059936.5641272236</v>
      </c>
      <c r="M920" s="272">
        <f t="shared" ref="M920:M927" si="298">K920+L920</f>
        <v>5299682.8206361178</v>
      </c>
      <c r="N920" s="271">
        <f>M920+M924</f>
        <v>5372370.1433383487</v>
      </c>
      <c r="O920" s="271">
        <f>'DGSP_chitiet (truKH)'!K920</f>
        <v>4234645.1850803224</v>
      </c>
      <c r="P920" s="271">
        <f>'DGSP_chitiet (truKH)'!L920</f>
        <v>1058661.2962700806</v>
      </c>
      <c r="Q920" s="306">
        <f>'DGSP_chitiet (truKH)'!M920</f>
        <v>5293306.4813504033</v>
      </c>
      <c r="R920" s="271">
        <f>'DGSP_chitiet (truKH)'!N920</f>
        <v>5364929.6711530397</v>
      </c>
      <c r="S920" s="271">
        <f>S909-S956/100</f>
        <v>14750.347222222221</v>
      </c>
    </row>
    <row r="921" spans="1:19" s="240" customFormat="1" ht="13.15" customHeight="1">
      <c r="A921" s="1005"/>
      <c r="B921" s="1006"/>
      <c r="C921" s="1005"/>
      <c r="D921" s="242">
        <v>2</v>
      </c>
      <c r="E921" s="271">
        <f t="shared" si="296"/>
        <v>619191.00527777802</v>
      </c>
      <c r="F921" s="271">
        <f t="shared" si="296"/>
        <v>36475.576923076922</v>
      </c>
      <c r="G921" s="271">
        <f t="shared" si="296"/>
        <v>3128.3429353632478</v>
      </c>
      <c r="H921" s="271">
        <f t="shared" si="296"/>
        <v>1351092.55</v>
      </c>
      <c r="I921" s="271">
        <f t="shared" si="296"/>
        <v>5883.4328571428559</v>
      </c>
      <c r="J921" s="271">
        <f t="shared" si="296"/>
        <v>49.194600000000001</v>
      </c>
      <c r="K921" s="271">
        <f t="shared" si="297"/>
        <v>2015820.1025933609</v>
      </c>
      <c r="L921" s="271">
        <f>K921*0.25</f>
        <v>503955.02564834023</v>
      </c>
      <c r="M921" s="272">
        <f t="shared" si="298"/>
        <v>2519775.1282417011</v>
      </c>
      <c r="N921" s="271">
        <f>M921+M925</f>
        <v>2587300.3477561614</v>
      </c>
      <c r="O921" s="271">
        <f>'DGSP_chitiet (truKH)'!K921</f>
        <v>2009936.6697362182</v>
      </c>
      <c r="P921" s="271">
        <f>'DGSP_chitiet (truKH)'!L921</f>
        <v>502484.16743405454</v>
      </c>
      <c r="Q921" s="306">
        <f>'DGSP_chitiet (truKH)'!M921</f>
        <v>2512420.8371702726</v>
      </c>
      <c r="R921" s="271">
        <f>'DGSP_chitiet (truKH)'!N921</f>
        <v>2579278.1415149611</v>
      </c>
      <c r="S921" s="271">
        <f>S910-S957/100</f>
        <v>17537.008547008547</v>
      </c>
    </row>
    <row r="922" spans="1:19" s="240" customFormat="1" ht="13.15" customHeight="1">
      <c r="A922" s="1005"/>
      <c r="B922" s="1006"/>
      <c r="C922" s="1005"/>
      <c r="D922" s="242">
        <v>3</v>
      </c>
      <c r="E922" s="271">
        <f t="shared" si="296"/>
        <v>741035.60322916682</v>
      </c>
      <c r="F922" s="271">
        <f t="shared" si="296"/>
        <v>43770.692307692312</v>
      </c>
      <c r="G922" s="271">
        <f t="shared" si="296"/>
        <v>4155.6041043447294</v>
      </c>
      <c r="H922" s="271">
        <f t="shared" si="296"/>
        <v>676592.55</v>
      </c>
      <c r="I922" s="271">
        <f t="shared" si="296"/>
        <v>7850.2121428571427</v>
      </c>
      <c r="J922" s="271">
        <f t="shared" si="296"/>
        <v>66.557400000000015</v>
      </c>
      <c r="K922" s="271">
        <f t="shared" si="297"/>
        <v>1473471.2191840613</v>
      </c>
      <c r="L922" s="271">
        <f>K922*0.25</f>
        <v>368367.80479601532</v>
      </c>
      <c r="M922" s="272">
        <f t="shared" si="298"/>
        <v>1841839.0239800767</v>
      </c>
      <c r="N922" s="271">
        <f>M922+M926</f>
        <v>1912229.7336713462</v>
      </c>
      <c r="O922" s="271">
        <f>'DGSP_chitiet (truKH)'!K922</f>
        <v>1465621.007041204</v>
      </c>
      <c r="P922" s="271">
        <f>'DGSP_chitiet (truKH)'!L922</f>
        <v>366405.25176030101</v>
      </c>
      <c r="Q922" s="306">
        <f>'DGSP_chitiet (truKH)'!M922</f>
        <v>1832026.258801505</v>
      </c>
      <c r="R922" s="271">
        <f>'DGSP_chitiet (truKH)'!N922</f>
        <v>1901876.0530289204</v>
      </c>
      <c r="S922" s="271">
        <f>S911-S958/100</f>
        <v>20983.998397435895</v>
      </c>
    </row>
    <row r="923" spans="1:19" s="240" customFormat="1" ht="13.15" customHeight="1">
      <c r="A923" s="1005"/>
      <c r="B923" s="1006"/>
      <c r="C923" s="1005"/>
      <c r="D923" s="242">
        <v>4</v>
      </c>
      <c r="E923" s="271">
        <f t="shared" si="296"/>
        <v>888756.43927205889</v>
      </c>
      <c r="F923" s="271">
        <f t="shared" si="296"/>
        <v>52539.384615384617</v>
      </c>
      <c r="G923" s="271">
        <f t="shared" si="296"/>
        <v>4566.1433999497249</v>
      </c>
      <c r="H923" s="271">
        <f t="shared" si="296"/>
        <v>478210.19705882354</v>
      </c>
      <c r="I923" s="271">
        <f t="shared" si="296"/>
        <v>8638.2085714285731</v>
      </c>
      <c r="J923" s="271">
        <f t="shared" si="296"/>
        <v>72.345000000000013</v>
      </c>
      <c r="K923" s="271">
        <f t="shared" si="297"/>
        <v>1432782.7179176454</v>
      </c>
      <c r="L923" s="271">
        <f>K923*0.25</f>
        <v>358195.67947941134</v>
      </c>
      <c r="M923" s="272">
        <f t="shared" si="298"/>
        <v>1790978.3973970567</v>
      </c>
      <c r="N923" s="271">
        <f>M923+M927</f>
        <v>1862868.2150713969</v>
      </c>
      <c r="O923" s="271">
        <f>'DGSP_chitiet (truKH)'!K923</f>
        <v>1424144.5093462167</v>
      </c>
      <c r="P923" s="271">
        <f>'DGSP_chitiet (truKH)'!L923</f>
        <v>356036.12733655417</v>
      </c>
      <c r="Q923" s="306">
        <f>'DGSP_chitiet (truKH)'!M923</f>
        <v>1780180.6366827709</v>
      </c>
      <c r="R923" s="271">
        <f>'DGSP_chitiet (truKH)'!N923</f>
        <v>1851554.9421777462</v>
      </c>
      <c r="S923" s="271">
        <f>S912-S959/100</f>
        <v>25165.629524886874</v>
      </c>
    </row>
    <row r="924" spans="1:19" s="240" customFormat="1">
      <c r="A924" s="1005"/>
      <c r="B924" s="1006" t="s">
        <v>331</v>
      </c>
      <c r="C924" s="1005" t="s">
        <v>49</v>
      </c>
      <c r="D924" s="242">
        <v>1</v>
      </c>
      <c r="E924" s="271">
        <f t="shared" ref="E924:J927" si="299">E913</f>
        <v>46153.876388888901</v>
      </c>
      <c r="F924" s="271">
        <f t="shared" si="299"/>
        <v>0</v>
      </c>
      <c r="G924" s="271">
        <f t="shared" si="299"/>
        <v>1019.8131584629198</v>
      </c>
      <c r="H924" s="271">
        <f t="shared" si="299"/>
        <v>13915.92803030303</v>
      </c>
      <c r="I924" s="271">
        <f t="shared" si="299"/>
        <v>925.33295616883129</v>
      </c>
      <c r="J924" s="271">
        <f t="shared" si="299"/>
        <v>1191.4170333333334</v>
      </c>
      <c r="K924" s="271">
        <f t="shared" si="297"/>
        <v>63206.367567157016</v>
      </c>
      <c r="L924" s="271">
        <f>K924*0.15</f>
        <v>9480.9551350735528</v>
      </c>
      <c r="M924" s="272">
        <f t="shared" si="298"/>
        <v>72687.322702230565</v>
      </c>
      <c r="N924" s="271"/>
      <c r="O924" s="271">
        <f>'DGSP_chitiet (truKH)'!K924</f>
        <v>62281.034610988187</v>
      </c>
      <c r="P924" s="271">
        <f>'DGSP_chitiet (truKH)'!L924</f>
        <v>9342.1551916482276</v>
      </c>
      <c r="Q924" s="306">
        <f>'DGSP_chitiet (truKH)'!M924</f>
        <v>71623.189802636422</v>
      </c>
      <c r="R924" s="271">
        <f>'DGSP_chitiet (truKH)'!N924</f>
        <v>0</v>
      </c>
      <c r="S924" s="271">
        <f t="shared" ref="S924:S927" si="300">S913</f>
        <v>1246.8162393162393</v>
      </c>
    </row>
    <row r="925" spans="1:19" s="240" customFormat="1">
      <c r="A925" s="1005"/>
      <c r="B925" s="1014"/>
      <c r="C925" s="1005"/>
      <c r="D925" s="242">
        <v>2</v>
      </c>
      <c r="E925" s="271">
        <f t="shared" si="299"/>
        <v>42197.118964814821</v>
      </c>
      <c r="F925" s="271">
        <f t="shared" si="299"/>
        <v>0</v>
      </c>
      <c r="G925" s="271">
        <f t="shared" si="299"/>
        <v>1024.266360759734</v>
      </c>
      <c r="H925" s="271">
        <f t="shared" si="299"/>
        <v>13805.140277777778</v>
      </c>
      <c r="I925" s="271">
        <f t="shared" si="299"/>
        <v>580.79579980158724</v>
      </c>
      <c r="J925" s="271">
        <f t="shared" si="299"/>
        <v>1110.2607833333334</v>
      </c>
      <c r="K925" s="271">
        <f t="shared" si="297"/>
        <v>58717.582186487249</v>
      </c>
      <c r="L925" s="271">
        <f>K925*0.15</f>
        <v>8807.6373279730869</v>
      </c>
      <c r="M925" s="272">
        <f t="shared" si="298"/>
        <v>67525.219514460332</v>
      </c>
      <c r="N925" s="271"/>
      <c r="O925" s="271">
        <f>'DGSP_chitiet (truKH)'!K925</f>
        <v>58136.786386685664</v>
      </c>
      <c r="P925" s="271">
        <f>'DGSP_chitiet (truKH)'!L925</f>
        <v>8720.5179580028489</v>
      </c>
      <c r="Q925" s="306">
        <f>'DGSP_chitiet (truKH)'!M925</f>
        <v>66857.304344688513</v>
      </c>
      <c r="R925" s="271">
        <f>'DGSP_chitiet (truKH)'!N925</f>
        <v>0</v>
      </c>
      <c r="S925" s="271">
        <f t="shared" si="300"/>
        <v>1128.8052706552705</v>
      </c>
    </row>
    <row r="926" spans="1:19" s="240" customFormat="1">
      <c r="A926" s="1005"/>
      <c r="B926" s="1014"/>
      <c r="C926" s="1005"/>
      <c r="D926" s="242">
        <v>3</v>
      </c>
      <c r="E926" s="271">
        <f t="shared" si="299"/>
        <v>44689.370427777787</v>
      </c>
      <c r="F926" s="271">
        <f t="shared" si="299"/>
        <v>0</v>
      </c>
      <c r="G926" s="271">
        <f t="shared" si="299"/>
        <v>1123.6212215447927</v>
      </c>
      <c r="H926" s="271">
        <f t="shared" si="299"/>
        <v>13773.070138888888</v>
      </c>
      <c r="I926" s="271">
        <f t="shared" si="299"/>
        <v>470.36127291666662</v>
      </c>
      <c r="J926" s="271">
        <f t="shared" si="299"/>
        <v>1152.889713888889</v>
      </c>
      <c r="K926" s="271">
        <f t="shared" si="297"/>
        <v>61209.312775017024</v>
      </c>
      <c r="L926" s="271">
        <f>K926*0.15</f>
        <v>9181.3969162525536</v>
      </c>
      <c r="M926" s="272">
        <f t="shared" si="298"/>
        <v>70390.709691269585</v>
      </c>
      <c r="N926" s="271"/>
      <c r="O926" s="271">
        <f>'DGSP_chitiet (truKH)'!K926</f>
        <v>60738.951502100361</v>
      </c>
      <c r="P926" s="271">
        <f>'DGSP_chitiet (truKH)'!L926</f>
        <v>9110.842725315053</v>
      </c>
      <c r="Q926" s="306">
        <f>'DGSP_chitiet (truKH)'!M926</f>
        <v>69849.794227415419</v>
      </c>
      <c r="R926" s="271">
        <f>'DGSP_chitiet (truKH)'!N926</f>
        <v>0</v>
      </c>
      <c r="S926" s="271">
        <f t="shared" si="300"/>
        <v>1184.6670940170941</v>
      </c>
    </row>
    <row r="927" spans="1:19" s="240" customFormat="1">
      <c r="A927" s="1005"/>
      <c r="B927" s="1014"/>
      <c r="C927" s="1005"/>
      <c r="D927" s="242">
        <v>4</v>
      </c>
      <c r="E927" s="271">
        <f t="shared" si="299"/>
        <v>45958.712188888894</v>
      </c>
      <c r="F927" s="271">
        <f t="shared" si="299"/>
        <v>0</v>
      </c>
      <c r="G927" s="271">
        <f t="shared" si="299"/>
        <v>1166.2117261790961</v>
      </c>
      <c r="H927" s="271">
        <f t="shared" si="299"/>
        <v>13763.63774509804</v>
      </c>
      <c r="I927" s="271">
        <f t="shared" si="299"/>
        <v>448.27146031746025</v>
      </c>
      <c r="J927" s="271">
        <f t="shared" si="299"/>
        <v>1176.0518137254903</v>
      </c>
      <c r="K927" s="271">
        <f t="shared" si="297"/>
        <v>62512.884934208982</v>
      </c>
      <c r="L927" s="271">
        <f>K927*0.15</f>
        <v>9376.9327401313476</v>
      </c>
      <c r="M927" s="272">
        <f t="shared" si="298"/>
        <v>71889.817674340331</v>
      </c>
      <c r="N927" s="271"/>
      <c r="O927" s="271">
        <f>'DGSP_chitiet (truKH)'!K927</f>
        <v>62064.613473891521</v>
      </c>
      <c r="P927" s="271">
        <f>'DGSP_chitiet (truKH)'!L927</f>
        <v>9309.692021083727</v>
      </c>
      <c r="Q927" s="306">
        <f>'DGSP_chitiet (truKH)'!M927</f>
        <v>71374.30549497524</v>
      </c>
      <c r="R927" s="271">
        <f>'DGSP_chitiet (truKH)'!N927</f>
        <v>0</v>
      </c>
      <c r="S927" s="271">
        <f t="shared" si="300"/>
        <v>1214.6162393162392</v>
      </c>
    </row>
    <row r="928" spans="1:19" s="240" customFormat="1" ht="13.5">
      <c r="A928" s="242" t="s">
        <v>500</v>
      </c>
      <c r="B928" s="277" t="s">
        <v>423</v>
      </c>
      <c r="C928" s="242"/>
      <c r="D928" s="242"/>
      <c r="E928" s="271"/>
      <c r="F928" s="271"/>
      <c r="G928" s="271"/>
      <c r="H928" s="271"/>
      <c r="I928" s="271"/>
      <c r="J928" s="271"/>
      <c r="K928" s="271"/>
      <c r="L928" s="271"/>
      <c r="M928" s="272"/>
      <c r="N928" s="271"/>
      <c r="O928" s="271">
        <f>'DGSP_chitiet (truKH)'!K928</f>
        <v>0</v>
      </c>
      <c r="P928" s="271">
        <f>'DGSP_chitiet (truKH)'!L928</f>
        <v>0</v>
      </c>
      <c r="Q928" s="306">
        <f>'DGSP_chitiet (truKH)'!M928</f>
        <v>0</v>
      </c>
      <c r="R928" s="271">
        <f>'DGSP_chitiet (truKH)'!N928</f>
        <v>0</v>
      </c>
      <c r="S928" s="271"/>
    </row>
    <row r="929" spans="1:19" s="240" customFormat="1">
      <c r="A929" s="1005"/>
      <c r="B929" s="1006" t="s">
        <v>330</v>
      </c>
      <c r="C929" s="1005" t="s">
        <v>21</v>
      </c>
      <c r="D929" s="242">
        <v>1</v>
      </c>
      <c r="E929" s="271">
        <f t="shared" ref="E929:G936" si="301">E909*0.9</f>
        <v>499739.0521250001</v>
      </c>
      <c r="F929" s="271">
        <f t="shared" si="301"/>
        <v>27375.784615384615</v>
      </c>
      <c r="G929" s="271">
        <f t="shared" si="301"/>
        <v>2715.2266048951046</v>
      </c>
      <c r="H929" s="271">
        <f t="shared" ref="H929:H936" si="302">H909</f>
        <v>3681288.0865909089</v>
      </c>
      <c r="I929" s="271">
        <f t="shared" ref="I929:J936" si="303">I909*0.9</f>
        <v>4968.3844285714285</v>
      </c>
      <c r="J929" s="271">
        <f t="shared" si="303"/>
        <v>42.271739999999994</v>
      </c>
      <c r="K929" s="271">
        <f t="shared" ref="K929:K936" si="304">SUM(E929:J929)</f>
        <v>4216128.8061047597</v>
      </c>
      <c r="L929" s="271">
        <f>K929*0.25</f>
        <v>1054032.2015261899</v>
      </c>
      <c r="M929" s="272">
        <f t="shared" ref="M929:M936" si="305">K929+L929</f>
        <v>5270161.0076309498</v>
      </c>
      <c r="N929" s="271">
        <f>M929+M933</f>
        <v>5337179.9297864418</v>
      </c>
      <c r="O929" s="271">
        <f>'DGSP_chitiet (truKH)'!K929</f>
        <v>4211160.4216761887</v>
      </c>
      <c r="P929" s="271">
        <f>'DGSP_chitiet (truKH)'!L929</f>
        <v>1052790.1054190472</v>
      </c>
      <c r="Q929" s="306">
        <f>'DGSP_chitiet (truKH)'!M929</f>
        <v>5263950.5270952359</v>
      </c>
      <c r="R929" s="271">
        <f>'DGSP_chitiet (truKH)'!N929</f>
        <v>5330011.7296410939</v>
      </c>
      <c r="S929" s="271">
        <f t="shared" ref="S929:S936" si="306">S909*0.9</f>
        <v>14162.028846153846</v>
      </c>
    </row>
    <row r="930" spans="1:19" s="240" customFormat="1">
      <c r="A930" s="1005"/>
      <c r="B930" s="1014"/>
      <c r="C930" s="1005"/>
      <c r="D930" s="242">
        <v>2</v>
      </c>
      <c r="E930" s="271">
        <f t="shared" si="301"/>
        <v>593231.56956250023</v>
      </c>
      <c r="F930" s="271">
        <f t="shared" si="301"/>
        <v>32828.019230769234</v>
      </c>
      <c r="G930" s="271">
        <f t="shared" si="301"/>
        <v>3357.8438822115386</v>
      </c>
      <c r="H930" s="271">
        <f t="shared" si="302"/>
        <v>1351197.1775</v>
      </c>
      <c r="I930" s="271">
        <f t="shared" si="303"/>
        <v>5723.9344285714278</v>
      </c>
      <c r="J930" s="271">
        <f t="shared" si="303"/>
        <v>48.281939999999999</v>
      </c>
      <c r="K930" s="271">
        <f t="shared" si="304"/>
        <v>1986386.8265440525</v>
      </c>
      <c r="L930" s="271">
        <f>K930*0.25</f>
        <v>496596.70663601311</v>
      </c>
      <c r="M930" s="272">
        <f t="shared" si="305"/>
        <v>2482983.5331800655</v>
      </c>
      <c r="N930" s="271">
        <f>M930+M934</f>
        <v>2545343.8218750241</v>
      </c>
      <c r="O930" s="271">
        <f>'DGSP_chitiet (truKH)'!K930</f>
        <v>1980662.892115481</v>
      </c>
      <c r="P930" s="271">
        <f>'DGSP_chitiet (truKH)'!L930</f>
        <v>495165.72302887024</v>
      </c>
      <c r="Q930" s="306">
        <f>'DGSP_chitiet (truKH)'!M930</f>
        <v>2475828.615144351</v>
      </c>
      <c r="R930" s="271">
        <f>'DGSP_chitiet (truKH)'!N930</f>
        <v>2537587.7801865153</v>
      </c>
      <c r="S930" s="271">
        <f t="shared" si="306"/>
        <v>16801.389423076922</v>
      </c>
    </row>
    <row r="931" spans="1:19" s="240" customFormat="1">
      <c r="A931" s="1005"/>
      <c r="B931" s="1014"/>
      <c r="C931" s="1005"/>
      <c r="D931" s="242">
        <v>3</v>
      </c>
      <c r="E931" s="271">
        <f t="shared" si="301"/>
        <v>714878.26265625015</v>
      </c>
      <c r="F931" s="271">
        <f t="shared" si="301"/>
        <v>39393.623076923082</v>
      </c>
      <c r="G931" s="271">
        <f t="shared" si="301"/>
        <v>4463.1573477564107</v>
      </c>
      <c r="H931" s="271">
        <f t="shared" si="302"/>
        <v>676697.17749999999</v>
      </c>
      <c r="I931" s="271">
        <f t="shared" si="303"/>
        <v>7631.3211428571431</v>
      </c>
      <c r="J931" s="271">
        <f t="shared" si="303"/>
        <v>64.509480000000011</v>
      </c>
      <c r="K931" s="271">
        <f t="shared" si="304"/>
        <v>1443128.0512037869</v>
      </c>
      <c r="L931" s="271">
        <f>K931*0.25</f>
        <v>360782.01280094672</v>
      </c>
      <c r="M931" s="272">
        <f t="shared" si="305"/>
        <v>1803910.0640047337</v>
      </c>
      <c r="N931" s="271">
        <f>M931+M935</f>
        <v>1868845.6057928486</v>
      </c>
      <c r="O931" s="271">
        <f>'DGSP_chitiet (truKH)'!K931</f>
        <v>1435496.7300609297</v>
      </c>
      <c r="P931" s="271">
        <f>'DGSP_chitiet (truKH)'!L931</f>
        <v>358874.18251523242</v>
      </c>
      <c r="Q931" s="306">
        <f>'DGSP_chitiet (truKH)'!M931</f>
        <v>1794370.912576162</v>
      </c>
      <c r="R931" s="271">
        <f>'DGSP_chitiet (truKH)'!N931</f>
        <v>1858819.6304468082</v>
      </c>
      <c r="S931" s="271">
        <f t="shared" si="306"/>
        <v>20243.040865384613</v>
      </c>
    </row>
    <row r="932" spans="1:19" s="240" customFormat="1">
      <c r="A932" s="1005"/>
      <c r="B932" s="1014"/>
      <c r="C932" s="1005"/>
      <c r="D932" s="242">
        <v>4</v>
      </c>
      <c r="E932" s="271">
        <f t="shared" si="301"/>
        <v>852466.97184485313</v>
      </c>
      <c r="F932" s="271">
        <f t="shared" si="301"/>
        <v>47285.446153846155</v>
      </c>
      <c r="G932" s="271">
        <f t="shared" si="301"/>
        <v>4904.9540791855216</v>
      </c>
      <c r="H932" s="271">
        <f t="shared" si="302"/>
        <v>478314.82455882354</v>
      </c>
      <c r="I932" s="271">
        <f t="shared" si="303"/>
        <v>8402.0856428571442</v>
      </c>
      <c r="J932" s="271">
        <f t="shared" si="303"/>
        <v>70.519680000000008</v>
      </c>
      <c r="K932" s="271">
        <f t="shared" si="304"/>
        <v>1391444.8019595654</v>
      </c>
      <c r="L932" s="271">
        <f>K932*0.25</f>
        <v>347861.20048989134</v>
      </c>
      <c r="M932" s="272">
        <f t="shared" si="305"/>
        <v>1739306.0024494566</v>
      </c>
      <c r="N932" s="271">
        <f>M932+M936</f>
        <v>1805589.6566970493</v>
      </c>
      <c r="O932" s="271">
        <f>'DGSP_chitiet (truKH)'!K932</f>
        <v>1383042.7163167081</v>
      </c>
      <c r="P932" s="271">
        <f>'DGSP_chitiet (truKH)'!L932</f>
        <v>345760.67907917703</v>
      </c>
      <c r="Q932" s="306">
        <f>'DGSP_chitiet (truKH)'!M932</f>
        <v>1728803.3953958852</v>
      </c>
      <c r="R932" s="271">
        <f>'DGSP_chitiet (truKH)'!N932</f>
        <v>1794623.0886820492</v>
      </c>
      <c r="S932" s="271">
        <f t="shared" si="306"/>
        <v>24137.874264705879</v>
      </c>
    </row>
    <row r="933" spans="1:19" s="240" customFormat="1">
      <c r="A933" s="1005"/>
      <c r="B933" s="1006" t="s">
        <v>331</v>
      </c>
      <c r="C933" s="1005" t="s">
        <v>21</v>
      </c>
      <c r="D933" s="275" t="s">
        <v>18</v>
      </c>
      <c r="E933" s="271">
        <f t="shared" si="301"/>
        <v>41538.488750000011</v>
      </c>
      <c r="F933" s="271">
        <f t="shared" si="301"/>
        <v>0</v>
      </c>
      <c r="G933" s="271">
        <f t="shared" si="301"/>
        <v>917.8318426166278</v>
      </c>
      <c r="H933" s="271">
        <f t="shared" si="302"/>
        <v>13915.92803030303</v>
      </c>
      <c r="I933" s="271">
        <f t="shared" si="303"/>
        <v>832.79966055194814</v>
      </c>
      <c r="J933" s="271">
        <f t="shared" si="303"/>
        <v>1072.2753300000002</v>
      </c>
      <c r="K933" s="271">
        <f t="shared" si="304"/>
        <v>58277.323613471621</v>
      </c>
      <c r="L933" s="271">
        <f>K933*0.15</f>
        <v>8741.5985420207435</v>
      </c>
      <c r="M933" s="272">
        <f t="shared" si="305"/>
        <v>67018.922155492357</v>
      </c>
      <c r="N933" s="271"/>
      <c r="O933" s="271">
        <f>'DGSP_chitiet (truKH)'!K933</f>
        <v>57444.52395291967</v>
      </c>
      <c r="P933" s="271">
        <f>'DGSP_chitiet (truKH)'!L933</f>
        <v>8616.6785929379494</v>
      </c>
      <c r="Q933" s="306">
        <f>'DGSP_chitiet (truKH)'!M933</f>
        <v>66061.202545857625</v>
      </c>
      <c r="R933" s="271">
        <f>'DGSP_chitiet (truKH)'!N933</f>
        <v>0</v>
      </c>
      <c r="S933" s="271">
        <f t="shared" si="306"/>
        <v>1122.1346153846155</v>
      </c>
    </row>
    <row r="934" spans="1:19" s="240" customFormat="1">
      <c r="A934" s="1005"/>
      <c r="B934" s="1014"/>
      <c r="C934" s="1005"/>
      <c r="D934" s="242">
        <v>2</v>
      </c>
      <c r="E934" s="271">
        <f t="shared" si="301"/>
        <v>37977.407068333341</v>
      </c>
      <c r="F934" s="271">
        <f t="shared" si="301"/>
        <v>0</v>
      </c>
      <c r="G934" s="271">
        <f t="shared" si="301"/>
        <v>921.83972468376055</v>
      </c>
      <c r="H934" s="271">
        <f t="shared" si="302"/>
        <v>13805.140277777778</v>
      </c>
      <c r="I934" s="271">
        <f t="shared" si="303"/>
        <v>522.71621982142858</v>
      </c>
      <c r="J934" s="271">
        <f t="shared" si="303"/>
        <v>999.23470500000008</v>
      </c>
      <c r="K934" s="271">
        <f t="shared" si="304"/>
        <v>54226.337995616312</v>
      </c>
      <c r="L934" s="271">
        <f>K934*0.15</f>
        <v>8133.9506993424466</v>
      </c>
      <c r="M934" s="272">
        <f t="shared" si="305"/>
        <v>62360.288694958756</v>
      </c>
      <c r="N934" s="271"/>
      <c r="O934" s="271">
        <f>'DGSP_chitiet (truKH)'!K934</f>
        <v>53703.621775794883</v>
      </c>
      <c r="P934" s="271">
        <f>'DGSP_chitiet (truKH)'!L934</f>
        <v>8055.5432663692318</v>
      </c>
      <c r="Q934" s="306">
        <f>'DGSP_chitiet (truKH)'!M934</f>
        <v>61759.165042164117</v>
      </c>
      <c r="R934" s="271">
        <f>'DGSP_chitiet (truKH)'!N934</f>
        <v>0</v>
      </c>
      <c r="S934" s="271">
        <f t="shared" si="306"/>
        <v>1015.9247435897435</v>
      </c>
    </row>
    <row r="935" spans="1:19" s="240" customFormat="1">
      <c r="A935" s="1005"/>
      <c r="B935" s="1014"/>
      <c r="C935" s="1005"/>
      <c r="D935" s="242">
        <v>3</v>
      </c>
      <c r="E935" s="271">
        <f t="shared" si="301"/>
        <v>40220.433385000011</v>
      </c>
      <c r="F935" s="271">
        <f t="shared" si="301"/>
        <v>0</v>
      </c>
      <c r="G935" s="271">
        <f t="shared" si="301"/>
        <v>1011.2590993903134</v>
      </c>
      <c r="H935" s="271">
        <f t="shared" si="302"/>
        <v>13773.070138888888</v>
      </c>
      <c r="I935" s="271">
        <f t="shared" si="303"/>
        <v>423.32514562499995</v>
      </c>
      <c r="J935" s="271">
        <f t="shared" si="303"/>
        <v>1037.6007425</v>
      </c>
      <c r="K935" s="271">
        <f t="shared" si="304"/>
        <v>56465.688511404209</v>
      </c>
      <c r="L935" s="271">
        <f>K935*0.15</f>
        <v>8469.8532767106317</v>
      </c>
      <c r="M935" s="272">
        <f t="shared" si="305"/>
        <v>64935.541788114839</v>
      </c>
      <c r="N935" s="271"/>
      <c r="O935" s="271">
        <f>'DGSP_chitiet (truKH)'!K935</f>
        <v>56042.363365779209</v>
      </c>
      <c r="P935" s="271">
        <f>'DGSP_chitiet (truKH)'!L935</f>
        <v>8406.3545048668802</v>
      </c>
      <c r="Q935" s="306">
        <f>'DGSP_chitiet (truKH)'!M935</f>
        <v>64448.717870646091</v>
      </c>
      <c r="R935" s="271">
        <f>'DGSP_chitiet (truKH)'!N935</f>
        <v>0</v>
      </c>
      <c r="S935" s="271">
        <f t="shared" si="306"/>
        <v>1066.2003846153848</v>
      </c>
    </row>
    <row r="936" spans="1:19" s="240" customFormat="1">
      <c r="A936" s="1005"/>
      <c r="B936" s="1014"/>
      <c r="C936" s="1005"/>
      <c r="D936" s="242">
        <v>4</v>
      </c>
      <c r="E936" s="271">
        <f t="shared" si="301"/>
        <v>41362.840970000005</v>
      </c>
      <c r="F936" s="271">
        <f t="shared" si="301"/>
        <v>0</v>
      </c>
      <c r="G936" s="271">
        <f t="shared" si="301"/>
        <v>1049.5905535611864</v>
      </c>
      <c r="H936" s="271">
        <f t="shared" si="302"/>
        <v>13763.63774509804</v>
      </c>
      <c r="I936" s="271">
        <f t="shared" si="303"/>
        <v>403.44431428571426</v>
      </c>
      <c r="J936" s="271">
        <f t="shared" si="303"/>
        <v>1058.4466323529414</v>
      </c>
      <c r="K936" s="271">
        <f t="shared" si="304"/>
        <v>57637.960215297891</v>
      </c>
      <c r="L936" s="271">
        <f>K936*0.15</f>
        <v>8645.694032294683</v>
      </c>
      <c r="M936" s="272">
        <f t="shared" si="305"/>
        <v>66283.654247592582</v>
      </c>
      <c r="N936" s="271"/>
      <c r="O936" s="271">
        <f>'DGSP_chitiet (truKH)'!K936</f>
        <v>57234.515901012179</v>
      </c>
      <c r="P936" s="271">
        <f>'DGSP_chitiet (truKH)'!L936</f>
        <v>8585.1773851518265</v>
      </c>
      <c r="Q936" s="306">
        <f>'DGSP_chitiet (truKH)'!M936</f>
        <v>65819.693286164009</v>
      </c>
      <c r="R936" s="271">
        <f>'DGSP_chitiet (truKH)'!N936</f>
        <v>0</v>
      </c>
      <c r="S936" s="271">
        <f t="shared" si="306"/>
        <v>1093.1546153846152</v>
      </c>
    </row>
    <row r="937" spans="1:19" s="240" customFormat="1" ht="13.5">
      <c r="A937" s="242" t="s">
        <v>501</v>
      </c>
      <c r="B937" s="277" t="s">
        <v>424</v>
      </c>
      <c r="C937" s="242"/>
      <c r="D937" s="242"/>
      <c r="E937" s="271"/>
      <c r="F937" s="271"/>
      <c r="G937" s="271"/>
      <c r="H937" s="271"/>
      <c r="I937" s="271"/>
      <c r="J937" s="271"/>
      <c r="K937" s="271"/>
      <c r="L937" s="271"/>
      <c r="M937" s="272"/>
      <c r="N937" s="271"/>
      <c r="O937" s="271">
        <f>'DGSP_chitiet (truKH)'!K937</f>
        <v>0</v>
      </c>
      <c r="P937" s="271">
        <f>'DGSP_chitiet (truKH)'!L937</f>
        <v>0</v>
      </c>
      <c r="Q937" s="306">
        <f>'DGSP_chitiet (truKH)'!M937</f>
        <v>0</v>
      </c>
      <c r="R937" s="271">
        <f>'DGSP_chitiet (truKH)'!N937</f>
        <v>0</v>
      </c>
      <c r="S937" s="271"/>
    </row>
    <row r="938" spans="1:19" s="240" customFormat="1">
      <c r="A938" s="1005"/>
      <c r="B938" s="1006" t="s">
        <v>330</v>
      </c>
      <c r="C938" s="1005" t="s">
        <v>21</v>
      </c>
      <c r="D938" s="242">
        <v>1</v>
      </c>
      <c r="E938" s="271">
        <f t="shared" ref="E938:G945" si="307">E909*0.8</f>
        <v>444212.49077777792</v>
      </c>
      <c r="F938" s="271">
        <f t="shared" si="307"/>
        <v>24334.030769230769</v>
      </c>
      <c r="G938" s="271">
        <f t="shared" si="307"/>
        <v>2413.53475990676</v>
      </c>
      <c r="H938" s="271">
        <f t="shared" ref="H938:H945" si="308">H909</f>
        <v>3681288.0865909089</v>
      </c>
      <c r="I938" s="271">
        <f t="shared" ref="I938:J945" si="309">I909*0.8</f>
        <v>4416.3417142857143</v>
      </c>
      <c r="J938" s="271">
        <f t="shared" si="309"/>
        <v>37.57488</v>
      </c>
      <c r="K938" s="271">
        <f t="shared" ref="K938:K945" si="310">SUM(E938:J938)</f>
        <v>4156702.0594921103</v>
      </c>
      <c r="L938" s="271">
        <f>K938*0.25</f>
        <v>1039175.5148730276</v>
      </c>
      <c r="M938" s="272">
        <f t="shared" ref="M938:M945" si="311">K938+L938</f>
        <v>5195877.5743651381</v>
      </c>
      <c r="N938" s="271">
        <f>M938+M942</f>
        <v>5257228.0959738921</v>
      </c>
      <c r="O938" s="271">
        <f>'DGSP_chitiet (truKH)'!K938</f>
        <v>4152285.7177778245</v>
      </c>
      <c r="P938" s="271">
        <f>'DGSP_chitiet (truKH)'!L938</f>
        <v>1038071.4294444561</v>
      </c>
      <c r="Q938" s="306">
        <f>'DGSP_chitiet (truKH)'!M938</f>
        <v>5190357.1472222805</v>
      </c>
      <c r="R938" s="271">
        <f>'DGSP_chitiet (truKH)'!N938</f>
        <v>5250856.3625113592</v>
      </c>
      <c r="S938" s="271">
        <f t="shared" ref="S938:S945" si="312">S909*0.8</f>
        <v>12588.470085470086</v>
      </c>
    </row>
    <row r="939" spans="1:19" s="240" customFormat="1">
      <c r="A939" s="1005"/>
      <c r="B939" s="1014"/>
      <c r="C939" s="1005"/>
      <c r="D939" s="242">
        <v>2</v>
      </c>
      <c r="E939" s="271">
        <f t="shared" si="307"/>
        <v>527316.95072222245</v>
      </c>
      <c r="F939" s="271">
        <f t="shared" si="307"/>
        <v>29180.461538461539</v>
      </c>
      <c r="G939" s="271">
        <f t="shared" si="307"/>
        <v>2984.7501175213674</v>
      </c>
      <c r="H939" s="271">
        <f t="shared" si="308"/>
        <v>1351197.1775</v>
      </c>
      <c r="I939" s="271">
        <f t="shared" si="309"/>
        <v>5087.9417142857137</v>
      </c>
      <c r="J939" s="271">
        <f t="shared" si="309"/>
        <v>42.917280000000005</v>
      </c>
      <c r="K939" s="271">
        <f t="shared" si="310"/>
        <v>1915810.1988724908</v>
      </c>
      <c r="L939" s="271">
        <f>K939*0.25</f>
        <v>478952.5497181227</v>
      </c>
      <c r="M939" s="272">
        <f t="shared" si="311"/>
        <v>2394762.7485906137</v>
      </c>
      <c r="N939" s="271">
        <f>M939+M943</f>
        <v>2451958.1064660707</v>
      </c>
      <c r="O939" s="271">
        <f>'DGSP_chitiet (truKH)'!K939</f>
        <v>1910722.2571582051</v>
      </c>
      <c r="P939" s="271">
        <f>'DGSP_chitiet (truKH)'!L939</f>
        <v>477680.56428955129</v>
      </c>
      <c r="Q939" s="306">
        <f>'DGSP_chitiet (truKH)'!M939</f>
        <v>2388402.8214477566</v>
      </c>
      <c r="R939" s="271">
        <f>'DGSP_chitiet (truKH)'!N939</f>
        <v>2445063.8471873961</v>
      </c>
      <c r="S939" s="271">
        <f t="shared" si="312"/>
        <v>14934.568376068375</v>
      </c>
    </row>
    <row r="940" spans="1:19" s="240" customFormat="1">
      <c r="A940" s="1005"/>
      <c r="B940" s="1014"/>
      <c r="C940" s="1005"/>
      <c r="D940" s="242">
        <v>3</v>
      </c>
      <c r="E940" s="271">
        <f t="shared" si="307"/>
        <v>635447.34458333347</v>
      </c>
      <c r="F940" s="271">
        <f t="shared" si="307"/>
        <v>35016.553846153853</v>
      </c>
      <c r="G940" s="271">
        <f t="shared" si="307"/>
        <v>3967.2509757834764</v>
      </c>
      <c r="H940" s="271">
        <f t="shared" si="308"/>
        <v>676697.17749999999</v>
      </c>
      <c r="I940" s="271">
        <f t="shared" si="309"/>
        <v>6783.3965714285723</v>
      </c>
      <c r="J940" s="271">
        <f t="shared" si="309"/>
        <v>57.341760000000015</v>
      </c>
      <c r="K940" s="271">
        <f t="shared" si="310"/>
        <v>1357969.0652366993</v>
      </c>
      <c r="L940" s="271">
        <f>K940*0.25</f>
        <v>339492.26630917483</v>
      </c>
      <c r="M940" s="272">
        <f t="shared" si="311"/>
        <v>1697461.331545874</v>
      </c>
      <c r="N940" s="271">
        <f>M940+M944</f>
        <v>1756941.7054308341</v>
      </c>
      <c r="O940" s="271">
        <f>'DGSP_chitiet (truKH)'!K940</f>
        <v>1351185.6686652708</v>
      </c>
      <c r="P940" s="271">
        <f>'DGSP_chitiet (truKH)'!L940</f>
        <v>337796.4171663177</v>
      </c>
      <c r="Q940" s="306">
        <f>'DGSP_chitiet (truKH)'!M940</f>
        <v>1688982.0858315886</v>
      </c>
      <c r="R940" s="271">
        <f>'DGSP_chitiet (truKH)'!N940</f>
        <v>1748029.7273454654</v>
      </c>
      <c r="S940" s="271">
        <f t="shared" si="312"/>
        <v>17993.814102564102</v>
      </c>
    </row>
    <row r="941" spans="1:19" s="240" customFormat="1">
      <c r="A941" s="1005"/>
      <c r="B941" s="1014"/>
      <c r="C941" s="1005"/>
      <c r="D941" s="242">
        <v>4</v>
      </c>
      <c r="E941" s="271">
        <f t="shared" si="307"/>
        <v>757748.41941764718</v>
      </c>
      <c r="F941" s="271">
        <f t="shared" si="307"/>
        <v>42031.507692307699</v>
      </c>
      <c r="G941" s="271">
        <f t="shared" si="307"/>
        <v>4359.9591814982414</v>
      </c>
      <c r="H941" s="271">
        <f t="shared" si="308"/>
        <v>478314.82455882354</v>
      </c>
      <c r="I941" s="271">
        <f t="shared" si="309"/>
        <v>7468.520571428573</v>
      </c>
      <c r="J941" s="271">
        <f t="shared" si="309"/>
        <v>62.684160000000013</v>
      </c>
      <c r="K941" s="271">
        <f t="shared" si="310"/>
        <v>1289985.9155817053</v>
      </c>
      <c r="L941" s="271">
        <f>K941*0.25</f>
        <v>322496.47889542632</v>
      </c>
      <c r="M941" s="272">
        <f t="shared" si="311"/>
        <v>1612482.3944771315</v>
      </c>
      <c r="N941" s="271">
        <f>M941+M945</f>
        <v>1673159.8852979764</v>
      </c>
      <c r="O941" s="271">
        <f>'DGSP_chitiet (truKH)'!K941</f>
        <v>1282517.3950102767</v>
      </c>
      <c r="P941" s="271">
        <f>'DGSP_chitiet (truKH)'!L941</f>
        <v>320629.34875256917</v>
      </c>
      <c r="Q941" s="306">
        <f>'DGSP_chitiet (truKH)'!M941</f>
        <v>1603146.7437628459</v>
      </c>
      <c r="R941" s="271">
        <f>'DGSP_chitiet (truKH)'!N941</f>
        <v>1663411.8248401987</v>
      </c>
      <c r="S941" s="271">
        <f t="shared" si="312"/>
        <v>21455.888235294115</v>
      </c>
    </row>
    <row r="942" spans="1:19" s="240" customFormat="1">
      <c r="A942" s="1005"/>
      <c r="B942" s="1006" t="s">
        <v>331</v>
      </c>
      <c r="C942" s="1005" t="s">
        <v>21</v>
      </c>
      <c r="D942" s="275" t="s">
        <v>18</v>
      </c>
      <c r="E942" s="271">
        <f t="shared" si="307"/>
        <v>36923.101111111122</v>
      </c>
      <c r="F942" s="271">
        <f t="shared" si="307"/>
        <v>0</v>
      </c>
      <c r="G942" s="271">
        <f t="shared" si="307"/>
        <v>815.85052677033582</v>
      </c>
      <c r="H942" s="271">
        <f t="shared" si="308"/>
        <v>13915.92803030303</v>
      </c>
      <c r="I942" s="271">
        <f t="shared" si="309"/>
        <v>740.2663649350651</v>
      </c>
      <c r="J942" s="271">
        <f t="shared" si="309"/>
        <v>953.13362666666671</v>
      </c>
      <c r="K942" s="271">
        <f t="shared" si="310"/>
        <v>53348.279659786225</v>
      </c>
      <c r="L942" s="271">
        <f>K942*0.15</f>
        <v>8002.2419489679332</v>
      </c>
      <c r="M942" s="272">
        <f t="shared" si="311"/>
        <v>61350.521608754156</v>
      </c>
      <c r="N942" s="271"/>
      <c r="O942" s="271">
        <f>'DGSP_chitiet (truKH)'!K942</f>
        <v>52608.01329485116</v>
      </c>
      <c r="P942" s="271">
        <f>'DGSP_chitiet (truKH)'!L942</f>
        <v>7891.2019942276738</v>
      </c>
      <c r="Q942" s="306">
        <f>'DGSP_chitiet (truKH)'!M942</f>
        <v>60499.215289078835</v>
      </c>
      <c r="R942" s="271">
        <f>'DGSP_chitiet (truKH)'!N942</f>
        <v>0</v>
      </c>
      <c r="S942" s="271">
        <f t="shared" si="312"/>
        <v>997.45299145299145</v>
      </c>
    </row>
    <row r="943" spans="1:19" s="240" customFormat="1">
      <c r="A943" s="1005"/>
      <c r="B943" s="1014"/>
      <c r="C943" s="1005"/>
      <c r="D943" s="242">
        <v>2</v>
      </c>
      <c r="E943" s="271">
        <f t="shared" si="307"/>
        <v>33757.695171851861</v>
      </c>
      <c r="F943" s="271">
        <f t="shared" si="307"/>
        <v>0</v>
      </c>
      <c r="G943" s="271">
        <f t="shared" si="307"/>
        <v>819.41308860778724</v>
      </c>
      <c r="H943" s="271">
        <f t="shared" si="308"/>
        <v>13805.140277777778</v>
      </c>
      <c r="I943" s="271">
        <f t="shared" si="309"/>
        <v>464.63663984126981</v>
      </c>
      <c r="J943" s="271">
        <f t="shared" si="309"/>
        <v>888.20862666666676</v>
      </c>
      <c r="K943" s="271">
        <f t="shared" si="310"/>
        <v>49735.09380474536</v>
      </c>
      <c r="L943" s="271">
        <f>K943*0.15</f>
        <v>7460.2640707118035</v>
      </c>
      <c r="M943" s="272">
        <f t="shared" si="311"/>
        <v>57195.357875457164</v>
      </c>
      <c r="N943" s="271"/>
      <c r="O943" s="271">
        <f>'DGSP_chitiet (truKH)'!K943</f>
        <v>49270.457164904088</v>
      </c>
      <c r="P943" s="271">
        <f>'DGSP_chitiet (truKH)'!L943</f>
        <v>7390.5685747356129</v>
      </c>
      <c r="Q943" s="306">
        <f>'DGSP_chitiet (truKH)'!M943</f>
        <v>56661.025739639699</v>
      </c>
      <c r="R943" s="271">
        <f>'DGSP_chitiet (truKH)'!N943</f>
        <v>0</v>
      </c>
      <c r="S943" s="271">
        <f t="shared" si="312"/>
        <v>903.04421652421649</v>
      </c>
    </row>
    <row r="944" spans="1:19" s="240" customFormat="1">
      <c r="A944" s="1005"/>
      <c r="B944" s="1014"/>
      <c r="C944" s="1005"/>
      <c r="D944" s="242">
        <v>3</v>
      </c>
      <c r="E944" s="271">
        <f t="shared" si="307"/>
        <v>35751.496342222228</v>
      </c>
      <c r="F944" s="271">
        <f t="shared" si="307"/>
        <v>0</v>
      </c>
      <c r="G944" s="271">
        <f t="shared" si="307"/>
        <v>898.89697723583413</v>
      </c>
      <c r="H944" s="271">
        <f t="shared" si="308"/>
        <v>13773.070138888888</v>
      </c>
      <c r="I944" s="271">
        <f t="shared" si="309"/>
        <v>376.28901833333333</v>
      </c>
      <c r="J944" s="271">
        <f t="shared" si="309"/>
        <v>922.31177111111128</v>
      </c>
      <c r="K944" s="271">
        <f t="shared" si="310"/>
        <v>51722.064247791393</v>
      </c>
      <c r="L944" s="271">
        <f>K944*0.15</f>
        <v>7758.3096371687088</v>
      </c>
      <c r="M944" s="272">
        <f t="shared" si="311"/>
        <v>59480.3738849601</v>
      </c>
      <c r="N944" s="271"/>
      <c r="O944" s="271">
        <f>'DGSP_chitiet (truKH)'!K944</f>
        <v>51345.775229458057</v>
      </c>
      <c r="P944" s="271">
        <f>'DGSP_chitiet (truKH)'!L944</f>
        <v>7701.8662844187083</v>
      </c>
      <c r="Q944" s="306">
        <f>'DGSP_chitiet (truKH)'!M944</f>
        <v>59047.641513876762</v>
      </c>
      <c r="R944" s="271">
        <f>'DGSP_chitiet (truKH)'!N944</f>
        <v>0</v>
      </c>
      <c r="S944" s="271">
        <f t="shared" si="312"/>
        <v>947.73367521367527</v>
      </c>
    </row>
    <row r="945" spans="1:19" s="240" customFormat="1">
      <c r="A945" s="1005"/>
      <c r="B945" s="1014"/>
      <c r="C945" s="1005"/>
      <c r="D945" s="242">
        <v>4</v>
      </c>
      <c r="E945" s="271">
        <f t="shared" si="307"/>
        <v>36766.969751111115</v>
      </c>
      <c r="F945" s="271">
        <f t="shared" si="307"/>
        <v>0</v>
      </c>
      <c r="G945" s="271">
        <f t="shared" si="307"/>
        <v>932.96938094327697</v>
      </c>
      <c r="H945" s="271">
        <f t="shared" si="308"/>
        <v>13763.63774509804</v>
      </c>
      <c r="I945" s="271">
        <f t="shared" si="309"/>
        <v>358.6171682539682</v>
      </c>
      <c r="J945" s="271">
        <f t="shared" si="309"/>
        <v>940.84145098039232</v>
      </c>
      <c r="K945" s="271">
        <f t="shared" si="310"/>
        <v>52763.035496386794</v>
      </c>
      <c r="L945" s="271">
        <f>K945*0.15</f>
        <v>7914.4553244580184</v>
      </c>
      <c r="M945" s="272">
        <f t="shared" si="311"/>
        <v>60677.490820844811</v>
      </c>
      <c r="N945" s="271"/>
      <c r="O945" s="271">
        <f>'DGSP_chitiet (truKH)'!K945</f>
        <v>52404.418328132822</v>
      </c>
      <c r="P945" s="271">
        <f>'DGSP_chitiet (truKH)'!L945</f>
        <v>7860.6627492199232</v>
      </c>
      <c r="Q945" s="306">
        <f>'DGSP_chitiet (truKH)'!M945</f>
        <v>60265.081077352748</v>
      </c>
      <c r="R945" s="271">
        <f>'DGSP_chitiet (truKH)'!N945</f>
        <v>0</v>
      </c>
      <c r="S945" s="271">
        <f t="shared" si="312"/>
        <v>971.69299145299146</v>
      </c>
    </row>
    <row r="946" spans="1:19" s="232" customFormat="1" ht="12.75" customHeight="1">
      <c r="A946" s="242" t="s">
        <v>498</v>
      </c>
      <c r="B946" s="277" t="s">
        <v>491</v>
      </c>
      <c r="C946" s="242"/>
      <c r="D946" s="242"/>
      <c r="E946" s="271"/>
      <c r="F946" s="271"/>
      <c r="G946" s="271"/>
      <c r="H946" s="271"/>
      <c r="I946" s="271"/>
      <c r="J946" s="271"/>
      <c r="K946" s="271"/>
      <c r="L946" s="271"/>
      <c r="M946" s="272"/>
      <c r="N946" s="271"/>
      <c r="O946" s="271">
        <f>'DGSP_chitiet (truKH)'!K946</f>
        <v>0</v>
      </c>
      <c r="P946" s="271">
        <f>'DGSP_chitiet (truKH)'!L946</f>
        <v>0</v>
      </c>
      <c r="Q946" s="306">
        <f>'DGSP_chitiet (truKH)'!M946</f>
        <v>0</v>
      </c>
      <c r="R946" s="271">
        <f>'DGSP_chitiet (truKH)'!N946</f>
        <v>0</v>
      </c>
      <c r="S946" s="271"/>
    </row>
    <row r="947" spans="1:19" s="240" customFormat="1" ht="13.15" customHeight="1">
      <c r="A947" s="242"/>
      <c r="B947" s="277"/>
      <c r="C947" s="242"/>
      <c r="D947" s="242" t="s">
        <v>18</v>
      </c>
      <c r="E947" s="271">
        <f>E$973/100+(E$975+E$976)/$C913</f>
        <v>10571.394166666671</v>
      </c>
      <c r="F947" s="271"/>
      <c r="G947" s="271">
        <f t="shared" ref="G947:J950" si="313">G909</f>
        <v>3016.9184498834497</v>
      </c>
      <c r="H947" s="271">
        <f t="shared" si="313"/>
        <v>3681288.0865909089</v>
      </c>
      <c r="I947" s="271">
        <f t="shared" si="313"/>
        <v>5520.4271428571428</v>
      </c>
      <c r="J947" s="271">
        <f t="shared" si="313"/>
        <v>46.968599999999995</v>
      </c>
      <c r="K947" s="271">
        <f>SUM(E947:J947)</f>
        <v>3700443.7949503157</v>
      </c>
      <c r="L947" s="271">
        <f>K947*0.15</f>
        <v>555066.56924254738</v>
      </c>
      <c r="M947" s="272">
        <f>K947+L947</f>
        <v>4255510.364192863</v>
      </c>
      <c r="N947" s="271">
        <f>M947</f>
        <v>4255510.364192863</v>
      </c>
      <c r="O947" s="271">
        <f>'DGSP_chitiet (truKH)'!K947</f>
        <v>3694923.3678074586</v>
      </c>
      <c r="P947" s="271">
        <f>'DGSP_chitiet (truKH)'!L947</f>
        <v>554238.50517111877</v>
      </c>
      <c r="Q947" s="306">
        <f>'DGSP_chitiet (truKH)'!M947</f>
        <v>4249161.8729785774</v>
      </c>
      <c r="R947" s="271">
        <f>'DGSP_chitiet (truKH)'!N947</f>
        <v>4249161.8729785774</v>
      </c>
      <c r="S947" s="271">
        <f>S$973/100+(S$975+S$976)/$C913</f>
        <v>299.29487179487177</v>
      </c>
    </row>
    <row r="948" spans="1:19" s="240" customFormat="1" ht="13.15" customHeight="1">
      <c r="A948" s="242"/>
      <c r="B948" s="277" t="s">
        <v>192</v>
      </c>
      <c r="C948" s="242" t="s">
        <v>49</v>
      </c>
      <c r="D948" s="242" t="s">
        <v>20</v>
      </c>
      <c r="E948" s="271">
        <f>E$973/100+(E$975+E$976)/$C914</f>
        <v>10406.487361111114</v>
      </c>
      <c r="F948" s="271"/>
      <c r="G948" s="271">
        <f t="shared" si="313"/>
        <v>3730.9376469017093</v>
      </c>
      <c r="H948" s="271">
        <f t="shared" si="313"/>
        <v>1351197.1775</v>
      </c>
      <c r="I948" s="271">
        <f t="shared" si="313"/>
        <v>6359.9271428571419</v>
      </c>
      <c r="J948" s="271">
        <f t="shared" si="313"/>
        <v>53.646599999999999</v>
      </c>
      <c r="K948" s="271">
        <f>SUM(E948:J948)</f>
        <v>1371748.1762508701</v>
      </c>
      <c r="L948" s="271">
        <f>K948*0.15</f>
        <v>205762.22643763051</v>
      </c>
      <c r="M948" s="272">
        <f>K948+L948</f>
        <v>1577510.4026885007</v>
      </c>
      <c r="N948" s="271">
        <f>M948</f>
        <v>1577510.4026885007</v>
      </c>
      <c r="O948" s="271">
        <f>'DGSP_chitiet (truKH)'!K948</f>
        <v>1365388.249108013</v>
      </c>
      <c r="P948" s="271">
        <f>'DGSP_chitiet (truKH)'!L948</f>
        <v>204808.23736620194</v>
      </c>
      <c r="Q948" s="306">
        <f>'DGSP_chitiet (truKH)'!M948</f>
        <v>1570196.4864742151</v>
      </c>
      <c r="R948" s="271">
        <f>'DGSP_chitiet (truKH)'!N948</f>
        <v>1570196.4864742151</v>
      </c>
      <c r="S948" s="271">
        <f>S$973/100+(S$975+S$976)/$C914</f>
        <v>294.62606837606836</v>
      </c>
    </row>
    <row r="949" spans="1:19" s="240" customFormat="1" ht="13.15" customHeight="1">
      <c r="A949" s="242"/>
      <c r="B949" s="277"/>
      <c r="C949" s="242"/>
      <c r="D949" s="242" t="s">
        <v>35</v>
      </c>
      <c r="E949" s="271">
        <f>E$973/100+(E$975+E$976)/$C915</f>
        <v>10358.751180555559</v>
      </c>
      <c r="F949" s="271"/>
      <c r="G949" s="271">
        <f t="shared" si="313"/>
        <v>4959.0637197293454</v>
      </c>
      <c r="H949" s="271">
        <f t="shared" si="313"/>
        <v>676697.17749999999</v>
      </c>
      <c r="I949" s="271">
        <f t="shared" si="313"/>
        <v>8479.2457142857147</v>
      </c>
      <c r="J949" s="271">
        <f t="shared" si="313"/>
        <v>71.677200000000013</v>
      </c>
      <c r="K949" s="271">
        <f>SUM(E949:J949)</f>
        <v>700565.91531457065</v>
      </c>
      <c r="L949" s="271">
        <f>K949*0.15</f>
        <v>105084.88729718559</v>
      </c>
      <c r="M949" s="272">
        <f>K949+L949</f>
        <v>805650.80261175625</v>
      </c>
      <c r="N949" s="271">
        <f>M949</f>
        <v>805650.80261175625</v>
      </c>
      <c r="O949" s="271">
        <f>'DGSP_chitiet (truKH)'!K949</f>
        <v>692086.66960028489</v>
      </c>
      <c r="P949" s="271">
        <f>'DGSP_chitiet (truKH)'!L949</f>
        <v>103813.00044004273</v>
      </c>
      <c r="Q949" s="306">
        <f>'DGSP_chitiet (truKH)'!M949</f>
        <v>795899.67004032759</v>
      </c>
      <c r="R949" s="271">
        <f>'DGSP_chitiet (truKH)'!N949</f>
        <v>795899.67004032759</v>
      </c>
      <c r="S949" s="271">
        <f>S$973/100+(S$975+S$976)/$C915</f>
        <v>293.27457264957263</v>
      </c>
    </row>
    <row r="950" spans="1:19" s="240" customFormat="1" ht="13.15" customHeight="1">
      <c r="A950" s="242"/>
      <c r="B950" s="277"/>
      <c r="C950" s="242"/>
      <c r="D950" s="242" t="s">
        <v>33</v>
      </c>
      <c r="E950" s="271">
        <f>E$973/100+(E$975+E$976)/$C916</f>
        <v>10344.711127450984</v>
      </c>
      <c r="F950" s="271"/>
      <c r="G950" s="271">
        <f t="shared" si="313"/>
        <v>5449.9489768728017</v>
      </c>
      <c r="H950" s="271">
        <f t="shared" si="313"/>
        <v>478314.82455882354</v>
      </c>
      <c r="I950" s="271">
        <f t="shared" si="313"/>
        <v>9335.6507142857154</v>
      </c>
      <c r="J950" s="271">
        <f t="shared" si="313"/>
        <v>78.355200000000011</v>
      </c>
      <c r="K950" s="271">
        <f>SUM(E950:J950)</f>
        <v>503523.49057743303</v>
      </c>
      <c r="L950" s="271">
        <f>K950*0.15</f>
        <v>75528.523586614945</v>
      </c>
      <c r="M950" s="272">
        <f>K950+L950</f>
        <v>579052.01416404801</v>
      </c>
      <c r="N950" s="271">
        <f>M950</f>
        <v>579052.01416404801</v>
      </c>
      <c r="O950" s="271">
        <f>'DGSP_chitiet (truKH)'!K950</f>
        <v>494187.8398631473</v>
      </c>
      <c r="P950" s="271">
        <f>'DGSP_chitiet (truKH)'!L950</f>
        <v>74128.175979472086</v>
      </c>
      <c r="Q950" s="306">
        <f>'DGSP_chitiet (truKH)'!M950</f>
        <v>568316.01584261935</v>
      </c>
      <c r="R950" s="271">
        <f>'DGSP_chitiet (truKH)'!N950</f>
        <v>568316.01584261935</v>
      </c>
      <c r="S950" s="271">
        <f>S$973/100+(S$975+S$976)/$C916</f>
        <v>292.87707390648563</v>
      </c>
    </row>
    <row r="951" spans="1:19" s="240" customFormat="1">
      <c r="A951" s="242">
        <v>1</v>
      </c>
      <c r="B951" s="276" t="s">
        <v>190</v>
      </c>
      <c r="C951" s="275"/>
      <c r="D951" s="275"/>
      <c r="E951" s="271"/>
      <c r="F951" s="271"/>
      <c r="G951" s="271"/>
      <c r="H951" s="271"/>
      <c r="I951" s="271"/>
      <c r="J951" s="271"/>
      <c r="K951" s="271"/>
      <c r="L951" s="271"/>
      <c r="M951" s="971"/>
      <c r="N951" s="272"/>
      <c r="O951" s="271">
        <f>'DGSP_chitiet (truKH)'!K951</f>
        <v>0</v>
      </c>
      <c r="P951" s="271">
        <f>'DGSP_chitiet (truKH)'!L951</f>
        <v>0</v>
      </c>
      <c r="Q951" s="306">
        <f>'DGSP_chitiet (truKH)'!M951</f>
        <v>0</v>
      </c>
      <c r="R951" s="271">
        <f>'DGSP_chitiet (truKH)'!N951</f>
        <v>0</v>
      </c>
      <c r="S951" s="271"/>
    </row>
    <row r="952" spans="1:19" s="240" customFormat="1">
      <c r="A952" s="1010">
        <v>1.1000000000000001</v>
      </c>
      <c r="B952" s="1011" t="str">
        <f>NhanCong!B$150</f>
        <v>Đối soát thực địa (công nhóm/mảnh)</v>
      </c>
      <c r="C952" s="1013" t="s">
        <v>317</v>
      </c>
      <c r="D952" s="274" t="s">
        <v>18</v>
      </c>
      <c r="E952" s="271">
        <f>NhanCong!AC$150</f>
        <v>7769.6475694444453</v>
      </c>
      <c r="F952" s="271"/>
      <c r="G952" s="905">
        <f>Dcu!R$200</f>
        <v>55.871314102564106</v>
      </c>
      <c r="H952" s="905">
        <f>VLieu!F$133</f>
        <v>4047000</v>
      </c>
      <c r="I952" s="905"/>
      <c r="J952" s="905"/>
      <c r="K952" s="905">
        <f t="shared" ref="K952:K963" si="314">SUM(E952:J952)</f>
        <v>4054825.5188835468</v>
      </c>
      <c r="L952" s="905">
        <f>K952*0.25</f>
        <v>1013706.3797208867</v>
      </c>
      <c r="M952" s="906">
        <f t="shared" ref="M952:M963" si="315">K952+L952</f>
        <v>5068531.898604434</v>
      </c>
      <c r="N952" s="906"/>
      <c r="O952" s="271">
        <f>'DGSP_chitiet (truKH)'!K952</f>
        <v>4054825.5188835468</v>
      </c>
      <c r="P952" s="271">
        <f>'DGSP_chitiet (truKH)'!L952</f>
        <v>1013706.3797208867</v>
      </c>
      <c r="Q952" s="306">
        <f>'DGSP_chitiet (truKH)'!M952</f>
        <v>5068531.898604434</v>
      </c>
      <c r="R952" s="271">
        <f>'DGSP_chitiet (truKH)'!N952</f>
        <v>0</v>
      </c>
      <c r="S952" s="905">
        <f>NhanCong!AD$150</f>
        <v>236.51175213675211</v>
      </c>
    </row>
    <row r="953" spans="1:19" s="240" customFormat="1">
      <c r="A953" s="1010"/>
      <c r="B953" s="1011"/>
      <c r="C953" s="1013"/>
      <c r="D953" s="274" t="s">
        <v>20</v>
      </c>
      <c r="E953" s="271">
        <f>NhanCong!AC$151</f>
        <v>9323.5770833333354</v>
      </c>
      <c r="F953" s="271"/>
      <c r="G953" s="905">
        <f>Dcu!R$201</f>
        <v>69.839142628205138</v>
      </c>
      <c r="H953" s="905">
        <f>VLieu!F$133</f>
        <v>4047000</v>
      </c>
      <c r="I953" s="905"/>
      <c r="J953" s="905"/>
      <c r="K953" s="905">
        <f t="shared" si="314"/>
        <v>4056393.4162259614</v>
      </c>
      <c r="L953" s="905">
        <f t="shared" ref="L953:L963" si="316">K953*0.25</f>
        <v>1014098.3540564904</v>
      </c>
      <c r="M953" s="906">
        <f t="shared" si="315"/>
        <v>5070491.770282452</v>
      </c>
      <c r="N953" s="906"/>
      <c r="O953" s="271">
        <f>'DGSP_chitiet (truKH)'!K953</f>
        <v>4056393.4162259614</v>
      </c>
      <c r="P953" s="271">
        <f>'DGSP_chitiet (truKH)'!L953</f>
        <v>1014098.3540564904</v>
      </c>
      <c r="Q953" s="306">
        <f>'DGSP_chitiet (truKH)'!M953</f>
        <v>5070491.770282452</v>
      </c>
      <c r="R953" s="271">
        <f>'DGSP_chitiet (truKH)'!N953</f>
        <v>0</v>
      </c>
      <c r="S953" s="905">
        <f>NhanCong!AD$151</f>
        <v>283.81410256410254</v>
      </c>
    </row>
    <row r="954" spans="1:19" s="240" customFormat="1">
      <c r="A954" s="1010"/>
      <c r="B954" s="1011"/>
      <c r="C954" s="1013"/>
      <c r="D954" s="274" t="s">
        <v>35</v>
      </c>
      <c r="E954" s="271">
        <f>NhanCong!AC$152</f>
        <v>11188.292500000001</v>
      </c>
      <c r="F954" s="271"/>
      <c r="G954" s="905">
        <f>Dcu!R$202</f>
        <v>93.118856837606842</v>
      </c>
      <c r="H954" s="905">
        <f>VLieu!F$133</f>
        <v>4047000</v>
      </c>
      <c r="I954" s="905"/>
      <c r="J954" s="905"/>
      <c r="K954" s="905">
        <f t="shared" si="314"/>
        <v>4058281.4113568375</v>
      </c>
      <c r="L954" s="905">
        <f t="shared" si="316"/>
        <v>1014570.3528392094</v>
      </c>
      <c r="M954" s="906">
        <f t="shared" si="315"/>
        <v>5072851.7641960466</v>
      </c>
      <c r="N954" s="906"/>
      <c r="O954" s="271">
        <f>'DGSP_chitiet (truKH)'!K954</f>
        <v>4058281.4113568375</v>
      </c>
      <c r="P954" s="271">
        <f>'DGSP_chitiet (truKH)'!L954</f>
        <v>1014570.3528392094</v>
      </c>
      <c r="Q954" s="306">
        <f>'DGSP_chitiet (truKH)'!M954</f>
        <v>5072851.7641960466</v>
      </c>
      <c r="R954" s="271">
        <f>'DGSP_chitiet (truKH)'!N954</f>
        <v>0</v>
      </c>
      <c r="S954" s="905">
        <f>NhanCong!AD$152</f>
        <v>340.57692307692304</v>
      </c>
    </row>
    <row r="955" spans="1:19" s="240" customFormat="1">
      <c r="A955" s="1010"/>
      <c r="B955" s="1011"/>
      <c r="C955" s="1013"/>
      <c r="D955" s="274" t="s">
        <v>33</v>
      </c>
      <c r="E955" s="271">
        <f>NhanCong!AC$153</f>
        <v>13425.951000000001</v>
      </c>
      <c r="F955" s="271"/>
      <c r="G955" s="905">
        <f>Dcu!R$203</f>
        <v>102.43074252136753</v>
      </c>
      <c r="H955" s="905">
        <f>VLieu!F$133</f>
        <v>4047000</v>
      </c>
      <c r="I955" s="905"/>
      <c r="J955" s="905"/>
      <c r="K955" s="905">
        <f t="shared" si="314"/>
        <v>4060528.3817425212</v>
      </c>
      <c r="L955" s="905">
        <f t="shared" si="316"/>
        <v>1015132.0954356303</v>
      </c>
      <c r="M955" s="906">
        <f t="shared" si="315"/>
        <v>5075660.4771781517</v>
      </c>
      <c r="N955" s="906"/>
      <c r="O955" s="271">
        <f>'DGSP_chitiet (truKH)'!K955</f>
        <v>4060528.3817425212</v>
      </c>
      <c r="P955" s="271">
        <f>'DGSP_chitiet (truKH)'!L955</f>
        <v>1015132.0954356303</v>
      </c>
      <c r="Q955" s="306">
        <f>'DGSP_chitiet (truKH)'!M955</f>
        <v>5075660.4771781517</v>
      </c>
      <c r="R955" s="271">
        <f>'DGSP_chitiet (truKH)'!N955</f>
        <v>0</v>
      </c>
      <c r="S955" s="905">
        <f>NhanCong!AD$153</f>
        <v>408.69230769230762</v>
      </c>
    </row>
    <row r="956" spans="1:19" s="240" customFormat="1" ht="12.75" customHeight="1">
      <c r="A956" s="1010">
        <v>1.2</v>
      </c>
      <c r="B956" s="1011" t="str">
        <f>NhanCong!B$156</f>
        <v>Lưới đo vẽ (công nhóm/100 thửa có biến động cần chỉnh lý)</v>
      </c>
      <c r="C956" s="1015" t="s">
        <v>329</v>
      </c>
      <c r="D956" s="274" t="s">
        <v>18</v>
      </c>
      <c r="E956" s="271">
        <f>NhanCong!AC$156</f>
        <v>3479967.5625000009</v>
      </c>
      <c r="F956" s="271"/>
      <c r="G956" s="905">
        <f>Dcu!R$222</f>
        <v>48207.576923076929</v>
      </c>
      <c r="H956" s="905">
        <f>VLieu!P$135</f>
        <v>10462.75</v>
      </c>
      <c r="I956" s="905">
        <f>TBi!N$332</f>
        <v>41935.571428571428</v>
      </c>
      <c r="J956" s="905">
        <f>TBi!N$336</f>
        <v>356.16</v>
      </c>
      <c r="K956" s="905">
        <f t="shared" si="314"/>
        <v>3580929.6208516494</v>
      </c>
      <c r="L956" s="905">
        <f t="shared" si="316"/>
        <v>895232.40521291236</v>
      </c>
      <c r="M956" s="906">
        <f t="shared" si="315"/>
        <v>4476162.0260645617</v>
      </c>
      <c r="N956" s="906"/>
      <c r="O956" s="271">
        <f>'DGSP_chitiet (truKH)'!K956</f>
        <v>3538994.0494230781</v>
      </c>
      <c r="P956" s="271">
        <f>'DGSP_chitiet (truKH)'!L956</f>
        <v>884748.51235576952</v>
      </c>
      <c r="Q956" s="306">
        <f>'DGSP_chitiet (truKH)'!M956</f>
        <v>4423742.5617788471</v>
      </c>
      <c r="R956" s="271">
        <f>'DGSP_chitiet (truKH)'!N956</f>
        <v>0</v>
      </c>
      <c r="S956" s="905">
        <f>NhanCong!AD$156</f>
        <v>98524.038461538468</v>
      </c>
    </row>
    <row r="957" spans="1:19" s="240" customFormat="1">
      <c r="A957" s="1010"/>
      <c r="B957" s="1011"/>
      <c r="C957" s="1013" t="s">
        <v>49</v>
      </c>
      <c r="D957" s="274" t="s">
        <v>20</v>
      </c>
      <c r="E957" s="271">
        <f>NhanCong!AC$157</f>
        <v>3995518.3125000009</v>
      </c>
      <c r="F957" s="271"/>
      <c r="G957" s="905">
        <f>Dcu!R$223</f>
        <v>60259.471153846156</v>
      </c>
      <c r="H957" s="905">
        <f>VLieu!P$135</f>
        <v>10462.75</v>
      </c>
      <c r="I957" s="905">
        <f>TBi!O$332</f>
        <v>47649.428571428572</v>
      </c>
      <c r="J957" s="905">
        <f>TBi!O$336</f>
        <v>445.20000000000005</v>
      </c>
      <c r="K957" s="905">
        <f t="shared" si="314"/>
        <v>4114335.1622252758</v>
      </c>
      <c r="L957" s="905">
        <f t="shared" si="316"/>
        <v>1028583.7905563189</v>
      </c>
      <c r="M957" s="906">
        <f t="shared" si="315"/>
        <v>5142918.9527815944</v>
      </c>
      <c r="N957" s="906"/>
      <c r="O957" s="271">
        <f>'DGSP_chitiet (truKH)'!K957</f>
        <v>4066685.7336538471</v>
      </c>
      <c r="P957" s="271">
        <f>'DGSP_chitiet (truKH)'!L957</f>
        <v>1016671.4334134618</v>
      </c>
      <c r="Q957" s="306">
        <f>'DGSP_chitiet (truKH)'!M957</f>
        <v>5083357.1670673089</v>
      </c>
      <c r="R957" s="271">
        <f>'DGSP_chitiet (truKH)'!N957</f>
        <v>0</v>
      </c>
      <c r="S957" s="905">
        <f>NhanCong!AD$157</f>
        <v>113120.19230769231</v>
      </c>
    </row>
    <row r="958" spans="1:19" s="240" customFormat="1">
      <c r="A958" s="1010"/>
      <c r="B958" s="1011"/>
      <c r="C958" s="1013"/>
      <c r="D958" s="274" t="s">
        <v>35</v>
      </c>
      <c r="E958" s="271">
        <f>NhanCong!AC$158</f>
        <v>5327357.7500000019</v>
      </c>
      <c r="F958" s="271"/>
      <c r="G958" s="905">
        <f>Dcu!R$224</f>
        <v>80345.961538461546</v>
      </c>
      <c r="H958" s="905">
        <f>VLieu!P$135</f>
        <v>10462.75</v>
      </c>
      <c r="I958" s="905">
        <f>TBi!P$332</f>
        <v>62903.357142857152</v>
      </c>
      <c r="J958" s="905">
        <f>TBi!P$336</f>
        <v>511.98</v>
      </c>
      <c r="K958" s="905">
        <f t="shared" si="314"/>
        <v>5481581.7986813216</v>
      </c>
      <c r="L958" s="905">
        <f t="shared" si="316"/>
        <v>1370395.4496703304</v>
      </c>
      <c r="M958" s="906">
        <f t="shared" si="315"/>
        <v>6851977.2483516522</v>
      </c>
      <c r="N958" s="906"/>
      <c r="O958" s="271">
        <f>'DGSP_chitiet (truKH)'!K958</f>
        <v>5418678.4415384643</v>
      </c>
      <c r="P958" s="271">
        <f>'DGSP_chitiet (truKH)'!L958</f>
        <v>1354669.6103846161</v>
      </c>
      <c r="Q958" s="306">
        <f>'DGSP_chitiet (truKH)'!M958</f>
        <v>6773348.0519230803</v>
      </c>
      <c r="R958" s="271">
        <f>'DGSP_chitiet (truKH)'!N958</f>
        <v>0</v>
      </c>
      <c r="S958" s="905">
        <f>NhanCong!AD$158</f>
        <v>150826.92307692309</v>
      </c>
    </row>
    <row r="959" spans="1:19" s="240" customFormat="1">
      <c r="A959" s="1010"/>
      <c r="B959" s="1011"/>
      <c r="C959" s="1013"/>
      <c r="D959" s="274" t="s">
        <v>33</v>
      </c>
      <c r="E959" s="271">
        <f>NhanCong!AC$159</f>
        <v>5842908.5000000019</v>
      </c>
      <c r="F959" s="271"/>
      <c r="G959" s="905">
        <f>Dcu!R$225</f>
        <v>88380.557692307702</v>
      </c>
      <c r="H959" s="905">
        <f>VLieu!P$135</f>
        <v>10462.75</v>
      </c>
      <c r="I959" s="905">
        <f>TBi!Q$332</f>
        <v>69744.21428571429</v>
      </c>
      <c r="J959" s="905">
        <f>TBi!Q$336</f>
        <v>601.0200000000001</v>
      </c>
      <c r="K959" s="905">
        <f t="shared" si="314"/>
        <v>6012097.0419780239</v>
      </c>
      <c r="L959" s="905">
        <f t="shared" si="316"/>
        <v>1503024.260494506</v>
      </c>
      <c r="M959" s="906">
        <f t="shared" si="315"/>
        <v>7515121.3024725299</v>
      </c>
      <c r="N959" s="906"/>
      <c r="O959" s="271">
        <f>'DGSP_chitiet (truKH)'!K959</f>
        <v>5942352.8276923094</v>
      </c>
      <c r="P959" s="271">
        <f>'DGSP_chitiet (truKH)'!L959</f>
        <v>1485588.2069230773</v>
      </c>
      <c r="Q959" s="306">
        <f>'DGSP_chitiet (truKH)'!M959</f>
        <v>7427941.0346153863</v>
      </c>
      <c r="R959" s="271">
        <f>'DGSP_chitiet (truKH)'!N959</f>
        <v>0</v>
      </c>
      <c r="S959" s="905">
        <f>NhanCong!AD$159</f>
        <v>165423.07692307694</v>
      </c>
    </row>
    <row r="960" spans="1:19" s="240" customFormat="1" ht="12.75" customHeight="1">
      <c r="A960" s="1010">
        <v>1.3</v>
      </c>
      <c r="B960" s="1011" t="str">
        <f>NhanCong!B$162</f>
        <v>Đo đạc ranh giới thửa đất và các đối tượng địa lý có liên quan (công nhóm/100 thửa có biến động cần chỉnh lý)</v>
      </c>
      <c r="C960" s="1015" t="s">
        <v>329</v>
      </c>
      <c r="D960" s="274" t="s">
        <v>18</v>
      </c>
      <c r="E960" s="271">
        <f>NhanCong!AC$162</f>
        <v>51340262.187500007</v>
      </c>
      <c r="F960" s="271">
        <f>NhanCong!AC$163</f>
        <v>3041753.846153846</v>
      </c>
      <c r="G960" s="905">
        <f>Dcu!R$246</f>
        <v>248405.05769230769</v>
      </c>
      <c r="H960" s="905">
        <f>VLieu!P$145</f>
        <v>209255</v>
      </c>
      <c r="I960" s="905">
        <f>TBi!N$367</f>
        <v>510107.14285714284</v>
      </c>
      <c r="J960" s="905">
        <f>TBi!N$371</f>
        <v>4340.7</v>
      </c>
      <c r="K960" s="905">
        <f t="shared" si="314"/>
        <v>55354123.934203304</v>
      </c>
      <c r="L960" s="905">
        <f t="shared" si="316"/>
        <v>13838530.983550826</v>
      </c>
      <c r="M960" s="906">
        <f t="shared" si="315"/>
        <v>69192654.917754129</v>
      </c>
      <c r="N960" s="906"/>
      <c r="O960" s="271">
        <f>'DGSP_chitiet (truKH)'!K960</f>
        <v>54844016.791346163</v>
      </c>
      <c r="P960" s="271">
        <f>'DGSP_chitiet (truKH)'!L960</f>
        <v>13711004.197836541</v>
      </c>
      <c r="Q960" s="306">
        <f>'DGSP_chitiet (truKH)'!M960</f>
        <v>68555020.989182711</v>
      </c>
      <c r="R960" s="271">
        <f>'DGSP_chitiet (truKH)'!N960</f>
        <v>0</v>
      </c>
      <c r="S960" s="905">
        <f>NhanCong!AD$162</f>
        <v>1453533.6538461538</v>
      </c>
    </row>
    <row r="961" spans="1:19" s="240" customFormat="1">
      <c r="A961" s="1010"/>
      <c r="B961" s="1011"/>
      <c r="C961" s="1013" t="s">
        <v>49</v>
      </c>
      <c r="D961" s="274" t="s">
        <v>20</v>
      </c>
      <c r="E961" s="271">
        <f>NhanCong!AC$164</f>
        <v>61608314.625000015</v>
      </c>
      <c r="F961" s="271">
        <f>NhanCong!AC$165</f>
        <v>3647557.6923076925</v>
      </c>
      <c r="G961" s="905">
        <f>Dcu!R$247</f>
        <v>310506.32211538462</v>
      </c>
      <c r="H961" s="905">
        <f>VLieu!P$145</f>
        <v>209255</v>
      </c>
      <c r="I961" s="905">
        <f>TBi!O$367</f>
        <v>588343.28571428568</v>
      </c>
      <c r="J961" s="905">
        <f>TBi!O$371</f>
        <v>4919.46</v>
      </c>
      <c r="K961" s="905">
        <f t="shared" si="314"/>
        <v>66368896.385137379</v>
      </c>
      <c r="L961" s="905">
        <f t="shared" si="316"/>
        <v>16592224.096284345</v>
      </c>
      <c r="M961" s="906">
        <f t="shared" si="315"/>
        <v>82961120.481421724</v>
      </c>
      <c r="N961" s="906"/>
      <c r="O961" s="271">
        <f>'DGSP_chitiet (truKH)'!K961</f>
        <v>65780553.099423096</v>
      </c>
      <c r="P961" s="271">
        <f>'DGSP_chitiet (truKH)'!L961</f>
        <v>16445138.274855774</v>
      </c>
      <c r="Q961" s="306">
        <f>'DGSP_chitiet (truKH)'!M961</f>
        <v>82225691.374278873</v>
      </c>
      <c r="R961" s="271">
        <f>'DGSP_chitiet (truKH)'!N961</f>
        <v>0</v>
      </c>
      <c r="S961" s="905">
        <f>NhanCong!AD$164</f>
        <v>1744240.3846153847</v>
      </c>
    </row>
    <row r="962" spans="1:19" s="240" customFormat="1">
      <c r="A962" s="1010"/>
      <c r="B962" s="1011"/>
      <c r="C962" s="1013"/>
      <c r="D962" s="274" t="s">
        <v>35</v>
      </c>
      <c r="E962" s="271">
        <f>NhanCong!AC$166</f>
        <v>73917088.781250015</v>
      </c>
      <c r="F962" s="271">
        <f>NhanCong!AC$167</f>
        <v>4377069.230769231</v>
      </c>
      <c r="G962" s="905">
        <f>Dcu!R$248</f>
        <v>414008.4294871795</v>
      </c>
      <c r="H962" s="905">
        <f>VLieu!P$145</f>
        <v>209255</v>
      </c>
      <c r="I962" s="905">
        <f>TBi!P$367</f>
        <v>785021.21428571432</v>
      </c>
      <c r="J962" s="905">
        <f>TBi!P$371</f>
        <v>6655.7400000000007</v>
      </c>
      <c r="K962" s="905">
        <f t="shared" si="314"/>
        <v>79709098.395792142</v>
      </c>
      <c r="L962" s="905">
        <f t="shared" si="316"/>
        <v>19927274.598948035</v>
      </c>
      <c r="M962" s="906">
        <f t="shared" si="315"/>
        <v>99636372.994740173</v>
      </c>
      <c r="N962" s="906"/>
      <c r="O962" s="271">
        <f>'DGSP_chitiet (truKH)'!K962</f>
        <v>78924077.181506425</v>
      </c>
      <c r="P962" s="271">
        <f>'DGSP_chitiet (truKH)'!L962</f>
        <v>19731019.295376606</v>
      </c>
      <c r="Q962" s="306">
        <f>'DGSP_chitiet (truKH)'!M962</f>
        <v>98655096.476883024</v>
      </c>
      <c r="R962" s="271">
        <f>'DGSP_chitiet (truKH)'!N962</f>
        <v>0</v>
      </c>
      <c r="S962" s="905">
        <f>NhanCong!AD$166</f>
        <v>2092723.5576923075</v>
      </c>
    </row>
    <row r="963" spans="1:19" s="240" customFormat="1">
      <c r="A963" s="1010"/>
      <c r="B963" s="1011"/>
      <c r="C963" s="1013"/>
      <c r="D963" s="274" t="s">
        <v>33</v>
      </c>
      <c r="E963" s="271">
        <f>NhanCong!AC$168</f>
        <v>88717691.562500015</v>
      </c>
      <c r="F963" s="271">
        <f>NhanCong!AC$169</f>
        <v>5253938.461538462</v>
      </c>
      <c r="G963" s="905">
        <f>Dcu!R$249</f>
        <v>455409.2724358975</v>
      </c>
      <c r="H963" s="905">
        <f>VLieu!P$145</f>
        <v>209255</v>
      </c>
      <c r="I963" s="905">
        <f>TBi!Q$367</f>
        <v>863820.85714285716</v>
      </c>
      <c r="J963" s="905">
        <f>TBi!Q$371</f>
        <v>7234.5</v>
      </c>
      <c r="K963" s="905">
        <f t="shared" si="314"/>
        <v>95507349.653617233</v>
      </c>
      <c r="L963" s="905">
        <f t="shared" si="316"/>
        <v>23876837.413404308</v>
      </c>
      <c r="M963" s="906">
        <f t="shared" si="315"/>
        <v>119384187.06702155</v>
      </c>
      <c r="N963" s="906"/>
      <c r="O963" s="271">
        <f>'DGSP_chitiet (truKH)'!K963</f>
        <v>94643528.796474382</v>
      </c>
      <c r="P963" s="271">
        <f>'DGSP_chitiet (truKH)'!L963</f>
        <v>23660882.199118596</v>
      </c>
      <c r="Q963" s="306">
        <f>'DGSP_chitiet (truKH)'!M963</f>
        <v>118304410.99559298</v>
      </c>
      <c r="R963" s="271">
        <f>'DGSP_chitiet (truKH)'!N963</f>
        <v>0</v>
      </c>
      <c r="S963" s="905">
        <f>NhanCong!AD$168</f>
        <v>2511754.8076923075</v>
      </c>
    </row>
    <row r="964" spans="1:19" s="240" customFormat="1">
      <c r="A964" s="242">
        <v>2</v>
      </c>
      <c r="B964" s="276" t="s">
        <v>192</v>
      </c>
      <c r="C964" s="274"/>
      <c r="D964" s="274"/>
      <c r="E964" s="271"/>
      <c r="F964" s="271"/>
      <c r="G964" s="905"/>
      <c r="H964" s="905"/>
      <c r="I964" s="905"/>
      <c r="J964" s="905"/>
      <c r="K964" s="905"/>
      <c r="L964" s="905"/>
      <c r="M964" s="906"/>
      <c r="N964" s="906"/>
      <c r="O964" s="271">
        <f>'DGSP_chitiet (truKH)'!K964</f>
        <v>0</v>
      </c>
      <c r="P964" s="271">
        <f>'DGSP_chitiet (truKH)'!L964</f>
        <v>0</v>
      </c>
      <c r="Q964" s="306">
        <f>'DGSP_chitiet (truKH)'!M964</f>
        <v>0</v>
      </c>
      <c r="R964" s="271">
        <f>'DGSP_chitiet (truKH)'!N964</f>
        <v>0</v>
      </c>
      <c r="S964" s="905"/>
    </row>
    <row r="965" spans="1:19" s="240" customFormat="1">
      <c r="A965" s="1010" t="s">
        <v>268</v>
      </c>
      <c r="B965" s="1011" t="str">
        <f>NhanCong!B$173</f>
        <v>Số hóa BĐĐC: Áp dụng theo mức quy định tại Điều 8, Chương I</v>
      </c>
      <c r="C965" s="1013" t="s">
        <v>317</v>
      </c>
      <c r="D965" s="274" t="s">
        <v>18</v>
      </c>
      <c r="E965" s="271">
        <f t="shared" ref="E965:J968" si="317">E490</f>
        <v>9967.3145000000022</v>
      </c>
      <c r="F965" s="271">
        <f t="shared" si="317"/>
        <v>0</v>
      </c>
      <c r="G965" s="271">
        <f t="shared" si="317"/>
        <v>104.53232886989554</v>
      </c>
      <c r="H965" s="271">
        <f t="shared" si="317"/>
        <v>122.33333333333333</v>
      </c>
      <c r="I965" s="271">
        <f t="shared" si="317"/>
        <v>745.40651428571425</v>
      </c>
      <c r="J965" s="271">
        <f t="shared" si="317"/>
        <v>237.04426666666666</v>
      </c>
      <c r="K965" s="905">
        <f>SUM(E965:J965)</f>
        <v>11176.630943155611</v>
      </c>
      <c r="L965" s="905">
        <f>K965*0.15</f>
        <v>1676.4946414733415</v>
      </c>
      <c r="M965" s="906">
        <f>K965+L965</f>
        <v>12853.125584628953</v>
      </c>
      <c r="N965" s="271"/>
      <c r="O965" s="271">
        <f>'DGSP_chitiet (truKH)'!K965</f>
        <v>10431.224428869897</v>
      </c>
      <c r="P965" s="271">
        <f>'DGSP_chitiet (truKH)'!L965</f>
        <v>1564.6836643304844</v>
      </c>
      <c r="Q965" s="306">
        <f>'DGSP_chitiet (truKH)'!M965</f>
        <v>11995.908093200382</v>
      </c>
      <c r="R965" s="271">
        <f>'DGSP_chitiet (truKH)'!N965</f>
        <v>0</v>
      </c>
      <c r="S965" s="271">
        <f>S490</f>
        <v>282.19230769230762</v>
      </c>
    </row>
    <row r="966" spans="1:19" s="240" customFormat="1">
      <c r="A966" s="1010"/>
      <c r="B966" s="1011"/>
      <c r="C966" s="1013"/>
      <c r="D966" s="274" t="s">
        <v>20</v>
      </c>
      <c r="E966" s="271">
        <f t="shared" si="317"/>
        <v>11296.28976666667</v>
      </c>
      <c r="F966" s="271">
        <f t="shared" si="317"/>
        <v>0</v>
      </c>
      <c r="G966" s="271">
        <f t="shared" si="317"/>
        <v>119.66200804843304</v>
      </c>
      <c r="H966" s="271">
        <f t="shared" si="317"/>
        <v>122.33333333333333</v>
      </c>
      <c r="I966" s="271">
        <f t="shared" si="317"/>
        <v>980.23466190476177</v>
      </c>
      <c r="J966" s="271">
        <f t="shared" si="317"/>
        <v>313.12399999999997</v>
      </c>
      <c r="K966" s="905">
        <f>SUM(E966:J966)</f>
        <v>12831.6437699532</v>
      </c>
      <c r="L966" s="905">
        <f>K966*0.15</f>
        <v>1924.7465654929799</v>
      </c>
      <c r="M966" s="906">
        <f>K966+L966</f>
        <v>14756.39033544618</v>
      </c>
      <c r="N966" s="271">
        <f>N640</f>
        <v>0</v>
      </c>
      <c r="O966" s="271">
        <f>'DGSP_chitiet (truKH)'!K966</f>
        <v>11851.409108048438</v>
      </c>
      <c r="P966" s="271">
        <f>'DGSP_chitiet (truKH)'!L966</f>
        <v>1777.7113662072657</v>
      </c>
      <c r="Q966" s="306">
        <f>'DGSP_chitiet (truKH)'!M966</f>
        <v>13629.120474255704</v>
      </c>
      <c r="R966" s="271">
        <f>'DGSP_chitiet (truKH)'!N966</f>
        <v>0</v>
      </c>
      <c r="S966" s="271">
        <f>S491</f>
        <v>319.8179487179487</v>
      </c>
    </row>
    <row r="967" spans="1:19" s="240" customFormat="1">
      <c r="A967" s="1010"/>
      <c r="B967" s="1011"/>
      <c r="C967" s="1013"/>
      <c r="D967" s="274" t="s">
        <v>35</v>
      </c>
      <c r="E967" s="271">
        <f t="shared" si="317"/>
        <v>12827.666438888891</v>
      </c>
      <c r="F967" s="271">
        <f t="shared" si="317"/>
        <v>0</v>
      </c>
      <c r="G967" s="271">
        <f t="shared" si="317"/>
        <v>137.54253798670464</v>
      </c>
      <c r="H967" s="271">
        <f t="shared" si="317"/>
        <v>122.33333333333333</v>
      </c>
      <c r="I967" s="271">
        <f t="shared" si="317"/>
        <v>1171.2626928571428</v>
      </c>
      <c r="J967" s="271">
        <f t="shared" si="317"/>
        <v>373.02813333333336</v>
      </c>
      <c r="K967" s="905">
        <f>SUM(E967:J967)</f>
        <v>14631.833136399406</v>
      </c>
      <c r="L967" s="905">
        <f>K967*0.15</f>
        <v>2194.7749704599109</v>
      </c>
      <c r="M967" s="906">
        <f>K967+L967</f>
        <v>16826.608106859316</v>
      </c>
      <c r="N967" s="271">
        <f>N641</f>
        <v>0</v>
      </c>
      <c r="O967" s="271">
        <f>'DGSP_chitiet (truKH)'!K967</f>
        <v>13460.570443542263</v>
      </c>
      <c r="P967" s="271">
        <f>'DGSP_chitiet (truKH)'!L967</f>
        <v>2019.0855665313393</v>
      </c>
      <c r="Q967" s="306">
        <f>'DGSP_chitiet (truKH)'!M967</f>
        <v>15479.656010073602</v>
      </c>
      <c r="R967" s="271">
        <f>'DGSP_chitiet (truKH)'!N967</f>
        <v>0</v>
      </c>
      <c r="S967" s="271">
        <f>S492</f>
        <v>363.17393162393154</v>
      </c>
    </row>
    <row r="968" spans="1:19" s="240" customFormat="1">
      <c r="A968" s="1010"/>
      <c r="B968" s="1011"/>
      <c r="C968" s="1013"/>
      <c r="D968" s="274" t="s">
        <v>33</v>
      </c>
      <c r="E968" s="271">
        <f t="shared" si="317"/>
        <v>14588.17677777778</v>
      </c>
      <c r="F968" s="271">
        <f t="shared" si="317"/>
        <v>0</v>
      </c>
      <c r="G968" s="271">
        <f t="shared" si="317"/>
        <v>158.17391868471032</v>
      </c>
      <c r="H968" s="271">
        <f t="shared" si="317"/>
        <v>122.33333333333333</v>
      </c>
      <c r="I968" s="271">
        <f t="shared" si="317"/>
        <v>1401.003676984127</v>
      </c>
      <c r="J968" s="271">
        <f t="shared" si="317"/>
        <v>444.80426666666671</v>
      </c>
      <c r="K968" s="905">
        <f>SUM(E968:J968)</f>
        <v>16714.491973446617</v>
      </c>
      <c r="L968" s="905">
        <f>K968*0.15</f>
        <v>2507.1737960169926</v>
      </c>
      <c r="M968" s="906">
        <f>K968+L968</f>
        <v>19221.665769463609</v>
      </c>
      <c r="N968" s="271">
        <f>N642</f>
        <v>0</v>
      </c>
      <c r="O968" s="271">
        <f>'DGSP_chitiet (truKH)'!K968</f>
        <v>15313.48829646249</v>
      </c>
      <c r="P968" s="271">
        <f>'DGSP_chitiet (truKH)'!L968</f>
        <v>2297.0232444693734</v>
      </c>
      <c r="Q968" s="306">
        <f>'DGSP_chitiet (truKH)'!M968</f>
        <v>17610.511540931864</v>
      </c>
      <c r="R968" s="271">
        <f>'DGSP_chitiet (truKH)'!N968</f>
        <v>0</v>
      </c>
      <c r="S968" s="271">
        <f>S493</f>
        <v>413.01709401709394</v>
      </c>
    </row>
    <row r="969" spans="1:19" s="240" customFormat="1" ht="12.75" customHeight="1">
      <c r="A969" s="1010" t="s">
        <v>34</v>
      </c>
      <c r="B969" s="1011" t="str">
        <f>NhanCong!B$174</f>
        <v>Lập bản vẽ BĐĐC (Công nhóm/100 thửa chỉnh lý)</v>
      </c>
      <c r="C969" s="1015" t="s">
        <v>329</v>
      </c>
      <c r="D969" s="274" t="s">
        <v>18</v>
      </c>
      <c r="E969" s="271">
        <f>NhanCong!AC$174</f>
        <v>1723790.2000000007</v>
      </c>
      <c r="F969" s="271"/>
      <c r="G969" s="905">
        <f>Dcu!R$271</f>
        <v>28773.652892307691</v>
      </c>
      <c r="H969" s="905">
        <f>VLieu!P$159</f>
        <v>626800</v>
      </c>
      <c r="I969" s="905">
        <f>TBi!N$404</f>
        <v>17459.622857142858</v>
      </c>
      <c r="J969" s="905">
        <f>TBi!N$408</f>
        <v>69495.72</v>
      </c>
      <c r="K969" s="905">
        <f t="shared" ref="K969:K974" si="318">SUM(E969:J969)</f>
        <v>2466319.1957494514</v>
      </c>
      <c r="L969" s="905">
        <f t="shared" ref="L969:L976" si="319">K969*0.15</f>
        <v>369947.87936241768</v>
      </c>
      <c r="M969" s="906">
        <f t="shared" ref="M969:M974" si="320">K969+L969</f>
        <v>2836267.0751118693</v>
      </c>
      <c r="N969" s="906"/>
      <c r="O969" s="271">
        <f>'DGSP_chitiet (truKH)'!K969</f>
        <v>2448859.5728923087</v>
      </c>
      <c r="P969" s="271">
        <f>'DGSP_chitiet (truKH)'!L969</f>
        <v>367328.93593384628</v>
      </c>
      <c r="Q969" s="306">
        <f>'DGSP_chitiet (truKH)'!M969</f>
        <v>2816188.5088261552</v>
      </c>
      <c r="R969" s="271">
        <f>'DGSP_chitiet (truKH)'!N969</f>
        <v>0</v>
      </c>
      <c r="S969" s="905">
        <f>NhanCong!AD$174</f>
        <v>42815.384615384617</v>
      </c>
    </row>
    <row r="970" spans="1:19" s="240" customFormat="1">
      <c r="A970" s="1010"/>
      <c r="B970" s="1011"/>
      <c r="C970" s="1013"/>
      <c r="D970" s="274" t="s">
        <v>20</v>
      </c>
      <c r="E970" s="271">
        <f>NhanCong!AC$175</f>
        <v>1896169.2200000004</v>
      </c>
      <c r="F970" s="271"/>
      <c r="G970" s="905">
        <f>Dcu!R$272</f>
        <v>35967.066115384616</v>
      </c>
      <c r="H970" s="905">
        <f>VLieu!P$159</f>
        <v>626800</v>
      </c>
      <c r="I970" s="905">
        <f>TBi!O$404</f>
        <v>18360.382142857143</v>
      </c>
      <c r="J970" s="905">
        <f>TBi!O$408</f>
        <v>72946.02</v>
      </c>
      <c r="K970" s="905">
        <f t="shared" si="318"/>
        <v>2650242.6882582423</v>
      </c>
      <c r="L970" s="905">
        <f t="shared" si="319"/>
        <v>397536.40323873633</v>
      </c>
      <c r="M970" s="906">
        <f t="shared" si="320"/>
        <v>3047779.0914969789</v>
      </c>
      <c r="N970" s="906"/>
      <c r="O970" s="271">
        <f>'DGSP_chitiet (truKH)'!K970</f>
        <v>2631882.3061153851</v>
      </c>
      <c r="P970" s="271">
        <f>'DGSP_chitiet (truKH)'!L970</f>
        <v>394782.34591730777</v>
      </c>
      <c r="Q970" s="306">
        <f>'DGSP_chitiet (truKH)'!M970</f>
        <v>3026664.6520326929</v>
      </c>
      <c r="R970" s="271">
        <f>'DGSP_chitiet (truKH)'!N970</f>
        <v>0</v>
      </c>
      <c r="S970" s="905">
        <f>NhanCong!AD$175</f>
        <v>47096.923076923071</v>
      </c>
    </row>
    <row r="971" spans="1:19" s="240" customFormat="1">
      <c r="A971" s="1010"/>
      <c r="B971" s="1011"/>
      <c r="C971" s="1013"/>
      <c r="D971" s="274" t="s">
        <v>35</v>
      </c>
      <c r="E971" s="271">
        <f>NhanCong!AC$176</f>
        <v>2319281.3600000008</v>
      </c>
      <c r="F971" s="271"/>
      <c r="G971" s="905">
        <f>Dcu!R$273</f>
        <v>47956.088153846154</v>
      </c>
      <c r="H971" s="905">
        <f>VLieu!P$159</f>
        <v>626800</v>
      </c>
      <c r="I971" s="905">
        <f>TBi!P$404</f>
        <v>20547.007142857143</v>
      </c>
      <c r="J971" s="905">
        <f>TBi!P$408</f>
        <v>81560.639999999999</v>
      </c>
      <c r="K971" s="905">
        <f t="shared" si="318"/>
        <v>3096145.0952967042</v>
      </c>
      <c r="L971" s="905">
        <f t="shared" si="319"/>
        <v>464421.76429450564</v>
      </c>
      <c r="M971" s="906">
        <f t="shared" si="320"/>
        <v>3560566.8595912098</v>
      </c>
      <c r="N971" s="906"/>
      <c r="O971" s="271">
        <f>'DGSP_chitiet (truKH)'!K971</f>
        <v>3075598.088153847</v>
      </c>
      <c r="P971" s="271">
        <f>'DGSP_chitiet (truKH)'!L971</f>
        <v>461339.71322307707</v>
      </c>
      <c r="Q971" s="306">
        <f>'DGSP_chitiet (truKH)'!M971</f>
        <v>3536937.8013769239</v>
      </c>
      <c r="R971" s="271">
        <f>'DGSP_chitiet (truKH)'!N971</f>
        <v>0</v>
      </c>
      <c r="S971" s="905">
        <f>NhanCong!AD$176</f>
        <v>57606.153846153844</v>
      </c>
    </row>
    <row r="972" spans="1:19" s="240" customFormat="1">
      <c r="A972" s="1010"/>
      <c r="B972" s="1011"/>
      <c r="C972" s="1013"/>
      <c r="D972" s="274" t="s">
        <v>33</v>
      </c>
      <c r="E972" s="271">
        <f>NhanCong!AC$177</f>
        <v>2491660.3800000008</v>
      </c>
      <c r="F972" s="271"/>
      <c r="G972" s="905">
        <f>Dcu!R$274</f>
        <v>52751.696969230776</v>
      </c>
      <c r="H972" s="905">
        <f>VLieu!P$159</f>
        <v>626800</v>
      </c>
      <c r="I972" s="905">
        <f>TBi!Q$404</f>
        <v>21399.213928571426</v>
      </c>
      <c r="J972" s="905">
        <f>TBi!Q$408</f>
        <v>84899.64</v>
      </c>
      <c r="K972" s="905">
        <f t="shared" si="318"/>
        <v>3277510.930897803</v>
      </c>
      <c r="L972" s="905">
        <f t="shared" si="319"/>
        <v>491626.63963467046</v>
      </c>
      <c r="M972" s="906">
        <f t="shared" si="320"/>
        <v>3769137.5705324737</v>
      </c>
      <c r="N972" s="906"/>
      <c r="O972" s="271">
        <f>'DGSP_chitiet (truKH)'!K972</f>
        <v>3256111.7169692316</v>
      </c>
      <c r="P972" s="271">
        <f>'DGSP_chitiet (truKH)'!L972</f>
        <v>488416.75754538469</v>
      </c>
      <c r="Q972" s="306">
        <f>'DGSP_chitiet (truKH)'!M972</f>
        <v>3744528.4745146162</v>
      </c>
      <c r="R972" s="271">
        <f>'DGSP_chitiet (truKH)'!N972</f>
        <v>0</v>
      </c>
      <c r="S972" s="905">
        <f>NhanCong!AD$177</f>
        <v>61887.692307692312</v>
      </c>
    </row>
    <row r="973" spans="1:19" s="240" customFormat="1" ht="26">
      <c r="A973" s="969" t="s">
        <v>246</v>
      </c>
      <c r="B973" s="970" t="str">
        <f>NhanCong!B$179</f>
        <v>Lập Phiếu đo đạc chỉnh lý thửa đất (Công/100 thửa chỉnh lý)</v>
      </c>
      <c r="C973" s="983" t="s">
        <v>329</v>
      </c>
      <c r="D973" s="983" t="s">
        <v>679</v>
      </c>
      <c r="E973" s="984">
        <f>NhanCong!AC$179</f>
        <v>1031101.5000000002</v>
      </c>
      <c r="F973" s="984"/>
      <c r="G973" s="985">
        <f>Dcu!R$270</f>
        <v>47956.088153846154</v>
      </c>
      <c r="H973" s="905">
        <f>VLieu!P$159</f>
        <v>626800</v>
      </c>
      <c r="I973" s="985"/>
      <c r="J973" s="985"/>
      <c r="K973" s="985">
        <f t="shared" si="318"/>
        <v>1705857.5881538463</v>
      </c>
      <c r="L973" s="905">
        <f t="shared" si="319"/>
        <v>255878.63822307694</v>
      </c>
      <c r="M973" s="986">
        <f t="shared" si="320"/>
        <v>1961736.2263769233</v>
      </c>
      <c r="N973" s="986"/>
      <c r="O973" s="271">
        <f>'DGSP_chitiet (truKH)'!K973</f>
        <v>1705857.5881538463</v>
      </c>
      <c r="P973" s="271">
        <f>'DGSP_chitiet (truKH)'!L973</f>
        <v>255878.63822307694</v>
      </c>
      <c r="Q973" s="306">
        <f>'DGSP_chitiet (truKH)'!M973</f>
        <v>1961736.2263769233</v>
      </c>
      <c r="R973" s="271">
        <f>'DGSP_chitiet (truKH)'!N973</f>
        <v>0</v>
      </c>
      <c r="S973" s="985">
        <f>NhanCong!AD$179</f>
        <v>29192.307692307691</v>
      </c>
    </row>
    <row r="974" spans="1:19" s="240" customFormat="1" ht="26">
      <c r="A974" s="969" t="s">
        <v>271</v>
      </c>
      <c r="B974" s="970" t="str">
        <f>NhanCong!B$180</f>
        <v>Bổ sung sổ mục kê (công nhóm/100 thửa chỉnh lý)</v>
      </c>
      <c r="C974" s="983" t="s">
        <v>329</v>
      </c>
      <c r="D974" s="983" t="s">
        <v>679</v>
      </c>
      <c r="E974" s="984">
        <f>NhanCong!AC$180</f>
        <v>893621.30000000016</v>
      </c>
      <c r="F974" s="984"/>
      <c r="G974" s="985">
        <f>Dcu!R$290</f>
        <v>13800.392222222223</v>
      </c>
      <c r="H974" s="985">
        <f>VLieu!J$170</f>
        <v>120500</v>
      </c>
      <c r="I974" s="985">
        <f>TBi!N$411</f>
        <v>6891.4414285714283</v>
      </c>
      <c r="J974" s="985">
        <f>TBi!N$414</f>
        <v>27379.800000000003</v>
      </c>
      <c r="K974" s="985">
        <f t="shared" si="318"/>
        <v>1062192.9336507937</v>
      </c>
      <c r="L974" s="905">
        <f t="shared" si="319"/>
        <v>159328.94004761905</v>
      </c>
      <c r="M974" s="986">
        <f t="shared" si="320"/>
        <v>1221521.8736984129</v>
      </c>
      <c r="N974" s="986"/>
      <c r="O974" s="271">
        <f>'DGSP_chitiet (truKH)'!K974</f>
        <v>1055301.4922222223</v>
      </c>
      <c r="P974" s="271">
        <f>'DGSP_chitiet (truKH)'!L974</f>
        <v>158295.22383333332</v>
      </c>
      <c r="Q974" s="306">
        <f>'DGSP_chitiet (truKH)'!M974</f>
        <v>1213596.7160555555</v>
      </c>
      <c r="R974" s="271">
        <f>'DGSP_chitiet (truKH)'!N974</f>
        <v>0</v>
      </c>
      <c r="S974" s="985">
        <f>NhanCong!AD$180</f>
        <v>25300</v>
      </c>
    </row>
    <row r="975" spans="1:19" s="240" customFormat="1" ht="26">
      <c r="A975" s="969" t="s">
        <v>365</v>
      </c>
      <c r="B975" s="970" t="str">
        <f>NhanCong!B$181</f>
        <v>Biên tập bản đồ và in (công nhóm/mảnh)</v>
      </c>
      <c r="C975" s="983" t="s">
        <v>317</v>
      </c>
      <c r="D975" s="983" t="s">
        <v>679</v>
      </c>
      <c r="E975" s="984">
        <f>NhanCong!AC$181</f>
        <v>95.472361111111127</v>
      </c>
      <c r="F975" s="984"/>
      <c r="G975" s="985">
        <f>Dcu!R$304</f>
        <v>7.1435598290598312</v>
      </c>
      <c r="H975" s="985">
        <f>VLieu!P$181</f>
        <v>23.362500000000001</v>
      </c>
      <c r="I975" s="985">
        <f>TBi!N$443</f>
        <v>1.5326767857142858</v>
      </c>
      <c r="J975" s="985">
        <f>TBi!N$447</f>
        <v>2.6279166666666667</v>
      </c>
      <c r="K975" s="985">
        <f>SUM(E975:J975)</f>
        <v>130.1390143925519</v>
      </c>
      <c r="L975" s="905">
        <f t="shared" si="319"/>
        <v>19.520852158882786</v>
      </c>
      <c r="M975" s="986">
        <f>K975+L975</f>
        <v>149.65986655143467</v>
      </c>
      <c r="N975" s="986"/>
      <c r="O975" s="271">
        <f>'DGSP_chitiet (truKH)'!K975</f>
        <v>128.60633760683763</v>
      </c>
      <c r="P975" s="271">
        <f>'DGSP_chitiet (truKH)'!L975</f>
        <v>19.290950641025642</v>
      </c>
      <c r="Q975" s="306">
        <f>'DGSP_chitiet (truKH)'!M975</f>
        <v>147.89728824786326</v>
      </c>
      <c r="R975" s="271">
        <f>'DGSP_chitiet (truKH)'!N975</f>
        <v>0</v>
      </c>
      <c r="S975" s="985">
        <f>NhanCong!AD$181</f>
        <v>2.7029914529914527</v>
      </c>
    </row>
    <row r="976" spans="1:19" s="240" customFormat="1" ht="26">
      <c r="A976" s="969" t="s">
        <v>366</v>
      </c>
      <c r="B976" s="970" t="str">
        <f>NhanCong!B$182</f>
        <v>Xác nhận hồ sơ các cấp (công nhóm/mảnh)</v>
      </c>
      <c r="C976" s="983" t="s">
        <v>317</v>
      </c>
      <c r="D976" s="983" t="s">
        <v>679</v>
      </c>
      <c r="E976" s="984">
        <f>NhanCong!AC$182</f>
        <v>190.94472222222225</v>
      </c>
      <c r="F976" s="984"/>
      <c r="G976" s="985">
        <f>Dcu!R$304</f>
        <v>7.1435598290598312</v>
      </c>
      <c r="H976" s="985">
        <f>VLieu!P$181</f>
        <v>23.362500000000001</v>
      </c>
      <c r="I976" s="985">
        <f>TBi!N$443</f>
        <v>1.5326767857142858</v>
      </c>
      <c r="J976" s="985">
        <f>TBi!N$447</f>
        <v>2.6279166666666667</v>
      </c>
      <c r="K976" s="985">
        <f>SUM(E976:J976)</f>
        <v>225.61137550366303</v>
      </c>
      <c r="L976" s="905">
        <f t="shared" si="319"/>
        <v>33.841706325549453</v>
      </c>
      <c r="M976" s="986">
        <f>K976+L976</f>
        <v>259.45308182921246</v>
      </c>
      <c r="N976" s="986"/>
      <c r="O976" s="271">
        <f>'DGSP_chitiet (truKH)'!K976</f>
        <v>224.07869871794875</v>
      </c>
      <c r="P976" s="271">
        <f>'DGSP_chitiet (truKH)'!L976</f>
        <v>33.611804807692309</v>
      </c>
      <c r="Q976" s="306">
        <f>'DGSP_chitiet (truKH)'!M976</f>
        <v>257.69050352564108</v>
      </c>
      <c r="R976" s="271">
        <f>'DGSP_chitiet (truKH)'!N976</f>
        <v>0</v>
      </c>
      <c r="S976" s="985">
        <f>NhanCong!AD$182</f>
        <v>5.4059829059829054</v>
      </c>
    </row>
    <row r="977" spans="1:19" s="240" customFormat="1" ht="26">
      <c r="A977" s="969" t="s">
        <v>367</v>
      </c>
      <c r="B977" s="970" t="str">
        <f>NhanCong!B$183</f>
        <v>Giao nộp sản phẩm (công nhóm/mảnh)</v>
      </c>
      <c r="C977" s="983" t="s">
        <v>317</v>
      </c>
      <c r="D977" s="983" t="s">
        <v>679</v>
      </c>
      <c r="E977" s="984">
        <f>NhanCong!AC$183</f>
        <v>381.88944444444451</v>
      </c>
      <c r="F977" s="984"/>
      <c r="G977" s="985">
        <f>Dcu!R$304</f>
        <v>7.1435598290598312</v>
      </c>
      <c r="H977" s="985">
        <f>VLieu!P$181</f>
        <v>23.362500000000001</v>
      </c>
      <c r="I977" s="985">
        <f>TBi!N$443</f>
        <v>1.5326767857142858</v>
      </c>
      <c r="J977" s="985">
        <f>TBi!N$447</f>
        <v>2.6279166666666667</v>
      </c>
      <c r="K977" s="985">
        <f>SUM(E977:J977)</f>
        <v>416.55609772588531</v>
      </c>
      <c r="L977" s="905">
        <f>K977*0.15</f>
        <v>62.483414658882793</v>
      </c>
      <c r="M977" s="986">
        <f>K977+L977</f>
        <v>479.0395123847681</v>
      </c>
      <c r="N977" s="986"/>
      <c r="O977" s="271">
        <f>'DGSP_chitiet (truKH)'!K977</f>
        <v>415.02342094017104</v>
      </c>
      <c r="P977" s="271">
        <f>'DGSP_chitiet (truKH)'!L977</f>
        <v>62.25351314102565</v>
      </c>
      <c r="Q977" s="306">
        <f>'DGSP_chitiet (truKH)'!M977</f>
        <v>477.27693408119671</v>
      </c>
      <c r="R977" s="271">
        <f>'DGSP_chitiet (truKH)'!N977</f>
        <v>0</v>
      </c>
      <c r="S977" s="985">
        <f>NhanCong!AD$183</f>
        <v>10.811965811965811</v>
      </c>
    </row>
    <row r="978" spans="1:19" ht="20.25" customHeight="1">
      <c r="A978" s="242" t="str">
        <f>L_CViec!A57</f>
        <v>V</v>
      </c>
      <c r="B978" s="965" t="str">
        <f>L_CViec!B57</f>
        <v>TRÍCH ĐO ĐỊA CHÍNH THỬA ĐẤT:</v>
      </c>
      <c r="C978" s="243"/>
      <c r="D978" s="243"/>
      <c r="E978" s="271"/>
      <c r="F978" s="271"/>
      <c r="G978" s="271"/>
      <c r="H978" s="271"/>
      <c r="I978" s="271"/>
      <c r="J978" s="271"/>
      <c r="K978" s="271"/>
      <c r="L978" s="271"/>
      <c r="M978" s="272"/>
      <c r="N978" s="272"/>
      <c r="O978" s="271">
        <f>'DGSP_chitiet (truKH)'!K978</f>
        <v>0</v>
      </c>
      <c r="P978" s="271">
        <f>'DGSP_chitiet (truKH)'!L978</f>
        <v>0</v>
      </c>
      <c r="Q978" s="306">
        <f>'DGSP_chitiet (truKH)'!M978</f>
        <v>0</v>
      </c>
      <c r="R978" s="271">
        <f>'DGSP_chitiet (truKH)'!N978</f>
        <v>0</v>
      </c>
      <c r="S978" s="271"/>
    </row>
    <row r="979" spans="1:19">
      <c r="A979" s="242" t="s">
        <v>27</v>
      </c>
      <c r="B979" s="276" t="s">
        <v>298</v>
      </c>
      <c r="C979" s="243"/>
      <c r="D979" s="243"/>
      <c r="E979" s="271"/>
      <c r="F979" s="271"/>
      <c r="G979" s="271"/>
      <c r="H979" s="271"/>
      <c r="I979" s="271"/>
      <c r="J979" s="271"/>
      <c r="K979" s="271"/>
      <c r="L979" s="271"/>
      <c r="M979" s="272"/>
      <c r="N979" s="272"/>
      <c r="O979" s="271">
        <f>'DGSP_chitiet (truKH)'!K979</f>
        <v>0</v>
      </c>
      <c r="P979" s="271">
        <f>'DGSP_chitiet (truKH)'!L979</f>
        <v>0</v>
      </c>
      <c r="Q979" s="306">
        <f>'DGSP_chitiet (truKH)'!M979</f>
        <v>0</v>
      </c>
      <c r="R979" s="271">
        <f>'DGSP_chitiet (truKH)'!N979</f>
        <v>0</v>
      </c>
      <c r="S979" s="271"/>
    </row>
    <row r="980" spans="1:19">
      <c r="A980" s="243">
        <v>1</v>
      </c>
      <c r="B980" s="229" t="s">
        <v>623</v>
      </c>
      <c r="C980" s="243" t="s">
        <v>49</v>
      </c>
      <c r="D980" s="278"/>
      <c r="E980" s="271">
        <f>NhanCong!I200+NhanCong!I201</f>
        <v>1887420.4800000004</v>
      </c>
      <c r="F980" s="271"/>
      <c r="G980" s="905">
        <f t="shared" ref="G980:J981" si="321">(G129+G134)*0.02</f>
        <v>1487.4959177025644</v>
      </c>
      <c r="H980" s="905">
        <f t="shared" si="321"/>
        <v>69020.452799999999</v>
      </c>
      <c r="I980" s="905">
        <f t="shared" si="321"/>
        <v>3720.441302857143</v>
      </c>
      <c r="J980" s="905">
        <f t="shared" si="321"/>
        <v>1287.0910079999999</v>
      </c>
      <c r="K980" s="985">
        <f>SUM(E980:J980)</f>
        <v>1962935.9610285603</v>
      </c>
      <c r="L980" s="905">
        <f>K980*0.25</f>
        <v>490733.99025714007</v>
      </c>
      <c r="M980" s="906">
        <f>K980+L980</f>
        <v>2453669.9512857003</v>
      </c>
      <c r="N980" s="906"/>
      <c r="O980" s="271">
        <f>'DGSP_chitiet (truKH)'!K980</f>
        <v>1959215.5197257032</v>
      </c>
      <c r="P980" s="271">
        <f>'DGSP_chitiet (truKH)'!L980</f>
        <v>489803.87993142579</v>
      </c>
      <c r="Q980" s="306">
        <f>'DGSP_chitiet (truKH)'!M980</f>
        <v>2449019.3996571288</v>
      </c>
      <c r="R980" s="271">
        <f>'DGSP_chitiet (truKH)'!N980</f>
        <v>0</v>
      </c>
      <c r="S980" s="905">
        <f>NhanCong!J200+NhanCong!J201</f>
        <v>56049.230769230766</v>
      </c>
    </row>
    <row r="981" spans="1:19">
      <c r="A981" s="243">
        <v>2</v>
      </c>
      <c r="B981" s="229" t="s">
        <v>624</v>
      </c>
      <c r="C981" s="243"/>
      <c r="D981" s="243"/>
      <c r="E981" s="271">
        <f>NhanCong!I197+NhanCong!I198</f>
        <v>2831130.7200000007</v>
      </c>
      <c r="F981" s="271"/>
      <c r="G981" s="905">
        <f t="shared" si="321"/>
        <v>1803.6581947623938</v>
      </c>
      <c r="H981" s="905">
        <f t="shared" si="321"/>
        <v>69020.452799999999</v>
      </c>
      <c r="I981" s="905">
        <f t="shared" si="321"/>
        <v>4549.8212251428577</v>
      </c>
      <c r="J981" s="905">
        <f t="shared" si="321"/>
        <v>1367.6544000000001</v>
      </c>
      <c r="K981" s="985">
        <f>SUM(E981:J981)</f>
        <v>2907872.3066199059</v>
      </c>
      <c r="L981" s="905">
        <f>K981*0.25</f>
        <v>726968.07665497647</v>
      </c>
      <c r="M981" s="906">
        <f>K981+L981</f>
        <v>3634840.3832748821</v>
      </c>
      <c r="N981" s="906"/>
      <c r="O981" s="271">
        <f>'DGSP_chitiet (truKH)'!K981</f>
        <v>2903322.4853947628</v>
      </c>
      <c r="P981" s="271">
        <f>'DGSP_chitiet (truKH)'!L981</f>
        <v>725830.62134869071</v>
      </c>
      <c r="Q981" s="306">
        <f>'DGSP_chitiet (truKH)'!M981</f>
        <v>3629153.1067434535</v>
      </c>
      <c r="R981" s="271">
        <f>'DGSP_chitiet (truKH)'!N981</f>
        <v>0</v>
      </c>
      <c r="S981" s="905">
        <f>NhanCong!J197+NhanCong!J198</f>
        <v>84073.846153846142</v>
      </c>
    </row>
    <row r="982" spans="1:19">
      <c r="A982" s="243"/>
      <c r="B982" s="229"/>
      <c r="C982" s="243"/>
      <c r="D982" s="243"/>
      <c r="E982" s="271"/>
      <c r="F982" s="271"/>
      <c r="G982" s="905"/>
      <c r="H982" s="905"/>
      <c r="I982" s="905"/>
      <c r="J982" s="905"/>
      <c r="K982" s="905"/>
      <c r="L982" s="905"/>
      <c r="M982" s="906"/>
      <c r="N982" s="906"/>
      <c r="O982" s="271">
        <f>'DGSP_chitiet (truKH)'!K982</f>
        <v>0</v>
      </c>
      <c r="P982" s="271">
        <f>'DGSP_chitiet (truKH)'!L982</f>
        <v>0</v>
      </c>
      <c r="Q982" s="306">
        <f>'DGSP_chitiet (truKH)'!M982</f>
        <v>0</v>
      </c>
      <c r="R982" s="271">
        <f>'DGSP_chitiet (truKH)'!N982</f>
        <v>0</v>
      </c>
      <c r="S982" s="905"/>
    </row>
    <row r="983" spans="1:19">
      <c r="A983" s="242" t="s">
        <v>28</v>
      </c>
      <c r="B983" s="276" t="s">
        <v>212</v>
      </c>
      <c r="C983" s="243"/>
      <c r="D983" s="243"/>
      <c r="E983" s="271"/>
      <c r="F983" s="271"/>
      <c r="G983" s="271"/>
      <c r="H983" s="271"/>
      <c r="I983" s="271"/>
      <c r="J983" s="271"/>
      <c r="K983" s="271"/>
      <c r="L983" s="271"/>
      <c r="M983" s="272"/>
      <c r="N983" s="272"/>
      <c r="O983" s="271">
        <f>'DGSP_chitiet (truKH)'!K983</f>
        <v>0</v>
      </c>
      <c r="P983" s="271">
        <f>'DGSP_chitiet (truKH)'!L983</f>
        <v>0</v>
      </c>
      <c r="Q983" s="306">
        <f>'DGSP_chitiet (truKH)'!M983</f>
        <v>0</v>
      </c>
      <c r="R983" s="271">
        <f>'DGSP_chitiet (truKH)'!N983</f>
        <v>0</v>
      </c>
      <c r="S983" s="271"/>
    </row>
    <row r="984" spans="1:19">
      <c r="A984" s="243">
        <v>1</v>
      </c>
      <c r="B984" s="229" t="s">
        <v>623</v>
      </c>
      <c r="C984" s="243" t="s">
        <v>49</v>
      </c>
      <c r="D984" s="278"/>
      <c r="E984" s="271">
        <f>NhanCong!M200+NhanCong!M201</f>
        <v>2241311.8200000008</v>
      </c>
      <c r="F984" s="271"/>
      <c r="G984" s="905">
        <f>($E984/$E$980)*G$980</f>
        <v>1766.4014022717956</v>
      </c>
      <c r="H984" s="905">
        <f>($E984/$E$980)*H$980</f>
        <v>81961.787700000015</v>
      </c>
      <c r="I984" s="905">
        <f>($E984/$E$980)*I$980</f>
        <v>4418.0240471428579</v>
      </c>
      <c r="J984" s="905">
        <f>($E984/$E$980)*J$980</f>
        <v>1528.4205720000002</v>
      </c>
      <c r="K984" s="985">
        <f>SUM(E984:J984)</f>
        <v>2330986.4537214157</v>
      </c>
      <c r="L984" s="905">
        <f>K984*0.25</f>
        <v>582746.61343035393</v>
      </c>
      <c r="M984" s="906">
        <f>K984+L984</f>
        <v>2913733.0671517695</v>
      </c>
      <c r="N984" s="906"/>
      <c r="O984" s="271">
        <f>'DGSP_chitiet (truKH)'!K984</f>
        <v>2326568.4296742729</v>
      </c>
      <c r="P984" s="271">
        <f>'DGSP_chitiet (truKH)'!L984</f>
        <v>581642.10741856822</v>
      </c>
      <c r="Q984" s="306">
        <f>'DGSP_chitiet (truKH)'!M984</f>
        <v>2908210.5370928412</v>
      </c>
      <c r="R984" s="271">
        <f>'DGSP_chitiet (truKH)'!N984</f>
        <v>0</v>
      </c>
      <c r="S984" s="905">
        <f>NhanCong!N201+NhanCong!N200</f>
        <v>66558.461538461546</v>
      </c>
    </row>
    <row r="985" spans="1:19">
      <c r="A985" s="243">
        <v>2</v>
      </c>
      <c r="B985" s="229" t="s">
        <v>624</v>
      </c>
      <c r="C985" s="243"/>
      <c r="D985" s="243"/>
      <c r="E985" s="271">
        <f>NhanCong!M198+NhanCong!M197</f>
        <v>3361967.7300000004</v>
      </c>
      <c r="F985" s="271"/>
      <c r="G985" s="905">
        <f>($E985/$E$981)*G$981</f>
        <v>2141.8441062803422</v>
      </c>
      <c r="H985" s="905">
        <f>($E985/$E$981)*H$981</f>
        <v>81961.787699999986</v>
      </c>
      <c r="I985" s="905">
        <f>($E985/$E$981)*I$981</f>
        <v>5402.9127048571427</v>
      </c>
      <c r="J985" s="905">
        <f>($E985/$E$981)*J$981</f>
        <v>1624.0895999999998</v>
      </c>
      <c r="K985" s="985">
        <f>SUM(E985:J985)</f>
        <v>3453098.364111138</v>
      </c>
      <c r="L985" s="905">
        <f>K985*0.25</f>
        <v>863274.59102778451</v>
      </c>
      <c r="M985" s="906">
        <f>K985+L985</f>
        <v>4316372.9551389227</v>
      </c>
      <c r="N985" s="906"/>
      <c r="O985" s="271">
        <f>'DGSP_chitiet (truKH)'!K985</f>
        <v>3447695.451406281</v>
      </c>
      <c r="P985" s="271">
        <f>'DGSP_chitiet (truKH)'!L985</f>
        <v>861923.86285157024</v>
      </c>
      <c r="Q985" s="306">
        <f>'DGSP_chitiet (truKH)'!M985</f>
        <v>4309619.3142578509</v>
      </c>
      <c r="R985" s="271">
        <f>'DGSP_chitiet (truKH)'!N985</f>
        <v>0</v>
      </c>
      <c r="S985" s="905">
        <f>NhanCong!N198+NhanCong!N197</f>
        <v>99837.692307692283</v>
      </c>
    </row>
    <row r="986" spans="1:19">
      <c r="A986" s="243"/>
      <c r="B986" s="229"/>
      <c r="C986" s="243"/>
      <c r="D986" s="243"/>
      <c r="E986" s="271"/>
      <c r="F986" s="271"/>
      <c r="G986" s="905"/>
      <c r="H986" s="905"/>
      <c r="I986" s="905"/>
      <c r="J986" s="905"/>
      <c r="K986" s="905"/>
      <c r="L986" s="905"/>
      <c r="M986" s="906"/>
      <c r="N986" s="906"/>
      <c r="O986" s="271">
        <f>'DGSP_chitiet (truKH)'!K986</f>
        <v>0</v>
      </c>
      <c r="P986" s="271">
        <f>'DGSP_chitiet (truKH)'!L986</f>
        <v>0</v>
      </c>
      <c r="Q986" s="306">
        <f>'DGSP_chitiet (truKH)'!M986</f>
        <v>0</v>
      </c>
      <c r="R986" s="271">
        <f>'DGSP_chitiet (truKH)'!N986</f>
        <v>0</v>
      </c>
      <c r="S986" s="905"/>
    </row>
    <row r="987" spans="1:19">
      <c r="A987" s="242" t="s">
        <v>29</v>
      </c>
      <c r="B987" s="276" t="s">
        <v>213</v>
      </c>
      <c r="C987" s="243"/>
      <c r="D987" s="243"/>
      <c r="E987" s="271"/>
      <c r="F987" s="271"/>
      <c r="G987" s="271"/>
      <c r="H987" s="271"/>
      <c r="I987" s="271"/>
      <c r="J987" s="271"/>
      <c r="K987" s="271"/>
      <c r="L987" s="271"/>
      <c r="M987" s="272"/>
      <c r="N987" s="272"/>
      <c r="O987" s="271">
        <f>'DGSP_chitiet (truKH)'!K987</f>
        <v>0</v>
      </c>
      <c r="P987" s="271">
        <f>'DGSP_chitiet (truKH)'!L987</f>
        <v>0</v>
      </c>
      <c r="Q987" s="306">
        <f>'DGSP_chitiet (truKH)'!M987</f>
        <v>0</v>
      </c>
      <c r="R987" s="271">
        <f>'DGSP_chitiet (truKH)'!N987</f>
        <v>0</v>
      </c>
      <c r="S987" s="271"/>
    </row>
    <row r="988" spans="1:19">
      <c r="A988" s="243">
        <v>1</v>
      </c>
      <c r="B988" s="229" t="s">
        <v>623</v>
      </c>
      <c r="C988" s="243" t="s">
        <v>49</v>
      </c>
      <c r="D988" s="278"/>
      <c r="E988" s="271">
        <f>NhanCong!Q200+NhanCong!Q201</f>
        <v>2383851.3875000007</v>
      </c>
      <c r="F988" s="271"/>
      <c r="G988" s="905">
        <f>($E988/$E$980)*G$980</f>
        <v>1878.7383335566244</v>
      </c>
      <c r="H988" s="905">
        <f>($E988/$E$980)*H$980</f>
        <v>87174.269812500002</v>
      </c>
      <c r="I988" s="905">
        <f>($E988/$E$980)*I$980</f>
        <v>4698.9948747023818</v>
      </c>
      <c r="J988" s="905">
        <f>($E988/$E$980)*J$980</f>
        <v>1625.6227575</v>
      </c>
      <c r="K988" s="985">
        <f>SUM(E988:J988)</f>
        <v>2479229.0132782599</v>
      </c>
      <c r="L988" s="905">
        <f>K988*0.25</f>
        <v>619807.25331956497</v>
      </c>
      <c r="M988" s="906">
        <f>K988+L988</f>
        <v>3099036.2665978251</v>
      </c>
      <c r="N988" s="906"/>
      <c r="O988" s="271">
        <f>'DGSP_chitiet (truKH)'!K988</f>
        <v>2474530.0184035576</v>
      </c>
      <c r="P988" s="271">
        <f>'DGSP_chitiet (truKH)'!L988</f>
        <v>618632.5046008894</v>
      </c>
      <c r="Q988" s="306">
        <f>'DGSP_chitiet (truKH)'!M988</f>
        <v>3093162.5230044471</v>
      </c>
      <c r="R988" s="271">
        <f>'DGSP_chitiet (truKH)'!N988</f>
        <v>0</v>
      </c>
      <c r="S988" s="905">
        <f>NhanCong!R200+NhanCong!R201</f>
        <v>70791.346153846156</v>
      </c>
    </row>
    <row r="989" spans="1:19">
      <c r="A989" s="243">
        <v>2</v>
      </c>
      <c r="B989" s="229" t="s">
        <v>624</v>
      </c>
      <c r="C989" s="243"/>
      <c r="D989" s="243"/>
      <c r="E989" s="271">
        <f>NhanCong!Q197+NhanCong!Q198</f>
        <v>3563489.1875000009</v>
      </c>
      <c r="F989" s="271"/>
      <c r="G989" s="905">
        <f>($E989/$E$981)*G$981</f>
        <v>2270.2294986158604</v>
      </c>
      <c r="H989" s="905">
        <f>($E989/$E$981)*H$981</f>
        <v>86874.701874999999</v>
      </c>
      <c r="I989" s="905">
        <f>($E989/$E$981)*I$981</f>
        <v>5726.771507341271</v>
      </c>
      <c r="J989" s="905">
        <f>($E989/$E$981)*J$981</f>
        <v>1721.4400000000003</v>
      </c>
      <c r="K989" s="985">
        <f>SUM(E989:J989)</f>
        <v>3660082.330380958</v>
      </c>
      <c r="L989" s="905">
        <f>K989*0.25</f>
        <v>915020.58259523951</v>
      </c>
      <c r="M989" s="906">
        <f>K989+L989</f>
        <v>4575102.9129761979</v>
      </c>
      <c r="N989" s="906"/>
      <c r="O989" s="271">
        <f>'DGSP_chitiet (truKH)'!K989</f>
        <v>3654355.5588736166</v>
      </c>
      <c r="P989" s="271">
        <f>'DGSP_chitiet (truKH)'!L989</f>
        <v>913588.88971840416</v>
      </c>
      <c r="Q989" s="306">
        <f>'DGSP_chitiet (truKH)'!M989</f>
        <v>4567944.4485920211</v>
      </c>
      <c r="R989" s="271">
        <f>'DGSP_chitiet (truKH)'!N989</f>
        <v>0</v>
      </c>
      <c r="S989" s="905">
        <f>NhanCong!R198+NhanCong!R197</f>
        <v>105822.11538461538</v>
      </c>
    </row>
    <row r="990" spans="1:19">
      <c r="A990" s="243"/>
      <c r="B990" s="229"/>
      <c r="C990" s="243"/>
      <c r="D990" s="243"/>
      <c r="E990" s="271"/>
      <c r="F990" s="271"/>
      <c r="G990" s="905"/>
      <c r="H990" s="905"/>
      <c r="I990" s="905"/>
      <c r="J990" s="905"/>
      <c r="K990" s="905"/>
      <c r="L990" s="905"/>
      <c r="M990" s="906"/>
      <c r="N990" s="906"/>
      <c r="O990" s="271">
        <f>'DGSP_chitiet (truKH)'!K990</f>
        <v>0</v>
      </c>
      <c r="P990" s="271">
        <f>'DGSP_chitiet (truKH)'!L990</f>
        <v>0</v>
      </c>
      <c r="Q990" s="306">
        <f>'DGSP_chitiet (truKH)'!M990</f>
        <v>0</v>
      </c>
      <c r="R990" s="271">
        <f>'DGSP_chitiet (truKH)'!N990</f>
        <v>0</v>
      </c>
      <c r="S990" s="905"/>
    </row>
    <row r="991" spans="1:19">
      <c r="A991" s="242" t="s">
        <v>30</v>
      </c>
      <c r="B991" s="276" t="s">
        <v>214</v>
      </c>
      <c r="C991" s="243"/>
      <c r="D991" s="243"/>
      <c r="E991" s="271"/>
      <c r="F991" s="271"/>
      <c r="G991" s="271"/>
      <c r="H991" s="271"/>
      <c r="I991" s="271"/>
      <c r="J991" s="271"/>
      <c r="K991" s="271"/>
      <c r="L991" s="271"/>
      <c r="M991" s="272"/>
      <c r="N991" s="272"/>
      <c r="O991" s="271">
        <f>'DGSP_chitiet (truKH)'!K991</f>
        <v>0</v>
      </c>
      <c r="P991" s="271">
        <f>'DGSP_chitiet (truKH)'!L991</f>
        <v>0</v>
      </c>
      <c r="Q991" s="306">
        <f>'DGSP_chitiet (truKH)'!M991</f>
        <v>0</v>
      </c>
      <c r="R991" s="271">
        <f>'DGSP_chitiet (truKH)'!N991</f>
        <v>0</v>
      </c>
      <c r="S991" s="271"/>
    </row>
    <row r="992" spans="1:19">
      <c r="A992" s="243">
        <v>1</v>
      </c>
      <c r="B992" s="229" t="s">
        <v>210</v>
      </c>
      <c r="C992" s="243" t="s">
        <v>49</v>
      </c>
      <c r="D992" s="278"/>
      <c r="E992" s="271">
        <f>NhanCong!U200+NhanCong!U201</f>
        <v>2902400.5037500006</v>
      </c>
      <c r="F992" s="271"/>
      <c r="G992" s="905">
        <f>($E992/$E$980)*G$980</f>
        <v>2287.4123421962609</v>
      </c>
      <c r="H992" s="905">
        <f>($E992/$E$980)*H$980</f>
        <v>106136.92025624998</v>
      </c>
      <c r="I992" s="905">
        <f>($E992/$E$980)*I$980</f>
        <v>5721.1473680654763</v>
      </c>
      <c r="J992" s="905">
        <f>($E992/$E$980)*J$980</f>
        <v>1979.2376047499997</v>
      </c>
      <c r="K992" s="985">
        <f>SUM(E992:J992)</f>
        <v>3018525.2213212624</v>
      </c>
      <c r="L992" s="905">
        <f>K992*0.25</f>
        <v>754631.3053303156</v>
      </c>
      <c r="M992" s="906">
        <f>K992+L992</f>
        <v>3773156.526651578</v>
      </c>
      <c r="N992" s="906"/>
      <c r="O992" s="271">
        <f>'DGSP_chitiet (truKH)'!K992</f>
        <v>3012804.0739531969</v>
      </c>
      <c r="P992" s="271">
        <f>'DGSP_chitiet (truKH)'!L992</f>
        <v>753201.01848829922</v>
      </c>
      <c r="Q992" s="306">
        <f>'DGSP_chitiet (truKH)'!M992</f>
        <v>3766005.092441496</v>
      </c>
      <c r="R992" s="271">
        <f>'DGSP_chitiet (truKH)'!N992</f>
        <v>0</v>
      </c>
      <c r="S992" s="905">
        <f>NhanCong!V201+NhanCong!V200</f>
        <v>86190.288461538454</v>
      </c>
    </row>
    <row r="993" spans="1:19">
      <c r="A993" s="243">
        <v>2</v>
      </c>
      <c r="B993" s="229" t="s">
        <v>211</v>
      </c>
      <c r="C993" s="243"/>
      <c r="D993" s="243"/>
      <c r="E993" s="271">
        <f>NhanCong!U197+NhanCong!U198</f>
        <v>4364659.8600000013</v>
      </c>
      <c r="F993" s="271"/>
      <c r="G993" s="905">
        <f>($E993/$E$981)*G$981</f>
        <v>2780.6397169253573</v>
      </c>
      <c r="H993" s="905">
        <f>($E993/$E$981)*H$981</f>
        <v>106406.53140000001</v>
      </c>
      <c r="I993" s="905">
        <f>($E993/$E$981)*I$981</f>
        <v>7014.3077220952391</v>
      </c>
      <c r="J993" s="905">
        <f>($E993/$E$981)*J$981</f>
        <v>2108.4672000000005</v>
      </c>
      <c r="K993" s="985">
        <f>SUM(E993:J993)</f>
        <v>4482969.8060390214</v>
      </c>
      <c r="L993" s="905">
        <f>K993*0.25</f>
        <v>1120742.4515097553</v>
      </c>
      <c r="M993" s="906">
        <f>K993+L993</f>
        <v>5603712.2575487765</v>
      </c>
      <c r="N993" s="906"/>
      <c r="O993" s="271">
        <f>'DGSP_chitiet (truKH)'!K993</f>
        <v>4475955.498316926</v>
      </c>
      <c r="P993" s="271">
        <f>'DGSP_chitiet (truKH)'!L993</f>
        <v>1118988.8745792315</v>
      </c>
      <c r="Q993" s="306">
        <f>'DGSP_chitiet (truKH)'!M993</f>
        <v>5594944.3728961572</v>
      </c>
      <c r="R993" s="271">
        <f>'DGSP_chitiet (truKH)'!N993</f>
        <v>0</v>
      </c>
      <c r="S993" s="905">
        <f>NhanCong!V197+NhanCong!V198</f>
        <v>129613.84615384613</v>
      </c>
    </row>
    <row r="994" spans="1:19">
      <c r="A994" s="243"/>
      <c r="B994" s="229"/>
      <c r="C994" s="243"/>
      <c r="D994" s="243"/>
      <c r="E994" s="271"/>
      <c r="F994" s="271"/>
      <c r="G994" s="905"/>
      <c r="H994" s="905"/>
      <c r="I994" s="905"/>
      <c r="J994" s="905"/>
      <c r="K994" s="905"/>
      <c r="L994" s="905"/>
      <c r="M994" s="906"/>
      <c r="N994" s="906"/>
      <c r="O994" s="271">
        <f>'DGSP_chitiet (truKH)'!K994</f>
        <v>0</v>
      </c>
      <c r="P994" s="271">
        <f>'DGSP_chitiet (truKH)'!L994</f>
        <v>0</v>
      </c>
      <c r="Q994" s="306">
        <f>'DGSP_chitiet (truKH)'!M994</f>
        <v>0</v>
      </c>
      <c r="R994" s="271">
        <f>'DGSP_chitiet (truKH)'!N994</f>
        <v>0</v>
      </c>
      <c r="S994" s="905"/>
    </row>
    <row r="995" spans="1:19">
      <c r="A995" s="242" t="s">
        <v>31</v>
      </c>
      <c r="B995" s="276" t="s">
        <v>215</v>
      </c>
      <c r="C995" s="243"/>
      <c r="D995" s="243"/>
      <c r="E995" s="271"/>
      <c r="F995" s="271"/>
      <c r="G995" s="271"/>
      <c r="H995" s="271"/>
      <c r="I995" s="271"/>
      <c r="J995" s="271"/>
      <c r="K995" s="271"/>
      <c r="L995" s="271"/>
      <c r="M995" s="272"/>
      <c r="N995" s="272"/>
      <c r="O995" s="271">
        <f>'DGSP_chitiet (truKH)'!K995</f>
        <v>0</v>
      </c>
      <c r="P995" s="271">
        <f>'DGSP_chitiet (truKH)'!L995</f>
        <v>0</v>
      </c>
      <c r="Q995" s="306">
        <f>'DGSP_chitiet (truKH)'!M995</f>
        <v>0</v>
      </c>
      <c r="R995" s="271">
        <f>'DGSP_chitiet (truKH)'!N995</f>
        <v>0</v>
      </c>
      <c r="S995" s="271"/>
    </row>
    <row r="996" spans="1:19">
      <c r="A996" s="243">
        <v>1</v>
      </c>
      <c r="B996" s="229" t="s">
        <v>623</v>
      </c>
      <c r="C996" s="243" t="s">
        <v>49</v>
      </c>
      <c r="D996" s="278"/>
      <c r="E996" s="271">
        <f>NhanCong!Y201+NhanCong!Y200</f>
        <v>3976362.4175000014</v>
      </c>
      <c r="F996" s="271"/>
      <c r="G996" s="905">
        <f>($E996/$E$980)*G$980</f>
        <v>3133.8130141181632</v>
      </c>
      <c r="H996" s="905">
        <f>($E996/$E$980)*H$980</f>
        <v>145410.2768625</v>
      </c>
      <c r="I996" s="905">
        <f>($E996/$E$980)*I$980</f>
        <v>7838.1172239880962</v>
      </c>
      <c r="J996" s="905">
        <f>($E996/$E$980)*J$980</f>
        <v>2711.6057955000001</v>
      </c>
      <c r="K996" s="985">
        <f>SUM(E996:J996)</f>
        <v>4135456.2303961078</v>
      </c>
      <c r="L996" s="905">
        <f>K996*0.25</f>
        <v>1033864.0575990269</v>
      </c>
      <c r="M996" s="906">
        <f>K996+L996</f>
        <v>5169320.2879951345</v>
      </c>
      <c r="N996" s="906"/>
      <c r="O996" s="271">
        <f>'DGSP_chitiet (truKH)'!K996</f>
        <v>4127618.1131721195</v>
      </c>
      <c r="P996" s="271">
        <f>'DGSP_chitiet (truKH)'!L996</f>
        <v>1031904.5282930299</v>
      </c>
      <c r="Q996" s="306">
        <f>'DGSP_chitiet (truKH)'!M996</f>
        <v>5159522.6414651498</v>
      </c>
      <c r="R996" s="271">
        <f>'DGSP_chitiet (truKH)'!N996</f>
        <v>0</v>
      </c>
      <c r="S996" s="905">
        <f>NhanCong!Z201+NhanCong!Z200</f>
        <v>118082.88461538462</v>
      </c>
    </row>
    <row r="997" spans="1:19">
      <c r="A997" s="243">
        <v>2</v>
      </c>
      <c r="B997" s="229" t="s">
        <v>624</v>
      </c>
      <c r="C997" s="243"/>
      <c r="D997" s="243"/>
      <c r="E997" s="271">
        <f>NhanCong!Y197+NhanCong!Y198</f>
        <v>5991576.9925000006</v>
      </c>
      <c r="F997" s="271"/>
      <c r="G997" s="905">
        <f>($E997/$E$981)*G$981</f>
        <v>3817.1169087072185</v>
      </c>
      <c r="H997" s="905">
        <f>($E997/$E$981)*H$981</f>
        <v>146069.32632499997</v>
      </c>
      <c r="I997" s="905">
        <f>($E997/$E$981)*I$981</f>
        <v>9628.8751275158738</v>
      </c>
      <c r="J997" s="905">
        <f>($E997/$E$981)*J$981</f>
        <v>2894.3935999999999</v>
      </c>
      <c r="K997" s="985">
        <f>SUM(E997:J997)</f>
        <v>6153986.7044612244</v>
      </c>
      <c r="L997" s="905">
        <f>K997*0.25</f>
        <v>1538496.6761153061</v>
      </c>
      <c r="M997" s="906">
        <f>K997+L997</f>
        <v>7692483.3805765305</v>
      </c>
      <c r="N997" s="906"/>
      <c r="O997" s="271">
        <f>'DGSP_chitiet (truKH)'!K997</f>
        <v>6144357.8293337086</v>
      </c>
      <c r="P997" s="271">
        <f>'DGSP_chitiet (truKH)'!L997</f>
        <v>1536089.4573334272</v>
      </c>
      <c r="Q997" s="306">
        <f>'DGSP_chitiet (truKH)'!M997</f>
        <v>7680447.2866671355</v>
      </c>
      <c r="R997" s="271">
        <f>'DGSP_chitiet (truKH)'!N997</f>
        <v>0</v>
      </c>
      <c r="S997" s="905">
        <f>NhanCong!Z197+NhanCong!Z198</f>
        <v>177927.11538461538</v>
      </c>
    </row>
    <row r="998" spans="1:19">
      <c r="A998" s="243"/>
      <c r="B998" s="229"/>
      <c r="C998" s="243"/>
      <c r="D998" s="243"/>
      <c r="E998" s="271"/>
      <c r="F998" s="271"/>
      <c r="G998" s="905"/>
      <c r="H998" s="905"/>
      <c r="I998" s="905"/>
      <c r="J998" s="905"/>
      <c r="K998" s="905"/>
      <c r="L998" s="905"/>
      <c r="M998" s="906"/>
      <c r="N998" s="906"/>
      <c r="O998" s="271">
        <f>'DGSP_chitiet (truKH)'!K998</f>
        <v>0</v>
      </c>
      <c r="P998" s="271">
        <f>'DGSP_chitiet (truKH)'!L998</f>
        <v>0</v>
      </c>
      <c r="Q998" s="306">
        <f>'DGSP_chitiet (truKH)'!M998</f>
        <v>0</v>
      </c>
      <c r="R998" s="271">
        <f>'DGSP_chitiet (truKH)'!N998</f>
        <v>0</v>
      </c>
      <c r="S998" s="905"/>
    </row>
    <row r="999" spans="1:19">
      <c r="A999" s="242" t="s">
        <v>37</v>
      </c>
      <c r="B999" s="276" t="s">
        <v>216</v>
      </c>
      <c r="C999" s="243"/>
      <c r="D999" s="243"/>
      <c r="E999" s="271"/>
      <c r="F999" s="271"/>
      <c r="G999" s="271"/>
      <c r="H999" s="271"/>
      <c r="I999" s="271"/>
      <c r="J999" s="271"/>
      <c r="K999" s="271"/>
      <c r="L999" s="271"/>
      <c r="M999" s="272"/>
      <c r="N999" s="272"/>
      <c r="O999" s="271">
        <f>'DGSP_chitiet (truKH)'!K999</f>
        <v>0</v>
      </c>
      <c r="P999" s="271">
        <f>'DGSP_chitiet (truKH)'!L999</f>
        <v>0</v>
      </c>
      <c r="Q999" s="306">
        <f>'DGSP_chitiet (truKH)'!M999</f>
        <v>0</v>
      </c>
      <c r="R999" s="271">
        <f>'DGSP_chitiet (truKH)'!N999</f>
        <v>0</v>
      </c>
      <c r="S999" s="271"/>
    </row>
    <row r="1000" spans="1:19">
      <c r="A1000" s="243">
        <v>1</v>
      </c>
      <c r="B1000" s="229" t="s">
        <v>623</v>
      </c>
      <c r="C1000" s="243" t="s">
        <v>49</v>
      </c>
      <c r="D1000" s="278"/>
      <c r="E1000" s="271">
        <f>NhanCong!AC201+NhanCong!AC200</f>
        <v>6134116.5600000005</v>
      </c>
      <c r="F1000" s="271"/>
      <c r="G1000" s="905">
        <f>($E1000/$E$980)*G$980</f>
        <v>4834.3617325333335</v>
      </c>
      <c r="H1000" s="905">
        <f>($E1000/$E$980)*H$980</f>
        <v>224316.47159999996</v>
      </c>
      <c r="I1000" s="905">
        <f>($E1000/$E$980)*I$980</f>
        <v>12091.434234285713</v>
      </c>
      <c r="J1000" s="905">
        <f>($E1000/$E$980)*J$980</f>
        <v>4183.045775999999</v>
      </c>
      <c r="K1000" s="985">
        <f>SUM(E1000:J1000)</f>
        <v>6379541.8733428195</v>
      </c>
      <c r="L1000" s="905">
        <f>K1000*0.25</f>
        <v>1594885.4683357049</v>
      </c>
      <c r="M1000" s="906">
        <f>K1000+L1000</f>
        <v>7974427.3416785244</v>
      </c>
      <c r="N1000" s="906"/>
      <c r="O1000" s="271">
        <f>'DGSP_chitiet (truKH)'!K1000</f>
        <v>6367450.4391085338</v>
      </c>
      <c r="P1000" s="271">
        <f>'DGSP_chitiet (truKH)'!L1000</f>
        <v>1591862.6097771334</v>
      </c>
      <c r="Q1000" s="306">
        <f>'DGSP_chitiet (truKH)'!M1000</f>
        <v>7959313.0488856677</v>
      </c>
      <c r="R1000" s="271">
        <f>'DGSP_chitiet (truKH)'!N1000</f>
        <v>0</v>
      </c>
      <c r="S1000" s="905">
        <f>NhanCong!AD200+NhanCong!AD201</f>
        <v>182160</v>
      </c>
    </row>
    <row r="1001" spans="1:19">
      <c r="A1001" s="243">
        <v>2</v>
      </c>
      <c r="B1001" s="229" t="s">
        <v>624</v>
      </c>
      <c r="C1001" s="243"/>
      <c r="D1001" s="243"/>
      <c r="E1001" s="271">
        <f>NhanCong!AC197+NhanCong!AC198</f>
        <v>9201174.8400000017</v>
      </c>
      <c r="F1001" s="271"/>
      <c r="G1001" s="905">
        <f>($E1001/$E$981)*G$981</f>
        <v>5861.8891329777798</v>
      </c>
      <c r="H1001" s="905">
        <f>($E1001/$E$981)*H$981</f>
        <v>224316.47159999999</v>
      </c>
      <c r="I1001" s="905">
        <f>($E1001/$E$981)*I$981</f>
        <v>14786.918981714287</v>
      </c>
      <c r="J1001" s="905">
        <f>($E1001/$E$981)*J$981</f>
        <v>4444.8768</v>
      </c>
      <c r="K1001" s="985">
        <f>SUM(E1001:J1001)</f>
        <v>9450584.9965146948</v>
      </c>
      <c r="L1001" s="905">
        <f>K1001*0.25</f>
        <v>2362646.2491286737</v>
      </c>
      <c r="M1001" s="906">
        <f>K1001+L1001</f>
        <v>11813231.245643368</v>
      </c>
      <c r="N1001" s="906"/>
      <c r="O1001" s="271">
        <f>'DGSP_chitiet (truKH)'!K1001</f>
        <v>9435798.0775329806</v>
      </c>
      <c r="P1001" s="271">
        <f>'DGSP_chitiet (truKH)'!L1001</f>
        <v>2358949.5193832451</v>
      </c>
      <c r="Q1001" s="306">
        <f>'DGSP_chitiet (truKH)'!M1001</f>
        <v>11794747.596916225</v>
      </c>
      <c r="R1001" s="271">
        <f>'DGSP_chitiet (truKH)'!N1001</f>
        <v>0</v>
      </c>
      <c r="S1001" s="905">
        <f>NhanCong!AD197+NhanCong!AD198</f>
        <v>273239.99999999994</v>
      </c>
    </row>
    <row r="1002" spans="1:19">
      <c r="A1002" s="243"/>
      <c r="B1002" s="229"/>
      <c r="C1002" s="243"/>
      <c r="D1002" s="243"/>
      <c r="E1002" s="271"/>
      <c r="F1002" s="271"/>
      <c r="G1002" s="905"/>
      <c r="H1002" s="905"/>
      <c r="I1002" s="905"/>
      <c r="J1002" s="905"/>
      <c r="K1002" s="905"/>
      <c r="L1002" s="905"/>
      <c r="M1002" s="906"/>
      <c r="N1002" s="906"/>
      <c r="O1002" s="906"/>
      <c r="P1002" s="906"/>
      <c r="Q1002" s="906"/>
      <c r="R1002" s="906"/>
      <c r="S1002" s="905"/>
    </row>
    <row r="1003" spans="1:19" hidden="1">
      <c r="A1003" s="242" t="s">
        <v>299</v>
      </c>
      <c r="B1003" s="276" t="s">
        <v>344</v>
      </c>
      <c r="C1003" s="243"/>
      <c r="D1003" s="243"/>
      <c r="E1003" s="271"/>
      <c r="F1003" s="271"/>
      <c r="G1003" s="271"/>
      <c r="H1003" s="271"/>
      <c r="I1003" s="271"/>
      <c r="J1003" s="271"/>
      <c r="K1003" s="271"/>
      <c r="L1003" s="271"/>
      <c r="M1003" s="272"/>
      <c r="N1003" s="272"/>
      <c r="O1003" s="272"/>
      <c r="P1003" s="272"/>
      <c r="Q1003" s="272"/>
      <c r="R1003" s="272"/>
      <c r="S1003" s="271"/>
    </row>
    <row r="1004" spans="1:19" hidden="1">
      <c r="A1004" s="243">
        <v>1</v>
      </c>
      <c r="B1004" s="229" t="s">
        <v>210</v>
      </c>
      <c r="C1004" s="243" t="s">
        <v>49</v>
      </c>
      <c r="D1004" s="279">
        <v>1.2</v>
      </c>
      <c r="E1004" s="271">
        <f>$D1004*E$1000</f>
        <v>7360939.8720000004</v>
      </c>
      <c r="F1004" s="271"/>
      <c r="G1004" s="271">
        <f>$D1004*G$1000</f>
        <v>5801.2340790400003</v>
      </c>
      <c r="H1004" s="271">
        <f>$D1004*H$1000</f>
        <v>269179.76591999992</v>
      </c>
      <c r="I1004" s="271">
        <f>$D1004*I$1000</f>
        <v>14509.721081142854</v>
      </c>
      <c r="J1004" s="271">
        <f>$D1004*J$1000</f>
        <v>5019.6549311999988</v>
      </c>
      <c r="K1004" s="985">
        <f>SUM(E1004:J1004)</f>
        <v>7655450.2480113832</v>
      </c>
      <c r="L1004" s="905">
        <f>K1004*0.25</f>
        <v>1913862.5620028458</v>
      </c>
      <c r="M1004" s="906">
        <f>K1004+L1004</f>
        <v>9569312.8100142293</v>
      </c>
      <c r="N1004" s="906"/>
      <c r="O1004" s="906"/>
      <c r="P1004" s="906"/>
      <c r="Q1004" s="906"/>
      <c r="R1004" s="906"/>
      <c r="S1004" s="271">
        <f>$D1004*S$1000</f>
        <v>218592</v>
      </c>
    </row>
    <row r="1005" spans="1:19" hidden="1">
      <c r="A1005" s="243">
        <v>2</v>
      </c>
      <c r="B1005" s="229" t="s">
        <v>211</v>
      </c>
      <c r="C1005" s="243"/>
      <c r="D1005" s="243">
        <v>1.2</v>
      </c>
      <c r="E1005" s="271">
        <f>$D1005*E$1001</f>
        <v>11041409.808000002</v>
      </c>
      <c r="F1005" s="271"/>
      <c r="G1005" s="271">
        <f>$D1005*G$1001</f>
        <v>7034.266959573336</v>
      </c>
      <c r="H1005" s="271">
        <f>$D1005*H$1001</f>
        <v>269179.76591999998</v>
      </c>
      <c r="I1005" s="271">
        <f>$D1005*I$1001</f>
        <v>17744.302778057143</v>
      </c>
      <c r="J1005" s="271">
        <f>$D1005*J$1001</f>
        <v>5333.8521599999995</v>
      </c>
      <c r="K1005" s="985">
        <f>SUM(E1005:J1005)</f>
        <v>11340701.995817633</v>
      </c>
      <c r="L1005" s="905">
        <f>K1005*0.25</f>
        <v>2835175.4989544083</v>
      </c>
      <c r="M1005" s="906">
        <f>K1005+L1005</f>
        <v>14175877.494772041</v>
      </c>
      <c r="N1005" s="906"/>
      <c r="O1005" s="906"/>
      <c r="P1005" s="906"/>
      <c r="Q1005" s="906"/>
      <c r="R1005" s="906"/>
      <c r="S1005" s="271">
        <f>$D1005*S$1001</f>
        <v>327887.99999999994</v>
      </c>
    </row>
    <row r="1006" spans="1:19" hidden="1">
      <c r="A1006" s="243"/>
      <c r="B1006" s="229"/>
      <c r="C1006" s="243"/>
      <c r="D1006" s="243"/>
      <c r="E1006" s="271"/>
      <c r="F1006" s="271"/>
      <c r="G1006" s="905"/>
      <c r="H1006" s="905"/>
      <c r="I1006" s="905"/>
      <c r="J1006" s="905"/>
      <c r="K1006" s="905"/>
      <c r="L1006" s="905"/>
      <c r="M1006" s="906"/>
      <c r="N1006" s="906"/>
      <c r="O1006" s="906"/>
      <c r="P1006" s="906"/>
      <c r="Q1006" s="906"/>
      <c r="R1006" s="906"/>
      <c r="S1006" s="905"/>
    </row>
    <row r="1007" spans="1:19" hidden="1">
      <c r="A1007" s="242" t="s">
        <v>300</v>
      </c>
      <c r="B1007" s="276" t="s">
        <v>345</v>
      </c>
      <c r="C1007" s="243"/>
      <c r="D1007" s="243"/>
      <c r="E1007" s="271"/>
      <c r="F1007" s="271"/>
      <c r="G1007" s="271"/>
      <c r="H1007" s="271"/>
      <c r="I1007" s="271"/>
      <c r="J1007" s="271"/>
      <c r="K1007" s="271"/>
      <c r="L1007" s="271"/>
      <c r="M1007" s="272"/>
      <c r="N1007" s="272"/>
      <c r="O1007" s="272"/>
      <c r="P1007" s="272"/>
      <c r="Q1007" s="272"/>
      <c r="R1007" s="272"/>
      <c r="S1007" s="271"/>
    </row>
    <row r="1008" spans="1:19" hidden="1">
      <c r="A1008" s="243">
        <v>1</v>
      </c>
      <c r="B1008" s="229" t="s">
        <v>210</v>
      </c>
      <c r="C1008" s="243" t="s">
        <v>49</v>
      </c>
      <c r="D1008" s="279">
        <v>1.3</v>
      </c>
      <c r="E1008" s="271">
        <f>$D1008*E$1000</f>
        <v>7974351.5280000009</v>
      </c>
      <c r="F1008" s="271"/>
      <c r="G1008" s="271">
        <f>$D1008*G$1000</f>
        <v>6284.6702522933338</v>
      </c>
      <c r="H1008" s="271">
        <f>$D1008*H$1000</f>
        <v>291611.41307999997</v>
      </c>
      <c r="I1008" s="271">
        <f>$D1008*I$1000</f>
        <v>15718.864504571427</v>
      </c>
      <c r="J1008" s="271">
        <f>$D1008*J$1000</f>
        <v>5437.9595087999987</v>
      </c>
      <c r="K1008" s="985">
        <f>SUM(E1008:J1008)</f>
        <v>8293404.4353456656</v>
      </c>
      <c r="L1008" s="905">
        <f>K1008*0.25</f>
        <v>2073351.1088364164</v>
      </c>
      <c r="M1008" s="906">
        <f>K1008+L1008</f>
        <v>10366755.544182083</v>
      </c>
      <c r="N1008" s="906"/>
      <c r="O1008" s="906"/>
      <c r="P1008" s="906"/>
      <c r="Q1008" s="906"/>
      <c r="R1008" s="906"/>
      <c r="S1008" s="271">
        <f>$D1008*S$1000</f>
        <v>236808</v>
      </c>
    </row>
    <row r="1009" spans="1:19" hidden="1">
      <c r="A1009" s="243">
        <v>2</v>
      </c>
      <c r="B1009" s="229" t="s">
        <v>211</v>
      </c>
      <c r="C1009" s="243"/>
      <c r="D1009" s="243">
        <v>1.3</v>
      </c>
      <c r="E1009" s="271">
        <f>$D1009*E$1001</f>
        <v>11961527.292000003</v>
      </c>
      <c r="F1009" s="271"/>
      <c r="G1009" s="271">
        <f>$D1009*G$1001</f>
        <v>7620.4558728711136</v>
      </c>
      <c r="H1009" s="271">
        <f>$D1009*H$1001</f>
        <v>291611.41307999997</v>
      </c>
      <c r="I1009" s="271">
        <f>$D1009*I$1001</f>
        <v>19222.994676228573</v>
      </c>
      <c r="J1009" s="271">
        <f>$D1009*J$1001</f>
        <v>5778.3398400000005</v>
      </c>
      <c r="K1009" s="985">
        <f>SUM(E1009:J1009)</f>
        <v>12285760.495469103</v>
      </c>
      <c r="L1009" s="905">
        <f>K1009*0.25</f>
        <v>3071440.1238672757</v>
      </c>
      <c r="M1009" s="906">
        <f>K1009+L1009</f>
        <v>15357200.619336378</v>
      </c>
      <c r="N1009" s="906"/>
      <c r="O1009" s="906"/>
      <c r="P1009" s="906"/>
      <c r="Q1009" s="906"/>
      <c r="R1009" s="906"/>
      <c r="S1009" s="271">
        <f>$D1009*S$1001</f>
        <v>355211.99999999994</v>
      </c>
    </row>
    <row r="1010" spans="1:19" hidden="1">
      <c r="A1010" s="243"/>
      <c r="B1010" s="229"/>
      <c r="C1010" s="243"/>
      <c r="D1010" s="243"/>
      <c r="E1010" s="271"/>
      <c r="F1010" s="271"/>
      <c r="G1010" s="905"/>
      <c r="H1010" s="905"/>
      <c r="I1010" s="905"/>
      <c r="J1010" s="905"/>
      <c r="K1010" s="905"/>
      <c r="L1010" s="905"/>
      <c r="M1010" s="906"/>
      <c r="N1010" s="906"/>
      <c r="O1010" s="906"/>
      <c r="P1010" s="906"/>
      <c r="Q1010" s="906"/>
      <c r="R1010" s="906"/>
      <c r="S1010" s="905"/>
    </row>
    <row r="1011" spans="1:19" hidden="1">
      <c r="A1011" s="242" t="s">
        <v>301</v>
      </c>
      <c r="B1011" s="276" t="s">
        <v>346</v>
      </c>
      <c r="C1011" s="243"/>
      <c r="D1011" s="243"/>
      <c r="E1011" s="271"/>
      <c r="F1011" s="271"/>
      <c r="G1011" s="271"/>
      <c r="H1011" s="271"/>
      <c r="I1011" s="271"/>
      <c r="J1011" s="271"/>
      <c r="K1011" s="271"/>
      <c r="L1011" s="271"/>
      <c r="M1011" s="272"/>
      <c r="N1011" s="272"/>
      <c r="O1011" s="272"/>
      <c r="P1011" s="272"/>
      <c r="Q1011" s="272"/>
      <c r="R1011" s="272"/>
      <c r="S1011" s="271"/>
    </row>
    <row r="1012" spans="1:19" hidden="1">
      <c r="A1012" s="243">
        <v>1</v>
      </c>
      <c r="B1012" s="229" t="s">
        <v>210</v>
      </c>
      <c r="C1012" s="243" t="s">
        <v>49</v>
      </c>
      <c r="D1012" s="279">
        <v>1.4</v>
      </c>
      <c r="E1012" s="271">
        <f>$D1012*E$1000</f>
        <v>8587763.1840000004</v>
      </c>
      <c r="F1012" s="271"/>
      <c r="G1012" s="271">
        <f>$D1012*G$1000</f>
        <v>6768.1064255466663</v>
      </c>
      <c r="H1012" s="271">
        <f>$D1012*H$1000</f>
        <v>314043.0602399999</v>
      </c>
      <c r="I1012" s="271">
        <f>$D1012*I$1000</f>
        <v>16928.007927999995</v>
      </c>
      <c r="J1012" s="271">
        <f>$D1012*J$1000</f>
        <v>5856.2640863999986</v>
      </c>
      <c r="K1012" s="985">
        <f>SUM(E1012:J1012)</f>
        <v>8931358.6226799469</v>
      </c>
      <c r="L1012" s="905">
        <f>K1012*0.25</f>
        <v>2232839.6556699867</v>
      </c>
      <c r="M1012" s="906">
        <f>K1012+L1012</f>
        <v>11164198.278349934</v>
      </c>
      <c r="N1012" s="906"/>
      <c r="O1012" s="906"/>
      <c r="P1012" s="906"/>
      <c r="Q1012" s="906"/>
      <c r="R1012" s="906"/>
      <c r="S1012" s="271">
        <f>$D1012*S$1000</f>
        <v>255023.99999999997</v>
      </c>
    </row>
    <row r="1013" spans="1:19" hidden="1">
      <c r="A1013" s="243">
        <v>2</v>
      </c>
      <c r="B1013" s="229" t="s">
        <v>211</v>
      </c>
      <c r="C1013" s="243"/>
      <c r="D1013" s="243">
        <v>1.4</v>
      </c>
      <c r="E1013" s="271">
        <f>$D1013*E$1001</f>
        <v>12881644.776000002</v>
      </c>
      <c r="F1013" s="271"/>
      <c r="G1013" s="271">
        <f>$D1013*G$1001</f>
        <v>8206.6447861688921</v>
      </c>
      <c r="H1013" s="271">
        <f>$D1013*H$1001</f>
        <v>314043.06023999996</v>
      </c>
      <c r="I1013" s="271">
        <f>$D1013*I$1001</f>
        <v>20701.686574399999</v>
      </c>
      <c r="J1013" s="271">
        <f>$D1013*J$1001</f>
        <v>6222.8275199999998</v>
      </c>
      <c r="K1013" s="985">
        <f>SUM(E1013:J1013)</f>
        <v>13230818.995120572</v>
      </c>
      <c r="L1013" s="905">
        <f>K1013*0.25</f>
        <v>3307704.748780143</v>
      </c>
      <c r="M1013" s="906">
        <f>K1013+L1013</f>
        <v>16538523.743900714</v>
      </c>
      <c r="N1013" s="906"/>
      <c r="O1013" s="906"/>
      <c r="P1013" s="906"/>
      <c r="Q1013" s="906"/>
      <c r="R1013" s="906"/>
      <c r="S1013" s="271">
        <f>$D1013*S$1001</f>
        <v>382535.99999999988</v>
      </c>
    </row>
    <row r="1014" spans="1:19" hidden="1">
      <c r="A1014" s="243"/>
      <c r="B1014" s="229"/>
      <c r="C1014" s="243"/>
      <c r="D1014" s="243"/>
      <c r="E1014" s="271"/>
      <c r="F1014" s="271"/>
      <c r="G1014" s="905"/>
      <c r="H1014" s="905"/>
      <c r="I1014" s="905"/>
      <c r="J1014" s="905"/>
      <c r="K1014" s="905"/>
      <c r="L1014" s="905"/>
      <c r="M1014" s="906"/>
      <c r="N1014" s="906"/>
      <c r="O1014" s="906"/>
      <c r="P1014" s="906"/>
      <c r="Q1014" s="906"/>
      <c r="R1014" s="906"/>
      <c r="S1014" s="905"/>
    </row>
    <row r="1015" spans="1:19" hidden="1">
      <c r="A1015" s="242" t="s">
        <v>303</v>
      </c>
      <c r="B1015" s="276" t="s">
        <v>347</v>
      </c>
      <c r="C1015" s="243"/>
      <c r="D1015" s="243"/>
      <c r="E1015" s="271"/>
      <c r="F1015" s="271"/>
      <c r="G1015" s="271"/>
      <c r="H1015" s="271"/>
      <c r="I1015" s="271"/>
      <c r="J1015" s="271"/>
      <c r="K1015" s="271"/>
      <c r="L1015" s="271"/>
      <c r="M1015" s="272"/>
      <c r="N1015" s="272"/>
      <c r="O1015" s="272"/>
      <c r="P1015" s="272"/>
      <c r="Q1015" s="272"/>
      <c r="R1015" s="272"/>
      <c r="S1015" s="271"/>
    </row>
    <row r="1016" spans="1:19" hidden="1">
      <c r="A1016" s="243">
        <v>1</v>
      </c>
      <c r="B1016" s="229" t="s">
        <v>210</v>
      </c>
      <c r="C1016" s="243" t="s">
        <v>49</v>
      </c>
      <c r="D1016" s="279">
        <v>1.6</v>
      </c>
      <c r="E1016" s="271">
        <f>$D1016*E$1000</f>
        <v>9814586.4960000012</v>
      </c>
      <c r="F1016" s="271"/>
      <c r="G1016" s="271">
        <f>$D1016*G$1000</f>
        <v>7734.9787720533341</v>
      </c>
      <c r="H1016" s="271">
        <f>$D1016*H$1000</f>
        <v>358906.35455999995</v>
      </c>
      <c r="I1016" s="271">
        <f>$D1016*I$1000</f>
        <v>19346.294774857142</v>
      </c>
      <c r="J1016" s="271">
        <f>$D1016*J$1000</f>
        <v>6692.8732415999984</v>
      </c>
      <c r="K1016" s="985">
        <f>SUM(E1016:J1016)</f>
        <v>10207266.997348512</v>
      </c>
      <c r="L1016" s="905">
        <f>K1016*0.25</f>
        <v>2551816.7493371279</v>
      </c>
      <c r="M1016" s="906">
        <f>K1016+L1016</f>
        <v>12759083.746685639</v>
      </c>
      <c r="N1016" s="906"/>
      <c r="O1016" s="906"/>
      <c r="P1016" s="906"/>
      <c r="Q1016" s="906"/>
      <c r="R1016" s="906"/>
      <c r="S1016" s="271">
        <f>$D1016*S$1000</f>
        <v>291456</v>
      </c>
    </row>
    <row r="1017" spans="1:19" hidden="1">
      <c r="A1017" s="243">
        <v>2</v>
      </c>
      <c r="B1017" s="229" t="s">
        <v>211</v>
      </c>
      <c r="C1017" s="243"/>
      <c r="D1017" s="243">
        <v>1.6</v>
      </c>
      <c r="E1017" s="271">
        <f>$D1017*E$1001</f>
        <v>14721879.744000003</v>
      </c>
      <c r="F1017" s="271"/>
      <c r="G1017" s="271">
        <f>$D1017*G$1001</f>
        <v>9379.0226127644473</v>
      </c>
      <c r="H1017" s="271">
        <f>$D1017*H$1001</f>
        <v>358906.35456000001</v>
      </c>
      <c r="I1017" s="271">
        <f>$D1017*I$1001</f>
        <v>23659.070370742862</v>
      </c>
      <c r="J1017" s="271">
        <f>$D1017*J$1001</f>
        <v>7111.8028800000002</v>
      </c>
      <c r="K1017" s="985">
        <f>SUM(E1017:J1017)</f>
        <v>15120935.994423511</v>
      </c>
      <c r="L1017" s="905">
        <f>K1017*0.25</f>
        <v>3780233.9986058776</v>
      </c>
      <c r="M1017" s="906">
        <f>K1017+L1017</f>
        <v>18901169.99302939</v>
      </c>
      <c r="N1017" s="906"/>
      <c r="O1017" s="906"/>
      <c r="P1017" s="906"/>
      <c r="Q1017" s="906"/>
      <c r="R1017" s="906"/>
      <c r="S1017" s="271">
        <f>$D1017*S$1001</f>
        <v>437183.99999999994</v>
      </c>
    </row>
    <row r="1018" spans="1:19" hidden="1">
      <c r="A1018" s="243"/>
      <c r="B1018" s="229"/>
      <c r="C1018" s="243"/>
      <c r="D1018" s="243"/>
      <c r="E1018" s="271"/>
      <c r="F1018" s="271"/>
      <c r="G1018" s="905"/>
      <c r="H1018" s="905"/>
      <c r="I1018" s="905"/>
      <c r="J1018" s="905"/>
      <c r="K1018" s="905"/>
      <c r="L1018" s="905"/>
      <c r="M1018" s="906"/>
      <c r="N1018" s="906"/>
      <c r="O1018" s="906"/>
      <c r="P1018" s="906"/>
      <c r="Q1018" s="906"/>
      <c r="R1018" s="906"/>
      <c r="S1018" s="905"/>
    </row>
    <row r="1019" spans="1:19" hidden="1">
      <c r="A1019" s="242" t="s">
        <v>302</v>
      </c>
      <c r="B1019" s="276" t="s">
        <v>348</v>
      </c>
      <c r="C1019" s="243"/>
      <c r="D1019" s="243"/>
      <c r="E1019" s="271"/>
      <c r="F1019" s="271"/>
      <c r="G1019" s="271"/>
      <c r="H1019" s="271"/>
      <c r="I1019" s="271"/>
      <c r="J1019" s="271"/>
      <c r="K1019" s="271"/>
      <c r="L1019" s="271"/>
      <c r="M1019" s="272"/>
      <c r="N1019" s="272"/>
      <c r="O1019" s="272"/>
      <c r="P1019" s="272"/>
      <c r="Q1019" s="272"/>
      <c r="R1019" s="272"/>
      <c r="S1019" s="271"/>
    </row>
    <row r="1020" spans="1:19" hidden="1">
      <c r="A1020" s="243">
        <v>1</v>
      </c>
      <c r="B1020" s="229" t="s">
        <v>210</v>
      </c>
      <c r="C1020" s="243" t="s">
        <v>49</v>
      </c>
      <c r="D1020" s="279">
        <v>1.8</v>
      </c>
      <c r="E1020" s="271">
        <f>$D1020*E$1000</f>
        <v>11041409.808000002</v>
      </c>
      <c r="F1020" s="271"/>
      <c r="G1020" s="271">
        <f>$D1020*G$1000</f>
        <v>8701.85111856</v>
      </c>
      <c r="H1020" s="271">
        <f>$D1020*H$1000</f>
        <v>403769.64887999994</v>
      </c>
      <c r="I1020" s="271">
        <f>$D1020*I$1000</f>
        <v>21764.581621714282</v>
      </c>
      <c r="J1020" s="271">
        <f>$D1020*J$1000</f>
        <v>7529.4823967999982</v>
      </c>
      <c r="K1020" s="985">
        <f>SUM(E1020:J1020)</f>
        <v>11483175.372017076</v>
      </c>
      <c r="L1020" s="905">
        <f>K1020*0.25</f>
        <v>2870793.8430042691</v>
      </c>
      <c r="M1020" s="906">
        <f>K1020+L1020</f>
        <v>14353969.215021346</v>
      </c>
      <c r="N1020" s="906"/>
      <c r="O1020" s="906"/>
      <c r="P1020" s="906"/>
      <c r="Q1020" s="906"/>
      <c r="R1020" s="906"/>
      <c r="S1020" s="271">
        <f>$D1020*S$1000</f>
        <v>327888</v>
      </c>
    </row>
    <row r="1021" spans="1:19" hidden="1">
      <c r="A1021" s="243">
        <v>2</v>
      </c>
      <c r="B1021" s="229" t="s">
        <v>211</v>
      </c>
      <c r="C1021" s="243"/>
      <c r="D1021" s="243">
        <v>1.8</v>
      </c>
      <c r="E1021" s="271">
        <f>$D1021*E$1001</f>
        <v>16562114.712000003</v>
      </c>
      <c r="F1021" s="271"/>
      <c r="G1021" s="271">
        <f>$D1021*G$1001</f>
        <v>10551.400439360004</v>
      </c>
      <c r="H1021" s="271">
        <f>$D1021*H$1001</f>
        <v>403769.64887999999</v>
      </c>
      <c r="I1021" s="271">
        <f>$D1021*I$1001</f>
        <v>26616.454167085718</v>
      </c>
      <c r="J1021" s="271">
        <f>$D1021*J$1001</f>
        <v>8000.7782400000006</v>
      </c>
      <c r="K1021" s="985">
        <f>SUM(E1021:J1021)</f>
        <v>17011052.993726447</v>
      </c>
      <c r="L1021" s="905">
        <f>K1021*0.25</f>
        <v>4252763.2484316118</v>
      </c>
      <c r="M1021" s="906">
        <f>K1021+L1021</f>
        <v>21263816.242158059</v>
      </c>
      <c r="N1021" s="906"/>
      <c r="O1021" s="906"/>
      <c r="P1021" s="906"/>
      <c r="Q1021" s="906"/>
      <c r="R1021" s="906"/>
      <c r="S1021" s="271">
        <f>$D1021*S$1001</f>
        <v>491831.99999999988</v>
      </c>
    </row>
    <row r="1022" spans="1:19" hidden="1">
      <c r="A1022" s="243"/>
      <c r="B1022" s="229"/>
      <c r="C1022" s="243"/>
      <c r="D1022" s="243"/>
      <c r="E1022" s="271"/>
      <c r="F1022" s="271"/>
      <c r="G1022" s="905"/>
      <c r="H1022" s="905"/>
      <c r="I1022" s="905"/>
      <c r="J1022" s="905"/>
      <c r="K1022" s="905"/>
      <c r="L1022" s="905"/>
      <c r="M1022" s="906"/>
      <c r="N1022" s="906"/>
      <c r="O1022" s="906"/>
      <c r="P1022" s="906"/>
      <c r="Q1022" s="906"/>
      <c r="R1022" s="906"/>
      <c r="S1022" s="905"/>
    </row>
    <row r="1023" spans="1:19" ht="18.75" hidden="1" customHeight="1">
      <c r="A1023" s="243"/>
      <c r="B1023" s="276" t="s">
        <v>219</v>
      </c>
      <c r="C1023" s="243"/>
      <c r="D1023" s="243"/>
      <c r="E1023" s="271"/>
      <c r="F1023" s="271"/>
      <c r="G1023" s="905"/>
      <c r="H1023" s="905"/>
      <c r="I1023" s="905"/>
      <c r="J1023" s="905"/>
      <c r="K1023" s="905"/>
      <c r="L1023" s="905"/>
      <c r="M1023" s="906"/>
      <c r="N1023" s="906"/>
      <c r="O1023" s="906"/>
      <c r="P1023" s="906"/>
      <c r="Q1023" s="906"/>
      <c r="R1023" s="906"/>
      <c r="S1023" s="905"/>
    </row>
    <row r="1024" spans="1:19" ht="25.5" hidden="1" customHeight="1">
      <c r="A1024" s="243"/>
      <c r="B1024" s="280" t="s">
        <v>304</v>
      </c>
      <c r="C1024" s="243"/>
      <c r="D1024" s="243"/>
      <c r="E1024" s="271"/>
      <c r="F1024" s="271"/>
      <c r="G1024" s="905"/>
      <c r="H1024" s="905"/>
      <c r="I1024" s="905"/>
      <c r="J1024" s="905"/>
      <c r="K1024" s="905"/>
      <c r="L1024" s="905"/>
      <c r="M1024" s="906"/>
      <c r="N1024" s="906"/>
      <c r="O1024" s="906"/>
      <c r="P1024" s="906"/>
      <c r="Q1024" s="906"/>
      <c r="R1024" s="906"/>
      <c r="S1024" s="905"/>
    </row>
    <row r="1025" spans="1:19" ht="21" hidden="1" customHeight="1">
      <c r="A1025" s="243"/>
      <c r="B1025" s="280" t="s">
        <v>305</v>
      </c>
      <c r="C1025" s="243"/>
      <c r="D1025" s="243"/>
      <c r="E1025" s="271"/>
      <c r="F1025" s="271"/>
      <c r="G1025" s="905"/>
      <c r="H1025" s="905"/>
      <c r="I1025" s="905"/>
      <c r="J1025" s="905"/>
      <c r="K1025" s="905"/>
      <c r="L1025" s="905"/>
      <c r="M1025" s="906"/>
      <c r="N1025" s="906"/>
      <c r="O1025" s="906"/>
      <c r="P1025" s="906"/>
      <c r="Q1025" s="906"/>
      <c r="R1025" s="906"/>
      <c r="S1025" s="905"/>
    </row>
    <row r="1026" spans="1:19" ht="22.5" hidden="1" customHeight="1">
      <c r="A1026" s="243"/>
      <c r="B1026" s="280" t="s">
        <v>306</v>
      </c>
      <c r="C1026" s="243"/>
      <c r="D1026" s="243"/>
      <c r="E1026" s="271"/>
      <c r="F1026" s="271"/>
      <c r="G1026" s="905"/>
      <c r="H1026" s="905"/>
      <c r="I1026" s="905"/>
      <c r="J1026" s="905"/>
      <c r="K1026" s="905"/>
      <c r="L1026" s="905"/>
      <c r="M1026" s="906"/>
      <c r="N1026" s="906"/>
      <c r="O1026" s="906"/>
      <c r="P1026" s="906"/>
      <c r="Q1026" s="906"/>
      <c r="R1026" s="906"/>
      <c r="S1026" s="905"/>
    </row>
    <row r="1027" spans="1:19" ht="20.25" hidden="1" customHeight="1">
      <c r="A1027" s="243"/>
      <c r="B1027" s="280" t="s">
        <v>307</v>
      </c>
      <c r="C1027" s="243"/>
      <c r="D1027" s="243"/>
      <c r="E1027" s="271"/>
      <c r="F1027" s="271"/>
      <c r="G1027" s="905"/>
      <c r="H1027" s="905"/>
      <c r="I1027" s="905"/>
      <c r="J1027" s="905"/>
      <c r="K1027" s="905"/>
      <c r="L1027" s="905"/>
      <c r="M1027" s="906"/>
      <c r="N1027" s="906"/>
      <c r="O1027" s="906"/>
      <c r="P1027" s="906"/>
      <c r="Q1027" s="906"/>
      <c r="R1027" s="906"/>
      <c r="S1027" s="905"/>
    </row>
    <row r="1028" spans="1:19" hidden="1">
      <c r="A1028" s="243"/>
      <c r="B1028" s="229"/>
      <c r="C1028" s="243"/>
      <c r="D1028" s="243"/>
      <c r="E1028" s="271"/>
      <c r="F1028" s="271"/>
      <c r="G1028" s="905"/>
      <c r="H1028" s="905"/>
      <c r="I1028" s="905"/>
      <c r="J1028" s="905"/>
      <c r="K1028" s="905"/>
      <c r="L1028" s="905"/>
      <c r="M1028" s="906"/>
      <c r="N1028" s="906"/>
      <c r="O1028" s="906"/>
      <c r="P1028" s="906"/>
      <c r="Q1028" s="906"/>
      <c r="R1028" s="906"/>
      <c r="S1028" s="905"/>
    </row>
    <row r="1029" spans="1:19" s="232" customFormat="1" ht="19.5" customHeight="1">
      <c r="A1029" s="242" t="s">
        <v>435</v>
      </c>
      <c r="B1029" s="1021" t="s">
        <v>437</v>
      </c>
      <c r="C1029" s="1022"/>
      <c r="D1029" s="1022"/>
      <c r="E1029" s="1022"/>
      <c r="F1029" s="1022"/>
      <c r="G1029" s="1022"/>
      <c r="H1029" s="1022"/>
      <c r="I1029" s="1022"/>
      <c r="J1029" s="1022"/>
      <c r="K1029" s="1022"/>
      <c r="L1029" s="1022"/>
      <c r="M1029" s="1022"/>
      <c r="N1029" s="1022"/>
      <c r="O1029" s="1022"/>
      <c r="P1029" s="1022"/>
      <c r="Q1029" s="1022"/>
      <c r="R1029" s="1022"/>
      <c r="S1029" s="1022"/>
    </row>
    <row r="1030" spans="1:19" ht="19.5" customHeight="1">
      <c r="A1030" s="243">
        <v>1</v>
      </c>
      <c r="B1030" s="1019" t="s">
        <v>625</v>
      </c>
      <c r="C1030" s="1020"/>
      <c r="D1030" s="1020"/>
      <c r="E1030" s="1020"/>
      <c r="F1030" s="1020"/>
      <c r="G1030" s="1020"/>
      <c r="H1030" s="1020"/>
      <c r="I1030" s="1020"/>
      <c r="J1030" s="1020"/>
      <c r="K1030" s="1020"/>
      <c r="L1030" s="1020"/>
      <c r="M1030" s="1020"/>
      <c r="N1030" s="1020"/>
      <c r="O1030" s="1020"/>
      <c r="P1030" s="1020"/>
      <c r="Q1030" s="1020"/>
      <c r="R1030" s="1020"/>
      <c r="S1030" s="1020"/>
    </row>
    <row r="1031" spans="1:19" ht="19.5" customHeight="1">
      <c r="A1031" s="243">
        <v>2</v>
      </c>
      <c r="B1031" s="1019" t="s">
        <v>626</v>
      </c>
      <c r="C1031" s="1020"/>
      <c r="D1031" s="1020"/>
      <c r="E1031" s="1020"/>
      <c r="F1031" s="1020"/>
      <c r="G1031" s="1020"/>
      <c r="H1031" s="1020"/>
      <c r="I1031" s="1020"/>
      <c r="J1031" s="1020"/>
      <c r="K1031" s="1020"/>
      <c r="L1031" s="1020"/>
      <c r="M1031" s="1020"/>
      <c r="N1031" s="1020"/>
      <c r="O1031" s="1020"/>
      <c r="P1031" s="1020"/>
      <c r="Q1031" s="1020"/>
      <c r="R1031" s="1020"/>
      <c r="S1031" s="1020"/>
    </row>
    <row r="1032" spans="1:19" s="232" customFormat="1" ht="19.5" customHeight="1">
      <c r="A1032" s="242" t="s">
        <v>436</v>
      </c>
      <c r="B1032" s="1021" t="s">
        <v>438</v>
      </c>
      <c r="C1032" s="1022"/>
      <c r="D1032" s="1022"/>
      <c r="E1032" s="1022"/>
      <c r="F1032" s="1022"/>
      <c r="G1032" s="1022"/>
      <c r="H1032" s="1022"/>
      <c r="I1032" s="1022"/>
      <c r="J1032" s="1022"/>
      <c r="K1032" s="1022"/>
      <c r="L1032" s="1022"/>
      <c r="M1032" s="1022"/>
      <c r="N1032" s="1022"/>
      <c r="O1032" s="1022"/>
      <c r="P1032" s="1022"/>
      <c r="Q1032" s="1022"/>
      <c r="R1032" s="1022"/>
      <c r="S1032" s="1022"/>
    </row>
    <row r="1033" spans="1:19" s="232" customFormat="1" ht="38.25" customHeight="1">
      <c r="A1033" s="242" t="s">
        <v>448</v>
      </c>
      <c r="B1033" s="1021" t="s">
        <v>449</v>
      </c>
      <c r="C1033" s="1022"/>
      <c r="D1033" s="1022"/>
      <c r="E1033" s="1022"/>
      <c r="F1033" s="1022"/>
      <c r="G1033" s="1022"/>
      <c r="H1033" s="1022"/>
      <c r="I1033" s="1022"/>
      <c r="J1033" s="1022"/>
      <c r="K1033" s="1022"/>
      <c r="L1033" s="1022"/>
      <c r="M1033" s="1022"/>
      <c r="N1033" s="1022"/>
      <c r="O1033" s="1022"/>
      <c r="P1033" s="1022"/>
      <c r="Q1033" s="1022"/>
      <c r="R1033" s="1022"/>
      <c r="S1033" s="1022"/>
    </row>
    <row r="1034" spans="1:19" s="232" customFormat="1" ht="17.25" customHeight="1">
      <c r="A1034" s="242" t="s">
        <v>450</v>
      </c>
      <c r="B1034" s="1021" t="s">
        <v>627</v>
      </c>
      <c r="C1034" s="1022"/>
      <c r="D1034" s="1022"/>
      <c r="E1034" s="1022"/>
      <c r="F1034" s="1022"/>
      <c r="G1034" s="1022"/>
      <c r="H1034" s="1022"/>
      <c r="I1034" s="1022"/>
      <c r="J1034" s="1022"/>
      <c r="K1034" s="1022"/>
      <c r="L1034" s="1022"/>
      <c r="M1034" s="1022"/>
      <c r="N1034" s="1022"/>
      <c r="O1034" s="1022"/>
      <c r="P1034" s="1022"/>
      <c r="Q1034" s="1022"/>
      <c r="R1034" s="1022"/>
      <c r="S1034" s="1022"/>
    </row>
    <row r="1035" spans="1:19" ht="19.5" customHeight="1">
      <c r="A1035" s="243">
        <v>1</v>
      </c>
      <c r="B1035" s="1019" t="s">
        <v>457</v>
      </c>
      <c r="C1035" s="1020"/>
      <c r="D1035" s="1020"/>
      <c r="E1035" s="1020"/>
      <c r="F1035" s="1020"/>
      <c r="G1035" s="1020"/>
      <c r="H1035" s="1020"/>
      <c r="I1035" s="1020"/>
      <c r="J1035" s="1020"/>
      <c r="K1035" s="1020"/>
      <c r="L1035" s="1020"/>
      <c r="M1035" s="1020"/>
      <c r="N1035" s="1020"/>
      <c r="O1035" s="1020"/>
      <c r="P1035" s="1020"/>
      <c r="Q1035" s="1020"/>
      <c r="R1035" s="1020"/>
      <c r="S1035" s="1020"/>
    </row>
    <row r="1036" spans="1:19" ht="21" customHeight="1">
      <c r="A1036" s="243">
        <v>2</v>
      </c>
      <c r="B1036" s="1019" t="s">
        <v>458</v>
      </c>
      <c r="C1036" s="1020"/>
      <c r="D1036" s="1020"/>
      <c r="E1036" s="1020"/>
      <c r="F1036" s="1020"/>
      <c r="G1036" s="1020"/>
      <c r="H1036" s="1020"/>
      <c r="I1036" s="1020"/>
      <c r="J1036" s="1020"/>
      <c r="K1036" s="1020"/>
      <c r="L1036" s="1020"/>
      <c r="M1036" s="1020"/>
      <c r="N1036" s="1020"/>
      <c r="O1036" s="1020"/>
      <c r="P1036" s="1020"/>
      <c r="Q1036" s="1020"/>
      <c r="R1036" s="1020"/>
      <c r="S1036" s="1020"/>
    </row>
    <row r="1037" spans="1:19" s="232" customFormat="1" ht="12.75" customHeight="1">
      <c r="A1037" s="242" t="s">
        <v>453</v>
      </c>
      <c r="B1037" s="1021" t="s">
        <v>451</v>
      </c>
      <c r="C1037" s="1022"/>
      <c r="D1037" s="1022"/>
      <c r="E1037" s="1022"/>
      <c r="F1037" s="1022"/>
      <c r="G1037" s="1022"/>
      <c r="H1037" s="1022"/>
      <c r="I1037" s="1022"/>
      <c r="J1037" s="1022"/>
      <c r="K1037" s="1022"/>
      <c r="L1037" s="1022"/>
      <c r="M1037" s="1022"/>
      <c r="N1037" s="1022"/>
      <c r="O1037" s="1022"/>
      <c r="P1037" s="1022"/>
      <c r="Q1037" s="1022"/>
      <c r="R1037" s="1022"/>
      <c r="S1037" s="1022"/>
    </row>
    <row r="1038" spans="1:19" ht="28.5" customHeight="1">
      <c r="A1038" s="243">
        <v>1</v>
      </c>
      <c r="B1038" s="1019" t="s">
        <v>628</v>
      </c>
      <c r="C1038" s="1020"/>
      <c r="D1038" s="1020"/>
      <c r="E1038" s="1020"/>
      <c r="F1038" s="1020"/>
      <c r="G1038" s="1020"/>
      <c r="H1038" s="1020"/>
      <c r="I1038" s="1020"/>
      <c r="J1038" s="1020"/>
      <c r="K1038" s="1020"/>
      <c r="L1038" s="1020"/>
      <c r="M1038" s="1020"/>
      <c r="N1038" s="1020"/>
      <c r="O1038" s="1020"/>
      <c r="P1038" s="1020"/>
      <c r="Q1038" s="1020"/>
      <c r="R1038" s="1020"/>
      <c r="S1038" s="1020"/>
    </row>
    <row r="1039" spans="1:19" ht="30.75" customHeight="1">
      <c r="A1039" s="243">
        <v>2</v>
      </c>
      <c r="B1039" s="1019" t="s">
        <v>452</v>
      </c>
      <c r="C1039" s="1020"/>
      <c r="D1039" s="1020"/>
      <c r="E1039" s="1020"/>
      <c r="F1039" s="1020"/>
      <c r="G1039" s="1020"/>
      <c r="H1039" s="1020"/>
      <c r="I1039" s="1020"/>
      <c r="J1039" s="1020"/>
      <c r="K1039" s="1020"/>
      <c r="L1039" s="1020"/>
      <c r="M1039" s="1020"/>
      <c r="N1039" s="1020"/>
      <c r="O1039" s="1020"/>
      <c r="P1039" s="1020"/>
      <c r="Q1039" s="1020"/>
      <c r="R1039" s="1020"/>
      <c r="S1039" s="1020"/>
    </row>
    <row r="1040" spans="1:19" ht="21.75" customHeight="1">
      <c r="A1040" s="243">
        <v>3</v>
      </c>
      <c r="B1040" s="1019" t="s">
        <v>629</v>
      </c>
      <c r="C1040" s="1020"/>
      <c r="D1040" s="1020"/>
      <c r="E1040" s="1020"/>
      <c r="F1040" s="1020"/>
      <c r="G1040" s="1020"/>
      <c r="H1040" s="1020"/>
      <c r="I1040" s="1020"/>
      <c r="J1040" s="1020"/>
      <c r="K1040" s="1020"/>
      <c r="L1040" s="1020"/>
      <c r="M1040" s="1020"/>
      <c r="N1040" s="1020"/>
      <c r="O1040" s="1020"/>
      <c r="P1040" s="1020"/>
      <c r="Q1040" s="1020"/>
      <c r="R1040" s="1020"/>
      <c r="S1040" s="1020"/>
    </row>
    <row r="1041" spans="1:19" s="232" customFormat="1" ht="23.25" customHeight="1">
      <c r="A1041" s="242" t="s">
        <v>459</v>
      </c>
      <c r="B1041" s="1023" t="s">
        <v>460</v>
      </c>
      <c r="C1041" s="1023"/>
      <c r="D1041" s="1023"/>
      <c r="E1041" s="1023"/>
      <c r="F1041" s="1023"/>
      <c r="G1041" s="1023"/>
      <c r="H1041" s="1023"/>
      <c r="I1041" s="1023"/>
      <c r="J1041" s="1023"/>
      <c r="K1041" s="1023"/>
      <c r="L1041" s="1023"/>
      <c r="M1041" s="1023"/>
      <c r="N1041" s="1023"/>
      <c r="O1041" s="1023"/>
      <c r="P1041" s="1023"/>
      <c r="Q1041" s="1023"/>
      <c r="R1041" s="1023"/>
      <c r="S1041" s="1023"/>
    </row>
  </sheetData>
  <mergeCells count="504">
    <mergeCell ref="B1041:S1041"/>
    <mergeCell ref="K4:N4"/>
    <mergeCell ref="O4:R4"/>
    <mergeCell ref="A960:A963"/>
    <mergeCell ref="B960:B963"/>
    <mergeCell ref="C960:C963"/>
    <mergeCell ref="A965:A968"/>
    <mergeCell ref="B965:B968"/>
    <mergeCell ref="C965:C968"/>
    <mergeCell ref="A969:A972"/>
    <mergeCell ref="B969:B972"/>
    <mergeCell ref="C969:C972"/>
    <mergeCell ref="A924:A927"/>
    <mergeCell ref="B924:B927"/>
    <mergeCell ref="C924:C927"/>
    <mergeCell ref="A929:A932"/>
    <mergeCell ref="B929:B932"/>
    <mergeCell ref="C929:C932"/>
    <mergeCell ref="A933:A936"/>
    <mergeCell ref="B933:B936"/>
    <mergeCell ref="C933:C936"/>
    <mergeCell ref="C858:C861"/>
    <mergeCell ref="A862:A865"/>
    <mergeCell ref="B862:B865"/>
    <mergeCell ref="A701:A705"/>
    <mergeCell ref="B701:B705"/>
    <mergeCell ref="C701:C705"/>
    <mergeCell ref="C862:C865"/>
    <mergeCell ref="A867:A870"/>
    <mergeCell ref="B867:B870"/>
    <mergeCell ref="C867:C870"/>
    <mergeCell ref="A871:A874"/>
    <mergeCell ref="B871:B874"/>
    <mergeCell ref="C871:C874"/>
    <mergeCell ref="B773:B777"/>
    <mergeCell ref="C773:C777"/>
    <mergeCell ref="A779:A783"/>
    <mergeCell ref="B779:B783"/>
    <mergeCell ref="C779:C783"/>
    <mergeCell ref="A784:A788"/>
    <mergeCell ref="B784:B788"/>
    <mergeCell ref="C784:C788"/>
    <mergeCell ref="A795:A799"/>
    <mergeCell ref="B795:B799"/>
    <mergeCell ref="C795:C799"/>
    <mergeCell ref="A812:A816"/>
    <mergeCell ref="B812:B816"/>
    <mergeCell ref="C812:C816"/>
    <mergeCell ref="A685:A689"/>
    <mergeCell ref="B685:B689"/>
    <mergeCell ref="C685:C689"/>
    <mergeCell ref="A690:A694"/>
    <mergeCell ref="B690:B694"/>
    <mergeCell ref="C690:C694"/>
    <mergeCell ref="A696:A700"/>
    <mergeCell ref="B696:B700"/>
    <mergeCell ref="C696:C700"/>
    <mergeCell ref="A657:A661"/>
    <mergeCell ref="B657:B661"/>
    <mergeCell ref="C657:C661"/>
    <mergeCell ref="A662:A666"/>
    <mergeCell ref="B662:B666"/>
    <mergeCell ref="C662:C666"/>
    <mergeCell ref="B673:B677"/>
    <mergeCell ref="A678:A682"/>
    <mergeCell ref="B678:B682"/>
    <mergeCell ref="B635:B638"/>
    <mergeCell ref="C635:C638"/>
    <mergeCell ref="A641:A645"/>
    <mergeCell ref="B641:B645"/>
    <mergeCell ref="C641:C645"/>
    <mergeCell ref="A646:A650"/>
    <mergeCell ref="B646:B650"/>
    <mergeCell ref="C646:C650"/>
    <mergeCell ref="A651:A655"/>
    <mergeCell ref="B651:B655"/>
    <mergeCell ref="C651:C655"/>
    <mergeCell ref="A548:A551"/>
    <mergeCell ref="B548:B551"/>
    <mergeCell ref="C548:C551"/>
    <mergeCell ref="A552:A555"/>
    <mergeCell ref="B552:B555"/>
    <mergeCell ref="C552:C555"/>
    <mergeCell ref="A539:A542"/>
    <mergeCell ref="B539:B542"/>
    <mergeCell ref="A575:A579"/>
    <mergeCell ref="B575:B579"/>
    <mergeCell ref="C575:C579"/>
    <mergeCell ref="A450:A453"/>
    <mergeCell ref="B450:B453"/>
    <mergeCell ref="C450:C453"/>
    <mergeCell ref="A454:A457"/>
    <mergeCell ref="B454:B457"/>
    <mergeCell ref="C454:C457"/>
    <mergeCell ref="C539:C542"/>
    <mergeCell ref="A543:A546"/>
    <mergeCell ref="B543:B546"/>
    <mergeCell ref="C543:C546"/>
    <mergeCell ref="A520:A523"/>
    <mergeCell ref="B520:B523"/>
    <mergeCell ref="A524:A527"/>
    <mergeCell ref="B524:B527"/>
    <mergeCell ref="A530:A533"/>
    <mergeCell ref="B530:B533"/>
    <mergeCell ref="C530:C533"/>
    <mergeCell ref="A534:A537"/>
    <mergeCell ref="B534:B537"/>
    <mergeCell ref="C534:C537"/>
    <mergeCell ref="A459:A462"/>
    <mergeCell ref="B459:B462"/>
    <mergeCell ref="C459:C462"/>
    <mergeCell ref="A381:A384"/>
    <mergeCell ref="B381:B384"/>
    <mergeCell ref="C381:C384"/>
    <mergeCell ref="A385:A388"/>
    <mergeCell ref="B385:B388"/>
    <mergeCell ref="C385:C388"/>
    <mergeCell ref="A432:A435"/>
    <mergeCell ref="B432:B435"/>
    <mergeCell ref="C432:C435"/>
    <mergeCell ref="A413:A416"/>
    <mergeCell ref="B413:B416"/>
    <mergeCell ref="C413:C416"/>
    <mergeCell ref="A419:A422"/>
    <mergeCell ref="B419:B422"/>
    <mergeCell ref="C419:C422"/>
    <mergeCell ref="A423:A426"/>
    <mergeCell ref="B423:B426"/>
    <mergeCell ref="C423:C426"/>
    <mergeCell ref="A428:A431"/>
    <mergeCell ref="B428:B431"/>
    <mergeCell ref="C428:C431"/>
    <mergeCell ref="A409:A412"/>
    <mergeCell ref="B409:B412"/>
    <mergeCell ref="C409:C412"/>
    <mergeCell ref="A348:A351"/>
    <mergeCell ref="B348:B351"/>
    <mergeCell ref="C348:C351"/>
    <mergeCell ref="A352:A355"/>
    <mergeCell ref="B352:B355"/>
    <mergeCell ref="C352:C355"/>
    <mergeCell ref="A377:A380"/>
    <mergeCell ref="B377:B380"/>
    <mergeCell ref="C377:C380"/>
    <mergeCell ref="A358:A361"/>
    <mergeCell ref="B358:B361"/>
    <mergeCell ref="C358:C361"/>
    <mergeCell ref="A362:A365"/>
    <mergeCell ref="B362:B365"/>
    <mergeCell ref="C362:C365"/>
    <mergeCell ref="A367:A370"/>
    <mergeCell ref="B367:B370"/>
    <mergeCell ref="C367:C370"/>
    <mergeCell ref="A371:A374"/>
    <mergeCell ref="B371:B374"/>
    <mergeCell ref="C371:C374"/>
    <mergeCell ref="A262:A266"/>
    <mergeCell ref="B262:B266"/>
    <mergeCell ref="C262:C266"/>
    <mergeCell ref="A274:A278"/>
    <mergeCell ref="B274:B278"/>
    <mergeCell ref="C274:C278"/>
    <mergeCell ref="A335:A339"/>
    <mergeCell ref="B335:B339"/>
    <mergeCell ref="C335:C339"/>
    <mergeCell ref="A329:A333"/>
    <mergeCell ref="B329:B333"/>
    <mergeCell ref="C329:C333"/>
    <mergeCell ref="A291:A295"/>
    <mergeCell ref="B291:B295"/>
    <mergeCell ref="C291:C295"/>
    <mergeCell ref="A297:A301"/>
    <mergeCell ref="B297:B301"/>
    <mergeCell ref="C297:C301"/>
    <mergeCell ref="A302:A306"/>
    <mergeCell ref="B302:B306"/>
    <mergeCell ref="C302:C306"/>
    <mergeCell ref="A309:A313"/>
    <mergeCell ref="B309:B313"/>
    <mergeCell ref="C309:C313"/>
    <mergeCell ref="A200:A204"/>
    <mergeCell ref="B200:B204"/>
    <mergeCell ref="C200:C204"/>
    <mergeCell ref="A240:A244"/>
    <mergeCell ref="B240:B244"/>
    <mergeCell ref="C240:C244"/>
    <mergeCell ref="A245:A249"/>
    <mergeCell ref="B245:B249"/>
    <mergeCell ref="C245:C249"/>
    <mergeCell ref="A205:A209"/>
    <mergeCell ref="B205:B209"/>
    <mergeCell ref="C205:C209"/>
    <mergeCell ref="A212:A216"/>
    <mergeCell ref="B212:B216"/>
    <mergeCell ref="C212:C216"/>
    <mergeCell ref="A115:A118"/>
    <mergeCell ref="B115:B118"/>
    <mergeCell ref="C115:C118"/>
    <mergeCell ref="A127:A131"/>
    <mergeCell ref="B127:B131"/>
    <mergeCell ref="C127:C131"/>
    <mergeCell ref="A132:A136"/>
    <mergeCell ref="B132:B136"/>
    <mergeCell ref="C132:C136"/>
    <mergeCell ref="A51:A55"/>
    <mergeCell ref="B51:B55"/>
    <mergeCell ref="C51:C55"/>
    <mergeCell ref="A56:A60"/>
    <mergeCell ref="B56:B60"/>
    <mergeCell ref="C56:C60"/>
    <mergeCell ref="A41:A45"/>
    <mergeCell ref="B41:B45"/>
    <mergeCell ref="C41:C45"/>
    <mergeCell ref="A46:A50"/>
    <mergeCell ref="B46:B50"/>
    <mergeCell ref="C46:C50"/>
    <mergeCell ref="B1038:S1038"/>
    <mergeCell ref="B1039:S1039"/>
    <mergeCell ref="B1040:S1040"/>
    <mergeCell ref="A938:A941"/>
    <mergeCell ref="B938:B941"/>
    <mergeCell ref="C938:C941"/>
    <mergeCell ref="A942:A945"/>
    <mergeCell ref="B942:B945"/>
    <mergeCell ref="C942:C945"/>
    <mergeCell ref="A952:A955"/>
    <mergeCell ref="B952:B955"/>
    <mergeCell ref="C952:C955"/>
    <mergeCell ref="A956:A959"/>
    <mergeCell ref="B956:B959"/>
    <mergeCell ref="C956:C959"/>
    <mergeCell ref="B1029:S1029"/>
    <mergeCell ref="B1030:S1030"/>
    <mergeCell ref="B1031:S1031"/>
    <mergeCell ref="B1032:S1032"/>
    <mergeCell ref="B1033:S1033"/>
    <mergeCell ref="B1034:S1034"/>
    <mergeCell ref="B1035:S1035"/>
    <mergeCell ref="B1036:S1036"/>
    <mergeCell ref="B1037:S1037"/>
    <mergeCell ref="A899:A902"/>
    <mergeCell ref="B899:B902"/>
    <mergeCell ref="C899:C902"/>
    <mergeCell ref="A909:A912"/>
    <mergeCell ref="B909:B912"/>
    <mergeCell ref="A913:A916"/>
    <mergeCell ref="B913:B916"/>
    <mergeCell ref="A920:A923"/>
    <mergeCell ref="B920:B923"/>
    <mergeCell ref="C920:C923"/>
    <mergeCell ref="A895:A898"/>
    <mergeCell ref="B895:B898"/>
    <mergeCell ref="C895:C898"/>
    <mergeCell ref="A839:A842"/>
    <mergeCell ref="B839:B842"/>
    <mergeCell ref="A843:A846"/>
    <mergeCell ref="B843:B846"/>
    <mergeCell ref="A849:A852"/>
    <mergeCell ref="B849:B852"/>
    <mergeCell ref="C849:C852"/>
    <mergeCell ref="A853:A856"/>
    <mergeCell ref="B853:B856"/>
    <mergeCell ref="C853:C856"/>
    <mergeCell ref="A858:A861"/>
    <mergeCell ref="B858:B861"/>
    <mergeCell ref="A882:A885"/>
    <mergeCell ref="B882:B885"/>
    <mergeCell ref="C882:C885"/>
    <mergeCell ref="A886:A889"/>
    <mergeCell ref="B886:B889"/>
    <mergeCell ref="C886:C889"/>
    <mergeCell ref="A890:A893"/>
    <mergeCell ref="B890:B893"/>
    <mergeCell ref="C890:C893"/>
    <mergeCell ref="A823:A827"/>
    <mergeCell ref="B823:B827"/>
    <mergeCell ref="C823:C827"/>
    <mergeCell ref="A828:A832"/>
    <mergeCell ref="B828:B832"/>
    <mergeCell ref="C828:C832"/>
    <mergeCell ref="A790:A794"/>
    <mergeCell ref="B790:B794"/>
    <mergeCell ref="C790:C794"/>
    <mergeCell ref="A801:A805"/>
    <mergeCell ref="B801:B805"/>
    <mergeCell ref="C801:C805"/>
    <mergeCell ref="A807:A811"/>
    <mergeCell ref="B807:B811"/>
    <mergeCell ref="C807:C811"/>
    <mergeCell ref="A817:A821"/>
    <mergeCell ref="B817:B821"/>
    <mergeCell ref="C817:C821"/>
    <mergeCell ref="A773:A777"/>
    <mergeCell ref="A724:A728"/>
    <mergeCell ref="B724:B728"/>
    <mergeCell ref="C724:C728"/>
    <mergeCell ref="A729:A733"/>
    <mergeCell ref="B729:B733"/>
    <mergeCell ref="C729:C733"/>
    <mergeCell ref="A734:A738"/>
    <mergeCell ref="B734:B738"/>
    <mergeCell ref="C734:C738"/>
    <mergeCell ref="A740:A744"/>
    <mergeCell ref="B740:B744"/>
    <mergeCell ref="C740:C744"/>
    <mergeCell ref="A745:A749"/>
    <mergeCell ref="B745:B749"/>
    <mergeCell ref="C745:C749"/>
    <mergeCell ref="A756:A760"/>
    <mergeCell ref="B756:B760"/>
    <mergeCell ref="A761:A765"/>
    <mergeCell ref="B761:B765"/>
    <mergeCell ref="A768:A772"/>
    <mergeCell ref="B768:B772"/>
    <mergeCell ref="C768:C772"/>
    <mergeCell ref="A707:A711"/>
    <mergeCell ref="B707:B711"/>
    <mergeCell ref="C707:C711"/>
    <mergeCell ref="A712:A716"/>
    <mergeCell ref="B712:B716"/>
    <mergeCell ref="C712:C716"/>
    <mergeCell ref="B718:B722"/>
    <mergeCell ref="C718:C722"/>
    <mergeCell ref="A607:A611"/>
    <mergeCell ref="B607:B611"/>
    <mergeCell ref="C607:C611"/>
    <mergeCell ref="A613:A617"/>
    <mergeCell ref="B613:B617"/>
    <mergeCell ref="C613:C617"/>
    <mergeCell ref="A618:A622"/>
    <mergeCell ref="B618:B622"/>
    <mergeCell ref="C618:C622"/>
    <mergeCell ref="A624:A628"/>
    <mergeCell ref="B624:B628"/>
    <mergeCell ref="C624:C628"/>
    <mergeCell ref="A629:A633"/>
    <mergeCell ref="B629:B633"/>
    <mergeCell ref="C629:C633"/>
    <mergeCell ref="A635:A638"/>
    <mergeCell ref="A602:A606"/>
    <mergeCell ref="B602:B606"/>
    <mergeCell ref="C602:C606"/>
    <mergeCell ref="A557:A560"/>
    <mergeCell ref="B557:B560"/>
    <mergeCell ref="C557:C560"/>
    <mergeCell ref="A562:A565"/>
    <mergeCell ref="B562:B565"/>
    <mergeCell ref="C562:C565"/>
    <mergeCell ref="A566:A569"/>
    <mergeCell ref="B566:B569"/>
    <mergeCell ref="C566:C569"/>
    <mergeCell ref="A570:A573"/>
    <mergeCell ref="B570:B573"/>
    <mergeCell ref="C570:C573"/>
    <mergeCell ref="A580:A583"/>
    <mergeCell ref="B580:B583"/>
    <mergeCell ref="C580:C583"/>
    <mergeCell ref="A590:A594"/>
    <mergeCell ref="B590:B594"/>
    <mergeCell ref="A595:A599"/>
    <mergeCell ref="B595:B599"/>
    <mergeCell ref="A438:A441"/>
    <mergeCell ref="B438:B441"/>
    <mergeCell ref="C438:C441"/>
    <mergeCell ref="A442:A445"/>
    <mergeCell ref="B442:B445"/>
    <mergeCell ref="C442:C445"/>
    <mergeCell ref="A446:A449"/>
    <mergeCell ref="B446:B449"/>
    <mergeCell ref="C446:C449"/>
    <mergeCell ref="A389:A392"/>
    <mergeCell ref="B389:B392"/>
    <mergeCell ref="C389:C392"/>
    <mergeCell ref="A393:A396"/>
    <mergeCell ref="B393:B396"/>
    <mergeCell ref="C393:C396"/>
    <mergeCell ref="A398:A401"/>
    <mergeCell ref="B398:B401"/>
    <mergeCell ref="C398:C401"/>
    <mergeCell ref="A314:A318"/>
    <mergeCell ref="B314:B318"/>
    <mergeCell ref="C314:C318"/>
    <mergeCell ref="A319:A323"/>
    <mergeCell ref="B319:B323"/>
    <mergeCell ref="C319:C323"/>
    <mergeCell ref="A324:A328"/>
    <mergeCell ref="B324:B328"/>
    <mergeCell ref="C324:C328"/>
    <mergeCell ref="A279:A283"/>
    <mergeCell ref="B279:B283"/>
    <mergeCell ref="C279:C283"/>
    <mergeCell ref="A286:A290"/>
    <mergeCell ref="B286:B290"/>
    <mergeCell ref="C286:C290"/>
    <mergeCell ref="A217:A221"/>
    <mergeCell ref="B217:B221"/>
    <mergeCell ref="C217:C221"/>
    <mergeCell ref="A223:A227"/>
    <mergeCell ref="B223:B227"/>
    <mergeCell ref="C223:C227"/>
    <mergeCell ref="A228:A232"/>
    <mergeCell ref="B228:B232"/>
    <mergeCell ref="C228:C232"/>
    <mergeCell ref="A235:A239"/>
    <mergeCell ref="B235:B239"/>
    <mergeCell ref="C235:C239"/>
    <mergeCell ref="A250:A254"/>
    <mergeCell ref="B250:B254"/>
    <mergeCell ref="C250:C254"/>
    <mergeCell ref="A255:A260"/>
    <mergeCell ref="B255:B260"/>
    <mergeCell ref="C255:C260"/>
    <mergeCell ref="A162:A166"/>
    <mergeCell ref="B162:B166"/>
    <mergeCell ref="C162:C166"/>
    <mergeCell ref="A167:A171"/>
    <mergeCell ref="B167:B171"/>
    <mergeCell ref="C167:C171"/>
    <mergeCell ref="A172:A176"/>
    <mergeCell ref="B172:B176"/>
    <mergeCell ref="C172:C176"/>
    <mergeCell ref="A177:A181"/>
    <mergeCell ref="B177:B181"/>
    <mergeCell ref="C177:C181"/>
    <mergeCell ref="A182:A186"/>
    <mergeCell ref="B182:B186"/>
    <mergeCell ref="C182:C186"/>
    <mergeCell ref="A188:A192"/>
    <mergeCell ref="B188:B192"/>
    <mergeCell ref="C188:C192"/>
    <mergeCell ref="A155:A159"/>
    <mergeCell ref="B155:B159"/>
    <mergeCell ref="C155:C159"/>
    <mergeCell ref="A98:A101"/>
    <mergeCell ref="B98:B101"/>
    <mergeCell ref="C98:C101"/>
    <mergeCell ref="A102:A105"/>
    <mergeCell ref="B102:B105"/>
    <mergeCell ref="C102:C105"/>
    <mergeCell ref="A106:A109"/>
    <mergeCell ref="B106:B109"/>
    <mergeCell ref="C106:C109"/>
    <mergeCell ref="A110:A113"/>
    <mergeCell ref="B110:B113"/>
    <mergeCell ref="C110:C113"/>
    <mergeCell ref="A139:A143"/>
    <mergeCell ref="B139:B143"/>
    <mergeCell ref="C139:C143"/>
    <mergeCell ref="A144:A148"/>
    <mergeCell ref="B144:B148"/>
    <mergeCell ref="C144:C148"/>
    <mergeCell ref="A150:A154"/>
    <mergeCell ref="B150:B154"/>
    <mergeCell ref="C150:C154"/>
    <mergeCell ref="A94:A97"/>
    <mergeCell ref="B94:B97"/>
    <mergeCell ref="C94:C97"/>
    <mergeCell ref="A65:A68"/>
    <mergeCell ref="B65:B68"/>
    <mergeCell ref="C65:C68"/>
    <mergeCell ref="A69:A72"/>
    <mergeCell ref="B69:B72"/>
    <mergeCell ref="C69:C72"/>
    <mergeCell ref="A79:A82"/>
    <mergeCell ref="B79:B82"/>
    <mergeCell ref="C79:C82"/>
    <mergeCell ref="A84:A87"/>
    <mergeCell ref="B84:B87"/>
    <mergeCell ref="C84:C87"/>
    <mergeCell ref="A88:A91"/>
    <mergeCell ref="B88:B91"/>
    <mergeCell ref="C88:C91"/>
    <mergeCell ref="A75:A78"/>
    <mergeCell ref="B75:B78"/>
    <mergeCell ref="C75:C78"/>
    <mergeCell ref="C31:C35"/>
    <mergeCell ref="A36:A40"/>
    <mergeCell ref="B36:B40"/>
    <mergeCell ref="C36:C40"/>
    <mergeCell ref="A19:A23"/>
    <mergeCell ref="B19:B23"/>
    <mergeCell ref="A26:A30"/>
    <mergeCell ref="B26:B30"/>
    <mergeCell ref="C26:C30"/>
    <mergeCell ref="A31:A35"/>
    <mergeCell ref="B31:B35"/>
    <mergeCell ref="A7:A11"/>
    <mergeCell ref="B7:B11"/>
    <mergeCell ref="A13:A17"/>
    <mergeCell ref="B13:B17"/>
    <mergeCell ref="C20:C23"/>
    <mergeCell ref="C8:C11"/>
    <mergeCell ref="C14:C17"/>
    <mergeCell ref="A1:S1"/>
    <mergeCell ref="A2:S2"/>
    <mergeCell ref="A4:A5"/>
    <mergeCell ref="B4:B5"/>
    <mergeCell ref="C4:C5"/>
    <mergeCell ref="D4:D5"/>
    <mergeCell ref="E4:E5"/>
    <mergeCell ref="F4:F5"/>
    <mergeCell ref="G4:G5"/>
    <mergeCell ref="H4:H5"/>
    <mergeCell ref="I4:J4"/>
  </mergeCells>
  <printOptions horizontalCentered="1"/>
  <pageMargins left="0.19685039370078741" right="0.19685039370078741" top="0.39370078740157483" bottom="0.43307086614173229" header="0.27559055118110237" footer="0.23622047244094491"/>
  <pageSetup paperSize="9" firstPageNumber="20" fitToHeight="0" orientation="portrait" useFirstPageNumber="1" horizontalDpi="4294967295" verticalDpi="4294967295" r:id="rId1"/>
  <ignoredErrors>
    <ignoredError sqref="K114 K187 G196:H196 G212:G216 G270:H270 G286:G290 K334 G343:H343 G358:G361 G405:H405 G419:G422 H613:H633 G75:G78 G122:L148 K397 G466:L479 H539:H555" formula="1"/>
    <ignoredError sqref="E635:S695 D998:G1002 I696:S1002 E696:G997 D696:D997 D635:D695 D618:D633 D575:D583 D557:D574 D543:D555 D488:D517 D472:D487 D446:D462 D385:D401 D319:D339 D245:D266 D30:D244 D267:D318 D340:D384 D402:D445 D463:D471 D518:D542 D556 D584:D617 D634 A31:A1038" numberStoredAsText="1"/>
    <ignoredError sqref="H696:H1002" numberStoredAsText="1" 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041"/>
  <sheetViews>
    <sheetView showZeros="0" zoomScale="110" zoomScaleNormal="110" workbookViewId="0">
      <pane xSplit="4" ySplit="5" topLeftCell="E6" activePane="bottomRight" state="frozen"/>
      <selection pane="topRight" activeCell="E1" sqref="E1"/>
      <selection pane="bottomLeft" activeCell="A6" sqref="A6"/>
      <selection pane="bottomRight" activeCell="M6" sqref="M6"/>
    </sheetView>
  </sheetViews>
  <sheetFormatPr defaultColWidth="9" defaultRowHeight="13"/>
  <cols>
    <col min="1" max="1" width="4.765625" style="311" customWidth="1"/>
    <col min="2" max="2" width="23.765625" style="303" customWidth="1"/>
    <col min="3" max="3" width="5.69140625" style="311" customWidth="1"/>
    <col min="4" max="4" width="7.07421875" style="311" bestFit="1" customWidth="1"/>
    <col min="5" max="5" width="8.3046875" style="303" bestFit="1" customWidth="1"/>
    <col min="6" max="6" width="9" style="303" bestFit="1" customWidth="1"/>
    <col min="7" max="7" width="7.765625" style="303" customWidth="1"/>
    <col min="8" max="8" width="7.23046875" style="303" customWidth="1"/>
    <col min="9" max="9" width="7.69140625" style="303" bestFit="1" customWidth="1"/>
    <col min="10" max="10" width="7.765625" style="303" customWidth="1"/>
    <col min="11" max="11" width="8.3046875" style="303" bestFit="1" customWidth="1"/>
    <col min="12" max="12" width="10.84375" style="303" customWidth="1"/>
    <col min="13" max="13" width="9.23046875" style="308" customWidth="1"/>
    <col min="14" max="14" width="8.84375" style="308" customWidth="1"/>
    <col min="15" max="15" width="7" style="303" customWidth="1"/>
    <col min="16" max="16384" width="9" style="303"/>
  </cols>
  <sheetData>
    <row r="1" spans="1:15" s="307" customFormat="1" ht="18">
      <c r="A1" s="1044" t="s">
        <v>621</v>
      </c>
      <c r="B1" s="1044"/>
      <c r="C1" s="1044"/>
      <c r="D1" s="1044"/>
      <c r="E1" s="1044"/>
      <c r="F1" s="1044"/>
      <c r="G1" s="1044"/>
      <c r="H1" s="1044"/>
      <c r="I1" s="1044"/>
      <c r="J1" s="1044"/>
      <c r="K1" s="1044"/>
      <c r="L1" s="1044"/>
      <c r="M1" s="1044"/>
      <c r="N1" s="1044"/>
      <c r="O1" s="1044"/>
    </row>
    <row r="2" spans="1:15" s="308" customFormat="1" ht="43.5" customHeight="1">
      <c r="A2" s="1045" t="s">
        <v>308</v>
      </c>
      <c r="B2" s="1045"/>
      <c r="C2" s="1045"/>
      <c r="D2" s="1045"/>
      <c r="E2" s="1045"/>
      <c r="F2" s="1045"/>
      <c r="G2" s="1045"/>
      <c r="H2" s="1045"/>
      <c r="I2" s="1045"/>
      <c r="J2" s="1045"/>
      <c r="K2" s="1045"/>
      <c r="L2" s="1045"/>
      <c r="M2" s="1045"/>
      <c r="N2" s="1045"/>
      <c r="O2" s="1045"/>
    </row>
    <row r="3" spans="1:15" ht="12.75" customHeight="1">
      <c r="A3" s="309"/>
      <c r="B3" s="310"/>
    </row>
    <row r="4" spans="1:15" s="313" customFormat="1" ht="18.75" customHeight="1">
      <c r="A4" s="1042" t="s">
        <v>88</v>
      </c>
      <c r="B4" s="1042" t="s">
        <v>74</v>
      </c>
      <c r="C4" s="1042" t="s">
        <v>70</v>
      </c>
      <c r="D4" s="1042" t="s">
        <v>336</v>
      </c>
      <c r="E4" s="1042" t="s">
        <v>337</v>
      </c>
      <c r="F4" s="1042" t="s">
        <v>338</v>
      </c>
      <c r="G4" s="1042" t="s">
        <v>339</v>
      </c>
      <c r="H4" s="1042" t="s">
        <v>340</v>
      </c>
      <c r="I4" s="1042" t="s">
        <v>83</v>
      </c>
      <c r="J4" s="1042"/>
      <c r="K4" s="1042" t="s">
        <v>341</v>
      </c>
      <c r="L4" s="1042" t="s">
        <v>514</v>
      </c>
      <c r="M4" s="1042" t="s">
        <v>342</v>
      </c>
      <c r="N4" s="1042" t="s">
        <v>343</v>
      </c>
      <c r="O4" s="312" t="s">
        <v>72</v>
      </c>
    </row>
    <row r="5" spans="1:15" s="313" customFormat="1" ht="22.5" customHeight="1">
      <c r="A5" s="1042"/>
      <c r="B5" s="1042"/>
      <c r="C5" s="1042"/>
      <c r="D5" s="1042"/>
      <c r="E5" s="1042"/>
      <c r="F5" s="1042"/>
      <c r="G5" s="1042"/>
      <c r="H5" s="1042"/>
      <c r="I5" s="312" t="s">
        <v>84</v>
      </c>
      <c r="J5" s="312" t="s">
        <v>85</v>
      </c>
      <c r="K5" s="1042"/>
      <c r="L5" s="1042"/>
      <c r="M5" s="1042"/>
      <c r="N5" s="1042"/>
      <c r="O5" s="312">
        <f>L_CBac!L9</f>
        <v>0.1</v>
      </c>
    </row>
    <row r="6" spans="1:15" ht="17.25" customHeight="1">
      <c r="A6" s="298" t="str">
        <f>L_CViec!A7</f>
        <v>I</v>
      </c>
      <c r="B6" s="314" t="str">
        <f>L_CViec!B7</f>
        <v>LƯỚI ĐỊA CHÍNH:</v>
      </c>
      <c r="C6" s="300"/>
      <c r="D6" s="300"/>
      <c r="E6" s="301"/>
      <c r="F6" s="301"/>
      <c r="G6" s="301"/>
      <c r="H6" s="301"/>
      <c r="I6" s="301"/>
      <c r="J6" s="301"/>
      <c r="K6" s="301"/>
      <c r="L6" s="301"/>
      <c r="M6" s="315"/>
      <c r="N6" s="315"/>
      <c r="O6" s="301"/>
    </row>
    <row r="7" spans="1:15" s="308" customFormat="1" ht="12.75" customHeight="1">
      <c r="A7" s="1036"/>
      <c r="B7" s="1037" t="s">
        <v>251</v>
      </c>
      <c r="C7" s="298" t="s">
        <v>82</v>
      </c>
      <c r="D7" s="298">
        <v>1</v>
      </c>
      <c r="E7" s="301">
        <f t="shared" ref="E7:O7" si="0">SUM(E26,E51,E$61)-E$12</f>
        <v>3671256.1187500004</v>
      </c>
      <c r="F7" s="301">
        <f t="shared" si="0"/>
        <v>523938.46153846162</v>
      </c>
      <c r="G7" s="301">
        <f t="shared" si="0"/>
        <v>19514.952991452992</v>
      </c>
      <c r="H7" s="301">
        <f t="shared" si="0"/>
        <v>243226.962</v>
      </c>
      <c r="I7" s="301">
        <f t="shared" si="0"/>
        <v>49324.471999999994</v>
      </c>
      <c r="J7" s="301">
        <f t="shared" si="0"/>
        <v>0</v>
      </c>
      <c r="K7" s="301">
        <f t="shared" si="0"/>
        <v>4507260.9672799148</v>
      </c>
      <c r="L7" s="301">
        <f t="shared" si="0"/>
        <v>1126815.2418199787</v>
      </c>
      <c r="M7" s="315">
        <f t="shared" si="0"/>
        <v>5634076.2090998944</v>
      </c>
      <c r="N7" s="301">
        <f t="shared" si="0"/>
        <v>0</v>
      </c>
      <c r="O7" s="301">
        <f t="shared" si="0"/>
        <v>111782.21153846153</v>
      </c>
    </row>
    <row r="8" spans="1:15" s="308" customFormat="1" ht="12.75" customHeight="1">
      <c r="A8" s="1036"/>
      <c r="B8" s="1037"/>
      <c r="C8" s="1042" t="s">
        <v>388</v>
      </c>
      <c r="D8" s="298">
        <v>2</v>
      </c>
      <c r="E8" s="301">
        <f t="shared" ref="E8:O8" si="1">SUM(E27,E52,E$61)-E$12</f>
        <v>4716658.4437500006</v>
      </c>
      <c r="F8" s="301">
        <f t="shared" si="1"/>
        <v>704042.30769230786</v>
      </c>
      <c r="G8" s="301">
        <f t="shared" si="1"/>
        <v>25568.49893162393</v>
      </c>
      <c r="H8" s="301">
        <f t="shared" si="1"/>
        <v>243226.962</v>
      </c>
      <c r="I8" s="301">
        <f t="shared" si="1"/>
        <v>66873.991999999998</v>
      </c>
      <c r="J8" s="301">
        <f t="shared" si="1"/>
        <v>0</v>
      </c>
      <c r="K8" s="301">
        <f t="shared" si="1"/>
        <v>5756370.2043739324</v>
      </c>
      <c r="L8" s="301">
        <f t="shared" si="1"/>
        <v>1439092.5510934831</v>
      </c>
      <c r="M8" s="315">
        <f t="shared" si="1"/>
        <v>7195462.7554674149</v>
      </c>
      <c r="N8" s="301">
        <f t="shared" si="1"/>
        <v>0</v>
      </c>
      <c r="O8" s="301">
        <f t="shared" si="1"/>
        <v>143650.48076923075</v>
      </c>
    </row>
    <row r="9" spans="1:15" s="308" customFormat="1" ht="12.75" customHeight="1">
      <c r="A9" s="1036"/>
      <c r="B9" s="1037"/>
      <c r="C9" s="1042"/>
      <c r="D9" s="298">
        <v>3</v>
      </c>
      <c r="E9" s="301">
        <f t="shared" ref="E9:O9" si="2">SUM(E28,E53,E$61)-E$12</f>
        <v>5965622.1968750004</v>
      </c>
      <c r="F9" s="301">
        <f t="shared" si="2"/>
        <v>966011.5384615385</v>
      </c>
      <c r="G9" s="301">
        <f t="shared" si="2"/>
        <v>33395.14957264957</v>
      </c>
      <c r="H9" s="301">
        <f t="shared" si="2"/>
        <v>243226.962</v>
      </c>
      <c r="I9" s="301">
        <f t="shared" si="2"/>
        <v>79135.207999999999</v>
      </c>
      <c r="J9" s="301">
        <f t="shared" si="2"/>
        <v>0</v>
      </c>
      <c r="K9" s="301">
        <f t="shared" si="2"/>
        <v>7287391.0549091883</v>
      </c>
      <c r="L9" s="301">
        <f t="shared" si="2"/>
        <v>1821847.7637272971</v>
      </c>
      <c r="M9" s="315">
        <f t="shared" si="2"/>
        <v>9109238.8186364863</v>
      </c>
      <c r="N9" s="301">
        <f t="shared" si="2"/>
        <v>0</v>
      </c>
      <c r="O9" s="301">
        <f t="shared" si="2"/>
        <v>181722.11538461538</v>
      </c>
    </row>
    <row r="10" spans="1:15" s="308" customFormat="1" ht="12.75" customHeight="1">
      <c r="A10" s="1036"/>
      <c r="B10" s="1037"/>
      <c r="C10" s="1042"/>
      <c r="D10" s="298">
        <v>4</v>
      </c>
      <c r="E10" s="301">
        <f t="shared" ref="E10:O10" si="3">SUM(E29,E54,E$61)-E$12</f>
        <v>7737287.1125000007</v>
      </c>
      <c r="F10" s="301">
        <f t="shared" si="3"/>
        <v>1368061.5384615385</v>
      </c>
      <c r="G10" s="301">
        <f t="shared" si="3"/>
        <v>43935.831196581195</v>
      </c>
      <c r="H10" s="301">
        <f t="shared" si="3"/>
        <v>243226.962</v>
      </c>
      <c r="I10" s="301">
        <f t="shared" si="3"/>
        <v>102815.33600000001</v>
      </c>
      <c r="J10" s="301">
        <f t="shared" si="3"/>
        <v>0</v>
      </c>
      <c r="K10" s="301">
        <f t="shared" si="3"/>
        <v>9495326.7801581211</v>
      </c>
      <c r="L10" s="301">
        <f t="shared" si="3"/>
        <v>2373831.6950395303</v>
      </c>
      <c r="M10" s="315">
        <f t="shared" si="3"/>
        <v>11869158.47519765</v>
      </c>
      <c r="N10" s="301">
        <f t="shared" si="3"/>
        <v>0</v>
      </c>
      <c r="O10" s="301">
        <f t="shared" si="3"/>
        <v>235727.8846153846</v>
      </c>
    </row>
    <row r="11" spans="1:15" s="308" customFormat="1" ht="12.75" customHeight="1">
      <c r="A11" s="1036"/>
      <c r="B11" s="1037"/>
      <c r="C11" s="1042"/>
      <c r="D11" s="298">
        <v>5</v>
      </c>
      <c r="E11" s="301">
        <f t="shared" ref="E11:O11" si="4">SUM(E30,E55,E$61)-E$12</f>
        <v>10521907.103125002</v>
      </c>
      <c r="F11" s="301">
        <f t="shared" si="4"/>
        <v>1762834.6153846155</v>
      </c>
      <c r="G11" s="301">
        <f t="shared" si="4"/>
        <v>56668.407051282047</v>
      </c>
      <c r="H11" s="301">
        <f t="shared" si="4"/>
        <v>243226.962</v>
      </c>
      <c r="I11" s="301">
        <f t="shared" si="4"/>
        <v>119813.94399999999</v>
      </c>
      <c r="J11" s="301">
        <f t="shared" si="4"/>
        <v>0</v>
      </c>
      <c r="K11" s="301">
        <f t="shared" si="4"/>
        <v>12704451.031560898</v>
      </c>
      <c r="L11" s="301">
        <f t="shared" si="4"/>
        <v>3176112.7578902245</v>
      </c>
      <c r="M11" s="315">
        <f t="shared" si="4"/>
        <v>15880563.789451122</v>
      </c>
      <c r="N11" s="301">
        <f t="shared" si="4"/>
        <v>0</v>
      </c>
      <c r="O11" s="301">
        <f t="shared" si="4"/>
        <v>320385.57692307694</v>
      </c>
    </row>
    <row r="12" spans="1:15" s="308" customFormat="1" ht="15" customHeight="1">
      <c r="A12" s="316"/>
      <c r="B12" s="317"/>
      <c r="C12" s="298" t="s">
        <v>490</v>
      </c>
      <c r="D12" s="318"/>
      <c r="E12" s="301">
        <f>E61</f>
        <v>545113.80000000005</v>
      </c>
      <c r="F12" s="301">
        <f t="shared" ref="F12:O12" si="5">F61</f>
        <v>0</v>
      </c>
      <c r="G12" s="301">
        <f t="shared" si="5"/>
        <v>2819.3792307692306</v>
      </c>
      <c r="H12" s="301">
        <f t="shared" si="5"/>
        <v>27260</v>
      </c>
      <c r="I12" s="301">
        <f t="shared" si="5"/>
        <v>1529</v>
      </c>
      <c r="J12" s="301">
        <f t="shared" si="5"/>
        <v>0</v>
      </c>
      <c r="K12" s="301">
        <f t="shared" si="5"/>
        <v>576722.17923076928</v>
      </c>
      <c r="L12" s="301">
        <f t="shared" si="5"/>
        <v>86508.326884615395</v>
      </c>
      <c r="M12" s="315">
        <f t="shared" si="5"/>
        <v>663230.50611538463</v>
      </c>
      <c r="N12" s="301"/>
      <c r="O12" s="301">
        <f t="shared" si="5"/>
        <v>15569.23076923077</v>
      </c>
    </row>
    <row r="13" spans="1:15" s="308" customFormat="1" ht="12.75" customHeight="1">
      <c r="A13" s="1036"/>
      <c r="B13" s="1037" t="s">
        <v>253</v>
      </c>
      <c r="C13" s="298" t="s">
        <v>82</v>
      </c>
      <c r="D13" s="298">
        <v>1</v>
      </c>
      <c r="E13" s="301">
        <f t="shared" ref="E13:O13" si="6">SUM(E26,E36,E51,E$61)-E$18</f>
        <v>5656622.2281250004</v>
      </c>
      <c r="F13" s="301">
        <f t="shared" si="6"/>
        <v>1397169.230769231</v>
      </c>
      <c r="G13" s="301">
        <f t="shared" si="6"/>
        <v>30445.51201923077</v>
      </c>
      <c r="H13" s="301">
        <f t="shared" si="6"/>
        <v>769456.12199999997</v>
      </c>
      <c r="I13" s="301">
        <f t="shared" si="6"/>
        <v>82269.943999999989</v>
      </c>
      <c r="J13" s="301">
        <f t="shared" si="6"/>
        <v>0</v>
      </c>
      <c r="K13" s="301">
        <f t="shared" si="6"/>
        <v>7935963.0369134629</v>
      </c>
      <c r="L13" s="301">
        <f t="shared" si="6"/>
        <v>1983990.7592283657</v>
      </c>
      <c r="M13" s="315">
        <f t="shared" si="6"/>
        <v>9919953.7961418293</v>
      </c>
      <c r="N13" s="301">
        <f t="shared" si="6"/>
        <v>0</v>
      </c>
      <c r="O13" s="301">
        <f t="shared" si="6"/>
        <v>177464.90384615384</v>
      </c>
    </row>
    <row r="14" spans="1:15" s="308" customFormat="1" ht="12.75" customHeight="1">
      <c r="A14" s="1036"/>
      <c r="B14" s="1037"/>
      <c r="C14" s="1042" t="s">
        <v>388</v>
      </c>
      <c r="D14" s="298">
        <v>2</v>
      </c>
      <c r="E14" s="301">
        <f t="shared" ref="E14:O14" si="7">SUM(E27,E37,E52,E$61)-E$18</f>
        <v>6863795.125</v>
      </c>
      <c r="F14" s="301">
        <f t="shared" si="7"/>
        <v>1850157.6923076925</v>
      </c>
      <c r="G14" s="301">
        <f t="shared" si="7"/>
        <v>39862.306891025641</v>
      </c>
      <c r="H14" s="301">
        <f t="shared" si="7"/>
        <v>769456.12199999997</v>
      </c>
      <c r="I14" s="301">
        <f t="shared" si="7"/>
        <v>99819.463999999993</v>
      </c>
      <c r="J14" s="301">
        <f t="shared" si="7"/>
        <v>0</v>
      </c>
      <c r="K14" s="301">
        <f t="shared" si="7"/>
        <v>9623090.7101987191</v>
      </c>
      <c r="L14" s="301">
        <f t="shared" si="7"/>
        <v>2405772.6775496798</v>
      </c>
      <c r="M14" s="315">
        <f t="shared" si="7"/>
        <v>12028863.3877484</v>
      </c>
      <c r="N14" s="301">
        <f t="shared" si="7"/>
        <v>0</v>
      </c>
      <c r="O14" s="301">
        <f t="shared" si="7"/>
        <v>214685.09615384613</v>
      </c>
    </row>
    <row r="15" spans="1:15" s="308" customFormat="1" ht="12.75" customHeight="1">
      <c r="A15" s="1036"/>
      <c r="B15" s="1037"/>
      <c r="C15" s="1042"/>
      <c r="D15" s="298">
        <v>3</v>
      </c>
      <c r="E15" s="301">
        <f t="shared" ref="E15:O15" si="8">SUM(E28,E38,E53,E$61)-E$18</f>
        <v>8348061.528125002</v>
      </c>
      <c r="F15" s="301">
        <f t="shared" si="8"/>
        <v>2494165.384615385</v>
      </c>
      <c r="G15" s="301">
        <f t="shared" si="8"/>
        <v>50211.394230769227</v>
      </c>
      <c r="H15" s="301">
        <f t="shared" si="8"/>
        <v>769456.12199999997</v>
      </c>
      <c r="I15" s="301">
        <f t="shared" si="8"/>
        <v>119401.89600000001</v>
      </c>
      <c r="J15" s="301">
        <f t="shared" si="8"/>
        <v>0</v>
      </c>
      <c r="K15" s="301">
        <f t="shared" si="8"/>
        <v>11781296.324971154</v>
      </c>
      <c r="L15" s="301">
        <f t="shared" si="8"/>
        <v>2945324.0812427886</v>
      </c>
      <c r="M15" s="315">
        <f t="shared" si="8"/>
        <v>14726620.406213943</v>
      </c>
      <c r="N15" s="301">
        <f t="shared" si="8"/>
        <v>0</v>
      </c>
      <c r="O15" s="301">
        <f t="shared" si="8"/>
        <v>260541.3461538461</v>
      </c>
    </row>
    <row r="16" spans="1:15" s="308" customFormat="1" ht="12.75" customHeight="1">
      <c r="A16" s="1036"/>
      <c r="B16" s="1037"/>
      <c r="C16" s="1042"/>
      <c r="D16" s="298">
        <v>4</v>
      </c>
      <c r="E16" s="301">
        <f t="shared" ref="E16:O16" si="9">SUM(E29,E39,E54,E$61)-E$18</f>
        <v>10516799.665625002</v>
      </c>
      <c r="F16" s="301">
        <f t="shared" si="9"/>
        <v>3987753.8461538465</v>
      </c>
      <c r="G16" s="301">
        <f t="shared" si="9"/>
        <v>65796.949252136765</v>
      </c>
      <c r="H16" s="301">
        <f t="shared" si="9"/>
        <v>769456.12199999997</v>
      </c>
      <c r="I16" s="301">
        <f t="shared" si="9"/>
        <v>150403.24</v>
      </c>
      <c r="J16" s="301">
        <f t="shared" si="9"/>
        <v>0</v>
      </c>
      <c r="K16" s="301">
        <f t="shared" si="9"/>
        <v>15490209.823030986</v>
      </c>
      <c r="L16" s="301">
        <f t="shared" si="9"/>
        <v>3872552.4557577465</v>
      </c>
      <c r="M16" s="315">
        <f t="shared" si="9"/>
        <v>19362762.278788731</v>
      </c>
      <c r="N16" s="301">
        <f t="shared" si="9"/>
        <v>0</v>
      </c>
      <c r="O16" s="301">
        <f t="shared" si="9"/>
        <v>327683.65384615381</v>
      </c>
    </row>
    <row r="17" spans="1:15" s="308" customFormat="1" ht="12.75" customHeight="1">
      <c r="A17" s="1036"/>
      <c r="B17" s="1037"/>
      <c r="C17" s="1042"/>
      <c r="D17" s="298">
        <v>5</v>
      </c>
      <c r="E17" s="301">
        <f t="shared" ref="E17:O17" si="10">SUM(E30,E40,E55,E$61)-E$18</f>
        <v>13698492.878125003</v>
      </c>
      <c r="F17" s="301">
        <f t="shared" si="10"/>
        <v>4819142.307692307</v>
      </c>
      <c r="G17" s="301">
        <f t="shared" si="10"/>
        <v>84415.210737179485</v>
      </c>
      <c r="H17" s="301">
        <f t="shared" si="10"/>
        <v>769456.12199999997</v>
      </c>
      <c r="I17" s="301">
        <f t="shared" si="10"/>
        <v>172892.75999999998</v>
      </c>
      <c r="J17" s="301">
        <f t="shared" si="10"/>
        <v>0</v>
      </c>
      <c r="K17" s="301">
        <f t="shared" si="10"/>
        <v>19544399.278554492</v>
      </c>
      <c r="L17" s="301">
        <f t="shared" si="10"/>
        <v>4886099.8196386229</v>
      </c>
      <c r="M17" s="315">
        <f t="shared" si="10"/>
        <v>24430499.098193109</v>
      </c>
      <c r="N17" s="301">
        <f t="shared" si="10"/>
        <v>0</v>
      </c>
      <c r="O17" s="301">
        <f t="shared" si="10"/>
        <v>425477.88461538462</v>
      </c>
    </row>
    <row r="18" spans="1:15" s="308" customFormat="1" ht="15" customHeight="1">
      <c r="A18" s="316"/>
      <c r="B18" s="317"/>
      <c r="C18" s="298" t="s">
        <v>490</v>
      </c>
      <c r="D18" s="318"/>
      <c r="E18" s="301">
        <f t="shared" ref="E18:O18" si="11">E12</f>
        <v>545113.80000000005</v>
      </c>
      <c r="F18" s="301">
        <f t="shared" si="11"/>
        <v>0</v>
      </c>
      <c r="G18" s="301">
        <f t="shared" si="11"/>
        <v>2819.3792307692306</v>
      </c>
      <c r="H18" s="301">
        <f t="shared" si="11"/>
        <v>27260</v>
      </c>
      <c r="I18" s="301">
        <f t="shared" si="11"/>
        <v>1529</v>
      </c>
      <c r="J18" s="301">
        <f t="shared" si="11"/>
        <v>0</v>
      </c>
      <c r="K18" s="301">
        <f t="shared" si="11"/>
        <v>576722.17923076928</v>
      </c>
      <c r="L18" s="301">
        <f t="shared" si="11"/>
        <v>86508.326884615395</v>
      </c>
      <c r="M18" s="315">
        <f t="shared" si="11"/>
        <v>663230.50611538463</v>
      </c>
      <c r="N18" s="301">
        <f t="shared" si="11"/>
        <v>0</v>
      </c>
      <c r="O18" s="301">
        <f t="shared" si="11"/>
        <v>15569.23076923077</v>
      </c>
    </row>
    <row r="19" spans="1:15" s="308" customFormat="1">
      <c r="A19" s="1036"/>
      <c r="B19" s="1037" t="s">
        <v>252</v>
      </c>
      <c r="C19" s="298" t="s">
        <v>82</v>
      </c>
      <c r="D19" s="298">
        <v>1</v>
      </c>
      <c r="E19" s="301">
        <f>SUM(E31,E51,E$61)-$E$24</f>
        <v>4135774.5550000006</v>
      </c>
      <c r="F19" s="301">
        <f>SUM(F31,F51,F$61)-$F$24</f>
        <v>612353.07692307699</v>
      </c>
      <c r="G19" s="301">
        <f>SUM(G31,G51,G$61)-$G$24</f>
        <v>22269.242735042735</v>
      </c>
      <c r="H19" s="301">
        <f>SUM(H31,H51,H$61)-$H$24</f>
        <v>243226.962</v>
      </c>
      <c r="I19" s="301">
        <f>SUM(I31,I51,I$61)-$I$24</f>
        <v>49324.471999999994</v>
      </c>
      <c r="J19" s="301">
        <f>SUM(J31,J51,J$61)-J24</f>
        <v>0</v>
      </c>
      <c r="K19" s="301">
        <f>SUM(K31,K51,K$61)-$K$24</f>
        <v>5062948.3086581202</v>
      </c>
      <c r="L19" s="301">
        <f>SUM(L31,L51,L$61)-$L$24</f>
        <v>1265737.0771645301</v>
      </c>
      <c r="M19" s="315">
        <f>SUM(M31,M51,M$61)-$M$24</f>
        <v>6328685.38582265</v>
      </c>
      <c r="N19" s="301">
        <f>SUM(N31,N51,N$61)-N24</f>
        <v>0</v>
      </c>
      <c r="O19" s="301">
        <f>SUM(O31,O51,O$61)-$O$24</f>
        <v>125989.13461538461</v>
      </c>
    </row>
    <row r="20" spans="1:15" s="308" customFormat="1" ht="12.75" customHeight="1">
      <c r="A20" s="1036"/>
      <c r="B20" s="1037"/>
      <c r="C20" s="1042" t="s">
        <v>388</v>
      </c>
      <c r="D20" s="298">
        <v>2</v>
      </c>
      <c r="E20" s="301">
        <f>SUM(E32,E52,E$61)-$E$24</f>
        <v>5333895.2700000005</v>
      </c>
      <c r="F20" s="301">
        <f>SUM(F32,F52,F$61)-$F$24</f>
        <v>821928.46153846174</v>
      </c>
      <c r="G20" s="301">
        <f>SUM(G32,G52,G$61)-$G$24</f>
        <v>29011.361111111109</v>
      </c>
      <c r="H20" s="301">
        <f>SUM(H32,H52,H$61)-$H$24</f>
        <v>243226.962</v>
      </c>
      <c r="I20" s="301">
        <f>SUM(I32,I52,I$61)-$I$24</f>
        <v>66873.991999999998</v>
      </c>
      <c r="J20" s="301">
        <f>SUM(J32,J52,J$61)-J25</f>
        <v>0</v>
      </c>
      <c r="K20" s="301">
        <f>SUM(K32,K52,K$61)-$K$24</f>
        <v>6494936.0466495734</v>
      </c>
      <c r="L20" s="301">
        <f>SUM(L32,L52,L$61)-$L$24</f>
        <v>1623734.0116623933</v>
      </c>
      <c r="M20" s="315">
        <f>SUM(M32,M52,M$61)-$M$24</f>
        <v>8118670.0583119672</v>
      </c>
      <c r="N20" s="301">
        <f>SUM(N32,N52,N$61)-N25</f>
        <v>0</v>
      </c>
      <c r="O20" s="301">
        <f>SUM(O32,O52,O$61)-$O$24</f>
        <v>162528.17307692306</v>
      </c>
    </row>
    <row r="21" spans="1:15" s="308" customFormat="1" ht="12.75" customHeight="1">
      <c r="A21" s="1036"/>
      <c r="B21" s="1037"/>
      <c r="C21" s="1042"/>
      <c r="D21" s="298">
        <v>3</v>
      </c>
      <c r="E21" s="301">
        <f>SUM(E33,E53,E$61)-$E$24</f>
        <v>6764212.1112500001</v>
      </c>
      <c r="F21" s="301">
        <f>SUM(F33,F53,F$61)-$F$24</f>
        <v>1113369.2307692308</v>
      </c>
      <c r="G21" s="301">
        <f>SUM(G33,G53,G$61)-$G$24</f>
        <v>37985.632478632477</v>
      </c>
      <c r="H21" s="301">
        <f>SUM(H33,H53,H$61)-$H$24</f>
        <v>243226.962</v>
      </c>
      <c r="I21" s="301">
        <f>SUM(I33,I53,I$61)-$I$24</f>
        <v>79135.207999999999</v>
      </c>
      <c r="J21" s="301">
        <f>SUM(J33,J53,J$61)-J26</f>
        <v>0</v>
      </c>
      <c r="K21" s="301">
        <f>SUM(K33,K53,K$61)-$K$24</f>
        <v>8237929.144497863</v>
      </c>
      <c r="L21" s="301">
        <f>SUM(L33,L53,L$61)-$L$24</f>
        <v>2059482.2861244653</v>
      </c>
      <c r="M21" s="315">
        <f>SUM(M33,M53,M$61)-$M$24</f>
        <v>10297411.430622328</v>
      </c>
      <c r="N21" s="301">
        <f>SUM(N33,N53,N$61)-N26</f>
        <v>0</v>
      </c>
      <c r="O21" s="301">
        <f>SUM(O33,O53,O$61)-$O$24</f>
        <v>206146.34615384613</v>
      </c>
    </row>
    <row r="22" spans="1:15" s="308" customFormat="1" ht="12.75" customHeight="1">
      <c r="A22" s="1036"/>
      <c r="B22" s="1037"/>
      <c r="C22" s="1042"/>
      <c r="D22" s="298">
        <v>4</v>
      </c>
      <c r="E22" s="301">
        <f>SUM(E34,E54,E$61)-$E$24</f>
        <v>8793589.3100000005</v>
      </c>
      <c r="F22" s="301">
        <f>SUM(F34,F54,F$61)-$F$24</f>
        <v>1559808.4615384615</v>
      </c>
      <c r="G22" s="301">
        <f>SUM(G34,G54,G$61)-$G$24</f>
        <v>49903.458974358975</v>
      </c>
      <c r="H22" s="301">
        <f>SUM(H34,H54,H$61)-$H$24</f>
        <v>243226.962</v>
      </c>
      <c r="I22" s="301">
        <f>SUM(I34,I54,I$61)-$I$24</f>
        <v>102815.33600000001</v>
      </c>
      <c r="J22" s="301">
        <f>SUM(J34,J54,J$61)-J27</f>
        <v>0</v>
      </c>
      <c r="K22" s="301">
        <f>SUM(K34,K54,K$61)-$K$24</f>
        <v>10749343.528512821</v>
      </c>
      <c r="L22" s="301">
        <f>SUM(L34,L54,L$61)-$L$24</f>
        <v>2687335.8821282052</v>
      </c>
      <c r="M22" s="315">
        <f>SUM(M34,M54,M$61)-$M$24</f>
        <v>13436679.410641028</v>
      </c>
      <c r="N22" s="301">
        <f>SUM(N34,N54,N$61)-N27</f>
        <v>0</v>
      </c>
      <c r="O22" s="301">
        <f>SUM(O34,O54,O$61)-$O$24</f>
        <v>268034.03846153844</v>
      </c>
    </row>
    <row r="23" spans="1:15" s="308" customFormat="1" ht="12.75" customHeight="1">
      <c r="A23" s="1036"/>
      <c r="B23" s="1037"/>
      <c r="C23" s="1042"/>
      <c r="D23" s="298">
        <v>5</v>
      </c>
      <c r="E23" s="301">
        <f>SUM(E35,E55,E$61)-$E$24</f>
        <v>11861374.648750002</v>
      </c>
      <c r="F23" s="301">
        <f>SUM(F35,F55,F$61)-$F$24</f>
        <v>2013524.6153846155</v>
      </c>
      <c r="G23" s="301">
        <f>SUM(G35,G55,G$61)-$G$24</f>
        <v>64242.703846153854</v>
      </c>
      <c r="H23" s="301">
        <f>SUM(H35,H55,H$61)-$H$24</f>
        <v>243226.962</v>
      </c>
      <c r="I23" s="301">
        <f>SUM(I35,I55,I$61)-$I$24</f>
        <v>119813.94399999999</v>
      </c>
      <c r="J23" s="301">
        <f>SUM(J35,J55,J$61)-J28</f>
        <v>0</v>
      </c>
      <c r="K23" s="301">
        <f>SUM(K35,K55,K$61)-$K$24</f>
        <v>14302182.87398077</v>
      </c>
      <c r="L23" s="301">
        <f>SUM(L35,L55,L$61)-$L$24</f>
        <v>3575545.7184951925</v>
      </c>
      <c r="M23" s="315">
        <f>SUM(M35,M55,M$61)-$M$24</f>
        <v>17877728.592475962</v>
      </c>
      <c r="N23" s="301">
        <f>SUM(N35,N55,N$61)-N28</f>
        <v>0</v>
      </c>
      <c r="O23" s="301">
        <f>SUM(O35,O55,O$61)-$O$24</f>
        <v>361352.11538461538</v>
      </c>
    </row>
    <row r="24" spans="1:15" s="308" customFormat="1" ht="15" customHeight="1">
      <c r="A24" s="316"/>
      <c r="B24" s="317"/>
      <c r="C24" s="298" t="s">
        <v>490</v>
      </c>
      <c r="D24" s="318"/>
      <c r="E24" s="301">
        <f t="shared" ref="E24:O24" si="12">E12</f>
        <v>545113.80000000005</v>
      </c>
      <c r="F24" s="301">
        <f t="shared" si="12"/>
        <v>0</v>
      </c>
      <c r="G24" s="301">
        <f t="shared" si="12"/>
        <v>2819.3792307692306</v>
      </c>
      <c r="H24" s="301">
        <f t="shared" si="12"/>
        <v>27260</v>
      </c>
      <c r="I24" s="301">
        <f t="shared" si="12"/>
        <v>1529</v>
      </c>
      <c r="J24" s="301">
        <f t="shared" si="12"/>
        <v>0</v>
      </c>
      <c r="K24" s="301">
        <f t="shared" si="12"/>
        <v>576722.17923076928</v>
      </c>
      <c r="L24" s="301">
        <f t="shared" si="12"/>
        <v>86508.326884615395</v>
      </c>
      <c r="M24" s="315">
        <f t="shared" si="12"/>
        <v>663230.50611538463</v>
      </c>
      <c r="N24" s="301">
        <f t="shared" si="12"/>
        <v>0</v>
      </c>
      <c r="O24" s="301">
        <f t="shared" si="12"/>
        <v>15569.23076923077</v>
      </c>
    </row>
    <row r="25" spans="1:15" s="308" customFormat="1" ht="13.15" customHeight="1">
      <c r="A25" s="316"/>
      <c r="B25" s="317"/>
      <c r="C25" s="316"/>
      <c r="D25" s="298"/>
      <c r="E25" s="315"/>
      <c r="F25" s="315"/>
      <c r="G25" s="315"/>
      <c r="H25" s="315"/>
      <c r="I25" s="315"/>
      <c r="J25" s="315"/>
      <c r="K25" s="315"/>
      <c r="L25" s="315"/>
      <c r="M25" s="315"/>
      <c r="N25" s="315"/>
      <c r="O25" s="315"/>
    </row>
    <row r="26" spans="1:15">
      <c r="A26" s="1043">
        <f>NhanCong!A11</f>
        <v>1</v>
      </c>
      <c r="B26" s="1038" t="str">
        <f>NhanCong!B11</f>
        <v xml:space="preserve">Chọn vị trí điểm, chôn mốc </v>
      </c>
      <c r="C26" s="1043" t="str">
        <f>NhanCong!C11</f>
        <v>điểm</v>
      </c>
      <c r="D26" s="319">
        <v>1</v>
      </c>
      <c r="E26" s="301">
        <f>NhanCong!I11</f>
        <v>2322592.1812500004</v>
      </c>
      <c r="F26" s="301">
        <f>NhanCong!I12</f>
        <v>442073.07692307699</v>
      </c>
      <c r="G26" s="320">
        <f>Dcu!K$32</f>
        <v>13771.448717948719</v>
      </c>
      <c r="H26" s="320">
        <f>VLieu!I$28</f>
        <v>217851.962</v>
      </c>
      <c r="I26" s="320">
        <f>TBi!N11</f>
        <v>32945.471999999994</v>
      </c>
      <c r="J26" s="320"/>
      <c r="K26" s="320">
        <f t="shared" ref="K26:K62" si="13">SUM(E26:J26)</f>
        <v>3029234.1408910258</v>
      </c>
      <c r="L26" s="320">
        <f t="shared" ref="L26:L60" si="14">K26*0.25</f>
        <v>757308.53522275644</v>
      </c>
      <c r="M26" s="321">
        <f>K26+L26</f>
        <v>3786542.6761137825</v>
      </c>
      <c r="N26" s="321"/>
      <c r="O26" s="320">
        <f>NhanCong!J11</f>
        <v>71034.615384615376</v>
      </c>
    </row>
    <row r="27" spans="1:15">
      <c r="A27" s="1043"/>
      <c r="B27" s="1038"/>
      <c r="C27" s="1043"/>
      <c r="D27" s="319">
        <v>2</v>
      </c>
      <c r="E27" s="301">
        <f>NhanCong!I13</f>
        <v>3086184.1312500001</v>
      </c>
      <c r="F27" s="301">
        <f>NhanCong!I14</f>
        <v>589430.76923076937</v>
      </c>
      <c r="G27" s="320">
        <f>Dcu!K$33</f>
        <v>17214.310897435898</v>
      </c>
      <c r="H27" s="320">
        <f>VLieu!I$28</f>
        <v>217851.962</v>
      </c>
      <c r="I27" s="320">
        <f>TBi!O11</f>
        <v>42096.991999999998</v>
      </c>
      <c r="J27" s="320"/>
      <c r="K27" s="320">
        <f t="shared" si="13"/>
        <v>3952778.1653782055</v>
      </c>
      <c r="L27" s="320">
        <f t="shared" si="14"/>
        <v>988194.54134455137</v>
      </c>
      <c r="M27" s="321">
        <f t="shared" ref="M27:M55" si="15">K27+L27</f>
        <v>4940972.7067227568</v>
      </c>
      <c r="N27" s="321"/>
      <c r="O27" s="320">
        <f>NhanCong!J13</f>
        <v>94388.461538461532</v>
      </c>
    </row>
    <row r="28" spans="1:15">
      <c r="A28" s="1043"/>
      <c r="B28" s="1038"/>
      <c r="C28" s="1043"/>
      <c r="D28" s="319">
        <v>3</v>
      </c>
      <c r="E28" s="301">
        <f>NhanCong!I15</f>
        <v>3992949.5718750004</v>
      </c>
      <c r="F28" s="301">
        <f>NhanCong!I16</f>
        <v>736788.4615384615</v>
      </c>
      <c r="G28" s="320">
        <f>Dcu!K$34</f>
        <v>22952.414529914531</v>
      </c>
      <c r="H28" s="320">
        <f>VLieu!I$28</f>
        <v>217851.962</v>
      </c>
      <c r="I28" s="320">
        <f>TBi!P11</f>
        <v>49418.207999999999</v>
      </c>
      <c r="J28" s="320"/>
      <c r="K28" s="320">
        <f t="shared" si="13"/>
        <v>5019960.6179433772</v>
      </c>
      <c r="L28" s="320">
        <f t="shared" si="14"/>
        <v>1254990.1544858443</v>
      </c>
      <c r="M28" s="321">
        <f t="shared" si="15"/>
        <v>6274950.7724292213</v>
      </c>
      <c r="N28" s="321"/>
      <c r="O28" s="320">
        <f>NhanCong!J15</f>
        <v>122121.15384615383</v>
      </c>
    </row>
    <row r="29" spans="1:15">
      <c r="A29" s="1043"/>
      <c r="B29" s="1038"/>
      <c r="C29" s="1043"/>
      <c r="D29" s="319">
        <v>4</v>
      </c>
      <c r="E29" s="301">
        <f>NhanCong!I17</f>
        <v>5281510.9875000007</v>
      </c>
      <c r="F29" s="301">
        <f>NhanCong!I18</f>
        <v>958734.61538461538</v>
      </c>
      <c r="G29" s="320">
        <f>Dcu!K$35</f>
        <v>29838.138888888891</v>
      </c>
      <c r="H29" s="320">
        <f>VLieu!I$28</f>
        <v>217851.962</v>
      </c>
      <c r="I29" s="320">
        <f>TBi!Q11</f>
        <v>62230.336000000003</v>
      </c>
      <c r="J29" s="320"/>
      <c r="K29" s="320">
        <f t="shared" si="13"/>
        <v>6550166.0397735052</v>
      </c>
      <c r="L29" s="320">
        <f t="shared" si="14"/>
        <v>1637541.5099433763</v>
      </c>
      <c r="M29" s="321">
        <f t="shared" si="15"/>
        <v>8187707.5497168815</v>
      </c>
      <c r="N29" s="321"/>
      <c r="O29" s="320">
        <f>NhanCong!J17</f>
        <v>161530.76923076922</v>
      </c>
    </row>
    <row r="30" spans="1:15">
      <c r="A30" s="1043"/>
      <c r="B30" s="1038"/>
      <c r="C30" s="1043"/>
      <c r="D30" s="319" t="s">
        <v>13</v>
      </c>
      <c r="E30" s="301">
        <f>NhanCong!I19</f>
        <v>6697337.7281250013</v>
      </c>
      <c r="F30" s="301">
        <f>NhanCong!I20</f>
        <v>1253450</v>
      </c>
      <c r="G30" s="320">
        <f>Dcu!K$36</f>
        <v>37871.483974358976</v>
      </c>
      <c r="H30" s="320">
        <f>VLieu!I$28</f>
        <v>217851.962</v>
      </c>
      <c r="I30" s="320">
        <f>TBi!R11</f>
        <v>65890.943999999989</v>
      </c>
      <c r="J30" s="320"/>
      <c r="K30" s="320">
        <f t="shared" si="13"/>
        <v>8272402.1180993607</v>
      </c>
      <c r="L30" s="320">
        <f t="shared" si="14"/>
        <v>2068100.5295248402</v>
      </c>
      <c r="M30" s="321">
        <f t="shared" si="15"/>
        <v>10340502.6476242</v>
      </c>
      <c r="N30" s="321"/>
      <c r="O30" s="320">
        <f>NhanCong!J19</f>
        <v>204832.69230769231</v>
      </c>
    </row>
    <row r="31" spans="1:15">
      <c r="A31" s="1043" t="s">
        <v>359</v>
      </c>
      <c r="B31" s="1038" t="s">
        <v>521</v>
      </c>
      <c r="C31" s="1043">
        <f>NhanCong!C17</f>
        <v>0</v>
      </c>
      <c r="D31" s="319">
        <v>1</v>
      </c>
      <c r="E31" s="301">
        <f t="shared" ref="E31:G35" si="16">E26*1.2</f>
        <v>2787110.6175000002</v>
      </c>
      <c r="F31" s="301">
        <f t="shared" si="16"/>
        <v>530487.69230769237</v>
      </c>
      <c r="G31" s="301">
        <f t="shared" si="16"/>
        <v>16525.738461538462</v>
      </c>
      <c r="H31" s="320">
        <f t="shared" ref="H31:I35" si="17">H26</f>
        <v>217851.962</v>
      </c>
      <c r="I31" s="320">
        <f t="shared" si="17"/>
        <v>32945.471999999994</v>
      </c>
      <c r="J31" s="320"/>
      <c r="K31" s="320">
        <f t="shared" si="13"/>
        <v>3584921.4822692312</v>
      </c>
      <c r="L31" s="320">
        <f t="shared" si="14"/>
        <v>896230.37056730781</v>
      </c>
      <c r="M31" s="321">
        <f>K31+L31</f>
        <v>4481151.852836539</v>
      </c>
      <c r="N31" s="321"/>
      <c r="O31" s="320">
        <f>O26*1.2</f>
        <v>85241.538461538454</v>
      </c>
    </row>
    <row r="32" spans="1:15">
      <c r="A32" s="1043"/>
      <c r="B32" s="1038"/>
      <c r="C32" s="1043"/>
      <c r="D32" s="319">
        <v>2</v>
      </c>
      <c r="E32" s="301">
        <f t="shared" si="16"/>
        <v>3703420.9575</v>
      </c>
      <c r="F32" s="301">
        <f t="shared" si="16"/>
        <v>707316.92307692324</v>
      </c>
      <c r="G32" s="301">
        <f t="shared" si="16"/>
        <v>20657.173076923078</v>
      </c>
      <c r="H32" s="320">
        <f t="shared" si="17"/>
        <v>217851.962</v>
      </c>
      <c r="I32" s="320">
        <f t="shared" si="17"/>
        <v>42096.991999999998</v>
      </c>
      <c r="J32" s="320"/>
      <c r="K32" s="320">
        <f t="shared" si="13"/>
        <v>4691344.0076538464</v>
      </c>
      <c r="L32" s="320">
        <f t="shared" si="14"/>
        <v>1172836.0019134616</v>
      </c>
      <c r="M32" s="321">
        <f>K32+L32</f>
        <v>5864180.0095673082</v>
      </c>
      <c r="N32" s="321"/>
      <c r="O32" s="320">
        <f>O27*1.2</f>
        <v>113266.15384615383</v>
      </c>
    </row>
    <row r="33" spans="1:15">
      <c r="A33" s="1043"/>
      <c r="B33" s="1038"/>
      <c r="C33" s="1043"/>
      <c r="D33" s="319">
        <v>3</v>
      </c>
      <c r="E33" s="301">
        <f t="shared" si="16"/>
        <v>4791539.4862500001</v>
      </c>
      <c r="F33" s="301">
        <f t="shared" si="16"/>
        <v>884146.15384615376</v>
      </c>
      <c r="G33" s="301">
        <f t="shared" si="16"/>
        <v>27542.897435897437</v>
      </c>
      <c r="H33" s="320">
        <f t="shared" si="17"/>
        <v>217851.962</v>
      </c>
      <c r="I33" s="320">
        <f t="shared" si="17"/>
        <v>49418.207999999999</v>
      </c>
      <c r="J33" s="320"/>
      <c r="K33" s="320">
        <f t="shared" si="13"/>
        <v>5970498.707532051</v>
      </c>
      <c r="L33" s="320">
        <f t="shared" si="14"/>
        <v>1492624.6768830128</v>
      </c>
      <c r="M33" s="321">
        <f>K33+L33</f>
        <v>7463123.384415064</v>
      </c>
      <c r="N33" s="321"/>
      <c r="O33" s="320">
        <f>O28*1.2</f>
        <v>146545.3846153846</v>
      </c>
    </row>
    <row r="34" spans="1:15">
      <c r="A34" s="1043"/>
      <c r="B34" s="1038"/>
      <c r="C34" s="1043"/>
      <c r="D34" s="319">
        <v>4</v>
      </c>
      <c r="E34" s="301">
        <f t="shared" si="16"/>
        <v>6337813.1850000005</v>
      </c>
      <c r="F34" s="301">
        <f t="shared" si="16"/>
        <v>1150481.5384615385</v>
      </c>
      <c r="G34" s="301">
        <f t="shared" si="16"/>
        <v>35805.76666666667</v>
      </c>
      <c r="H34" s="320">
        <f t="shared" si="17"/>
        <v>217851.962</v>
      </c>
      <c r="I34" s="320">
        <f t="shared" si="17"/>
        <v>62230.336000000003</v>
      </c>
      <c r="J34" s="320"/>
      <c r="K34" s="320">
        <f t="shared" si="13"/>
        <v>7804182.7881282056</v>
      </c>
      <c r="L34" s="320">
        <f t="shared" si="14"/>
        <v>1951045.6970320514</v>
      </c>
      <c r="M34" s="321">
        <f>K34+L34</f>
        <v>9755228.4851602577</v>
      </c>
      <c r="N34" s="321"/>
      <c r="O34" s="320">
        <f>O29*1.2</f>
        <v>193836.92307692306</v>
      </c>
    </row>
    <row r="35" spans="1:15">
      <c r="A35" s="1043"/>
      <c r="B35" s="1038"/>
      <c r="C35" s="1043"/>
      <c r="D35" s="319" t="s">
        <v>13</v>
      </c>
      <c r="E35" s="301">
        <f t="shared" si="16"/>
        <v>8036805.2737500016</v>
      </c>
      <c r="F35" s="301">
        <f t="shared" si="16"/>
        <v>1504140</v>
      </c>
      <c r="G35" s="301">
        <f t="shared" si="16"/>
        <v>45445.780769230769</v>
      </c>
      <c r="H35" s="320">
        <f t="shared" si="17"/>
        <v>217851.962</v>
      </c>
      <c r="I35" s="320">
        <f t="shared" si="17"/>
        <v>65890.943999999989</v>
      </c>
      <c r="J35" s="320"/>
      <c r="K35" s="320">
        <f t="shared" si="13"/>
        <v>9870133.9605192319</v>
      </c>
      <c r="L35" s="320">
        <f t="shared" si="14"/>
        <v>2467533.490129808</v>
      </c>
      <c r="M35" s="321">
        <f>K35+L35</f>
        <v>12337667.45064904</v>
      </c>
      <c r="N35" s="321"/>
      <c r="O35" s="320">
        <f>O30*1.2</f>
        <v>245799.23076923075</v>
      </c>
    </row>
    <row r="36" spans="1:15">
      <c r="A36" s="1043">
        <f>NhanCong!A21</f>
        <v>2</v>
      </c>
      <c r="B36" s="1038" t="str">
        <f>NhanCong!B21</f>
        <v>Xây tường vây</v>
      </c>
      <c r="C36" s="1043" t="str">
        <f>NhanCong!C21</f>
        <v>điểm</v>
      </c>
      <c r="D36" s="319">
        <v>1</v>
      </c>
      <c r="E36" s="301">
        <f>NhanCong!I21</f>
        <v>1985366.1093750005</v>
      </c>
      <c r="F36" s="301">
        <f>NhanCong!I22</f>
        <v>873230.76923076925</v>
      </c>
      <c r="G36" s="320">
        <f>Dcu!L$32</f>
        <v>10930.559027777779</v>
      </c>
      <c r="H36" s="320">
        <f>VLieu!J$28</f>
        <v>526229.16</v>
      </c>
      <c r="I36" s="320">
        <f>TBi!N13</f>
        <v>32945.471999999994</v>
      </c>
      <c r="J36" s="320"/>
      <c r="K36" s="320">
        <f t="shared" si="13"/>
        <v>3428702.0696335481</v>
      </c>
      <c r="L36" s="320">
        <f t="shared" si="14"/>
        <v>857175.51740838704</v>
      </c>
      <c r="M36" s="321">
        <f t="shared" si="15"/>
        <v>4285877.587041935</v>
      </c>
      <c r="N36" s="321"/>
      <c r="O36" s="320">
        <f>NhanCong!J21</f>
        <v>65682.692307692312</v>
      </c>
    </row>
    <row r="37" spans="1:15">
      <c r="A37" s="1043"/>
      <c r="B37" s="1038"/>
      <c r="C37" s="1043"/>
      <c r="D37" s="319">
        <v>2</v>
      </c>
      <c r="E37" s="301">
        <f>NhanCong!I23</f>
        <v>2147136.6812500004</v>
      </c>
      <c r="F37" s="301">
        <f>NhanCong!I24</f>
        <v>1146115.3846153847</v>
      </c>
      <c r="G37" s="320">
        <f>Dcu!L$33</f>
        <v>14293.807959401711</v>
      </c>
      <c r="H37" s="320">
        <f>VLieu!J$28</f>
        <v>526229.16</v>
      </c>
      <c r="I37" s="320">
        <f>TBi!O13</f>
        <v>32945.471999999994</v>
      </c>
      <c r="J37" s="320"/>
      <c r="K37" s="320">
        <f t="shared" si="13"/>
        <v>3866720.5058247871</v>
      </c>
      <c r="L37" s="320">
        <f t="shared" si="14"/>
        <v>966680.12645619677</v>
      </c>
      <c r="M37" s="321">
        <f t="shared" si="15"/>
        <v>4833400.632280984</v>
      </c>
      <c r="N37" s="321"/>
      <c r="O37" s="320">
        <f>NhanCong!J23</f>
        <v>71034.615384615376</v>
      </c>
    </row>
    <row r="38" spans="1:15">
      <c r="A38" s="1043"/>
      <c r="B38" s="1038"/>
      <c r="C38" s="1043"/>
      <c r="D38" s="319">
        <v>3</v>
      </c>
      <c r="E38" s="301">
        <f>NhanCong!I25</f>
        <v>2382439.3312500007</v>
      </c>
      <c r="F38" s="301">
        <f>NhanCong!I26</f>
        <v>1528153.8461538462</v>
      </c>
      <c r="G38" s="320">
        <f>Dcu!L$34</f>
        <v>16816.24465811966</v>
      </c>
      <c r="H38" s="320">
        <f>VLieu!J$28</f>
        <v>526229.16</v>
      </c>
      <c r="I38" s="320">
        <f>TBi!P13</f>
        <v>40266.688000000002</v>
      </c>
      <c r="J38" s="320"/>
      <c r="K38" s="320">
        <f t="shared" si="13"/>
        <v>4493905.270061966</v>
      </c>
      <c r="L38" s="320">
        <f t="shared" si="14"/>
        <v>1123476.3175154915</v>
      </c>
      <c r="M38" s="321">
        <f t="shared" si="15"/>
        <v>5617381.5875774575</v>
      </c>
      <c r="N38" s="321"/>
      <c r="O38" s="320">
        <f>NhanCong!J25</f>
        <v>78819.230769230766</v>
      </c>
    </row>
    <row r="39" spans="1:15">
      <c r="A39" s="1043"/>
      <c r="B39" s="1038"/>
      <c r="C39" s="1043"/>
      <c r="D39" s="319">
        <v>4</v>
      </c>
      <c r="E39" s="301">
        <f>NhanCong!I27</f>
        <v>2779512.5531250006</v>
      </c>
      <c r="F39" s="301">
        <f>NhanCong!I28</f>
        <v>2619692.307692308</v>
      </c>
      <c r="G39" s="320">
        <f>Dcu!L$35</f>
        <v>21861.118055555558</v>
      </c>
      <c r="H39" s="320">
        <f>VLieu!J$28</f>
        <v>526229.16</v>
      </c>
      <c r="I39" s="320">
        <f>TBi!Q13</f>
        <v>47587.904000000002</v>
      </c>
      <c r="J39" s="320"/>
      <c r="K39" s="320">
        <f t="shared" si="13"/>
        <v>5994883.0428728648</v>
      </c>
      <c r="L39" s="320">
        <f t="shared" si="14"/>
        <v>1498720.7607182162</v>
      </c>
      <c r="M39" s="321">
        <f t="shared" si="15"/>
        <v>7493603.8035910809</v>
      </c>
      <c r="N39" s="321"/>
      <c r="O39" s="320">
        <f>NhanCong!J27</f>
        <v>91955.76923076922</v>
      </c>
    </row>
    <row r="40" spans="1:15">
      <c r="A40" s="1043"/>
      <c r="B40" s="1038"/>
      <c r="C40" s="1043"/>
      <c r="D40" s="319" t="s">
        <v>13</v>
      </c>
      <c r="E40" s="301">
        <f>NhanCong!I29</f>
        <v>3176585.7750000008</v>
      </c>
      <c r="F40" s="301">
        <f>NhanCong!I30</f>
        <v>3056307.6923076925</v>
      </c>
      <c r="G40" s="320">
        <f>Dcu!L$36</f>
        <v>27746.803685897437</v>
      </c>
      <c r="H40" s="320">
        <f>VLieu!J$28</f>
        <v>526229.16</v>
      </c>
      <c r="I40" s="320">
        <f>TBi!R13</f>
        <v>53078.815999999992</v>
      </c>
      <c r="J40" s="320"/>
      <c r="K40" s="320">
        <f t="shared" si="13"/>
        <v>6839948.2469935901</v>
      </c>
      <c r="L40" s="320">
        <f t="shared" si="14"/>
        <v>1709987.0617483975</v>
      </c>
      <c r="M40" s="321">
        <f t="shared" si="15"/>
        <v>8549935.3087419868</v>
      </c>
      <c r="N40" s="321"/>
      <c r="O40" s="320">
        <f>NhanCong!J29</f>
        <v>105092.30769230769</v>
      </c>
    </row>
    <row r="41" spans="1:15">
      <c r="A41" s="1043">
        <f>NhanCong!A31</f>
        <v>3</v>
      </c>
      <c r="B41" s="1038" t="str">
        <f>NhanCong!B31</f>
        <v>Tiếp điểm</v>
      </c>
      <c r="C41" s="1043" t="str">
        <f>NhanCong!C31</f>
        <v>điểm</v>
      </c>
      <c r="D41" s="319">
        <v>1</v>
      </c>
      <c r="E41" s="301">
        <f>NhanCong!I31</f>
        <v>429520.47187500005</v>
      </c>
      <c r="F41" s="301">
        <f>NhanCong!I32</f>
        <v>65492.307692307695</v>
      </c>
      <c r="G41" s="320">
        <f>Dcu!M32</f>
        <v>2160.2465277777783</v>
      </c>
      <c r="H41" s="320">
        <f>VLieu!K$28</f>
        <v>148510</v>
      </c>
      <c r="I41" s="320">
        <f>TBi!N15</f>
        <v>32945.471999999994</v>
      </c>
      <c r="J41" s="320"/>
      <c r="K41" s="320">
        <f t="shared" si="13"/>
        <v>678628.4980950855</v>
      </c>
      <c r="L41" s="320">
        <f t="shared" si="14"/>
        <v>169657.12452377137</v>
      </c>
      <c r="M41" s="321">
        <f>K41+L41</f>
        <v>848285.62261885684</v>
      </c>
      <c r="N41" s="321"/>
      <c r="O41" s="320">
        <f>NhanCong!J31</f>
        <v>13136.538461538461</v>
      </c>
    </row>
    <row r="42" spans="1:15">
      <c r="A42" s="1043"/>
      <c r="B42" s="1038"/>
      <c r="C42" s="1043"/>
      <c r="D42" s="319">
        <v>2</v>
      </c>
      <c r="E42" s="301">
        <f>NhanCong!I33</f>
        <v>540877.63125000009</v>
      </c>
      <c r="F42" s="301">
        <f>NhanCong!I34</f>
        <v>65492.307692307695</v>
      </c>
      <c r="G42" s="320">
        <f>Dcu!M33</f>
        <v>2824.9377670940175</v>
      </c>
      <c r="H42" s="320">
        <f>VLieu!K$28</f>
        <v>148510</v>
      </c>
      <c r="I42" s="320">
        <f>TBi!O15</f>
        <v>42096.991999999998</v>
      </c>
      <c r="J42" s="320"/>
      <c r="K42" s="320">
        <f t="shared" si="13"/>
        <v>799801.86870940181</v>
      </c>
      <c r="L42" s="320">
        <f t="shared" si="14"/>
        <v>199950.46717735045</v>
      </c>
      <c r="M42" s="321">
        <f t="shared" si="15"/>
        <v>999752.33588675223</v>
      </c>
      <c r="N42" s="321"/>
      <c r="O42" s="320">
        <f>NhanCong!J33</f>
        <v>16542.307692307691</v>
      </c>
    </row>
    <row r="43" spans="1:15">
      <c r="A43" s="1043"/>
      <c r="B43" s="1038"/>
      <c r="C43" s="1043"/>
      <c r="D43" s="319">
        <v>3</v>
      </c>
      <c r="E43" s="301">
        <f>NhanCong!I35</f>
        <v>652234.79062500014</v>
      </c>
      <c r="F43" s="301">
        <f>NhanCong!I36</f>
        <v>98238.461538461546</v>
      </c>
      <c r="G43" s="320">
        <f>Dcu!M34</f>
        <v>3323.4561965811972</v>
      </c>
      <c r="H43" s="320">
        <f>VLieu!K$28</f>
        <v>148510</v>
      </c>
      <c r="I43" s="320">
        <f>TBi!P15</f>
        <v>49418.207999999999</v>
      </c>
      <c r="J43" s="320"/>
      <c r="K43" s="320">
        <f t="shared" si="13"/>
        <v>951724.91636004287</v>
      </c>
      <c r="L43" s="320">
        <f t="shared" si="14"/>
        <v>237931.22909001072</v>
      </c>
      <c r="M43" s="321">
        <f t="shared" si="15"/>
        <v>1189656.1454500535</v>
      </c>
      <c r="N43" s="321"/>
      <c r="O43" s="320">
        <f>NhanCong!J35</f>
        <v>19948.076923076922</v>
      </c>
    </row>
    <row r="44" spans="1:15">
      <c r="A44" s="1043"/>
      <c r="B44" s="1038"/>
      <c r="C44" s="1043"/>
      <c r="D44" s="319">
        <v>4</v>
      </c>
      <c r="E44" s="301">
        <f>NhanCong!I37</f>
        <v>811316.44687500014</v>
      </c>
      <c r="F44" s="301">
        <f>NhanCong!I38</f>
        <v>123707.69230769233</v>
      </c>
      <c r="G44" s="320">
        <f>Dcu!M35</f>
        <v>4154.3202457264961</v>
      </c>
      <c r="H44" s="320">
        <f>VLieu!K$28</f>
        <v>148510</v>
      </c>
      <c r="I44" s="320">
        <f>TBi!Q15</f>
        <v>62230.336000000003</v>
      </c>
      <c r="J44" s="320"/>
      <c r="K44" s="320">
        <f t="shared" si="13"/>
        <v>1149918.7954284188</v>
      </c>
      <c r="L44" s="320">
        <f t="shared" si="14"/>
        <v>287479.6988571047</v>
      </c>
      <c r="M44" s="321">
        <f t="shared" si="15"/>
        <v>1437398.4942855234</v>
      </c>
      <c r="N44" s="321"/>
      <c r="O44" s="320">
        <f>NhanCong!J37</f>
        <v>24813.461538461539</v>
      </c>
    </row>
    <row r="45" spans="1:15">
      <c r="A45" s="1043"/>
      <c r="B45" s="1038"/>
      <c r="C45" s="1043"/>
      <c r="D45" s="319" t="s">
        <v>13</v>
      </c>
      <c r="E45" s="301">
        <f>NhanCong!I39</f>
        <v>1081755.2625000002</v>
      </c>
      <c r="F45" s="301">
        <f>NhanCong!I40</f>
        <v>123707.69230769233</v>
      </c>
      <c r="G45" s="320">
        <f>Dcu!M36</f>
        <v>5483.7027243589755</v>
      </c>
      <c r="H45" s="320">
        <f>VLieu!K$28</f>
        <v>148510</v>
      </c>
      <c r="I45" s="320">
        <f>TBi!R15</f>
        <v>65890.943999999989</v>
      </c>
      <c r="J45" s="320"/>
      <c r="K45" s="320">
        <f t="shared" si="13"/>
        <v>1425347.6015320513</v>
      </c>
      <c r="L45" s="320">
        <f t="shared" si="14"/>
        <v>356336.90038301283</v>
      </c>
      <c r="M45" s="321">
        <f t="shared" si="15"/>
        <v>1781684.5019150642</v>
      </c>
      <c r="N45" s="321"/>
      <c r="O45" s="320">
        <f>NhanCong!J39</f>
        <v>33084.615384615383</v>
      </c>
    </row>
    <row r="46" spans="1:15">
      <c r="A46" s="1043" t="s">
        <v>360</v>
      </c>
      <c r="B46" s="1038" t="s">
        <v>442</v>
      </c>
      <c r="C46" s="1043"/>
      <c r="D46" s="319">
        <v>1</v>
      </c>
      <c r="E46" s="301">
        <f t="shared" ref="E46:F50" si="18">E41*1.25</f>
        <v>536900.58984375</v>
      </c>
      <c r="F46" s="301">
        <f t="shared" si="18"/>
        <v>81865.384615384624</v>
      </c>
      <c r="G46" s="320">
        <f>Dcu!L38</f>
        <v>1620.1848958333337</v>
      </c>
      <c r="H46" s="320">
        <f>VLieu!K$28</f>
        <v>148510</v>
      </c>
      <c r="I46" s="320">
        <f>I41</f>
        <v>32945.471999999994</v>
      </c>
      <c r="J46" s="320"/>
      <c r="K46" s="320">
        <f t="shared" si="13"/>
        <v>801841.63135496795</v>
      </c>
      <c r="L46" s="320">
        <f t="shared" si="14"/>
        <v>200460.40783874199</v>
      </c>
      <c r="M46" s="321">
        <f>K46+L46</f>
        <v>1002302.03919371</v>
      </c>
      <c r="N46" s="321"/>
      <c r="O46" s="320">
        <f>O41*1.25</f>
        <v>16420.673076923078</v>
      </c>
    </row>
    <row r="47" spans="1:15">
      <c r="A47" s="1043"/>
      <c r="B47" s="1038"/>
      <c r="C47" s="1043"/>
      <c r="D47" s="319">
        <v>2</v>
      </c>
      <c r="E47" s="301">
        <f t="shared" si="18"/>
        <v>676097.03906250012</v>
      </c>
      <c r="F47" s="301">
        <f t="shared" si="18"/>
        <v>81865.384615384624</v>
      </c>
      <c r="G47" s="320">
        <f>Dcu!L39</f>
        <v>2118.7033253205132</v>
      </c>
      <c r="H47" s="320">
        <f>VLieu!K$28</f>
        <v>148510</v>
      </c>
      <c r="I47" s="320">
        <f>I42</f>
        <v>42096.991999999998</v>
      </c>
      <c r="J47" s="320"/>
      <c r="K47" s="320">
        <f t="shared" si="13"/>
        <v>950688.11900320521</v>
      </c>
      <c r="L47" s="320">
        <f t="shared" si="14"/>
        <v>237672.0297508013</v>
      </c>
      <c r="M47" s="321">
        <f>K47+L47</f>
        <v>1188360.1487540065</v>
      </c>
      <c r="N47" s="321"/>
      <c r="O47" s="320">
        <f>O42*1.25</f>
        <v>20677.884615384613</v>
      </c>
    </row>
    <row r="48" spans="1:15">
      <c r="A48" s="1043"/>
      <c r="B48" s="1038"/>
      <c r="C48" s="1043"/>
      <c r="D48" s="319">
        <v>3</v>
      </c>
      <c r="E48" s="301">
        <f t="shared" si="18"/>
        <v>815293.48828125023</v>
      </c>
      <c r="F48" s="301">
        <f t="shared" si="18"/>
        <v>122798.07692307694</v>
      </c>
      <c r="G48" s="320">
        <f>Dcu!L40</f>
        <v>2492.5921474358979</v>
      </c>
      <c r="H48" s="320">
        <f>VLieu!K$28</f>
        <v>148510</v>
      </c>
      <c r="I48" s="320">
        <f>I43</f>
        <v>49418.207999999999</v>
      </c>
      <c r="J48" s="320"/>
      <c r="K48" s="320">
        <f t="shared" si="13"/>
        <v>1138512.3653517631</v>
      </c>
      <c r="L48" s="320">
        <f t="shared" si="14"/>
        <v>284628.09133794077</v>
      </c>
      <c r="M48" s="321">
        <f>K48+L48</f>
        <v>1423140.4566897037</v>
      </c>
      <c r="N48" s="321"/>
      <c r="O48" s="320">
        <f>O43*1.25</f>
        <v>24935.096153846152</v>
      </c>
    </row>
    <row r="49" spans="1:15">
      <c r="A49" s="1043"/>
      <c r="B49" s="1038"/>
      <c r="C49" s="1043"/>
      <c r="D49" s="319">
        <v>4</v>
      </c>
      <c r="E49" s="301">
        <f t="shared" si="18"/>
        <v>1014145.5585937502</v>
      </c>
      <c r="F49" s="301">
        <f t="shared" si="18"/>
        <v>154634.6153846154</v>
      </c>
      <c r="G49" s="320">
        <f>Dcu!L41</f>
        <v>3115.7401842948721</v>
      </c>
      <c r="H49" s="320">
        <f>VLieu!K$28</f>
        <v>148510</v>
      </c>
      <c r="I49" s="320">
        <f>I44</f>
        <v>62230.336000000003</v>
      </c>
      <c r="J49" s="320"/>
      <c r="K49" s="320">
        <f t="shared" si="13"/>
        <v>1382636.2501626604</v>
      </c>
      <c r="L49" s="320">
        <f t="shared" si="14"/>
        <v>345659.06254066509</v>
      </c>
      <c r="M49" s="321">
        <f>K49+L49</f>
        <v>1728295.3127033254</v>
      </c>
      <c r="N49" s="321"/>
      <c r="O49" s="320">
        <f>O44*1.25</f>
        <v>31016.826923076922</v>
      </c>
    </row>
    <row r="50" spans="1:15">
      <c r="A50" s="1043"/>
      <c r="B50" s="1038"/>
      <c r="C50" s="1043"/>
      <c r="D50" s="319" t="s">
        <v>13</v>
      </c>
      <c r="E50" s="301">
        <f t="shared" si="18"/>
        <v>1352194.0781250002</v>
      </c>
      <c r="F50" s="301">
        <f t="shared" si="18"/>
        <v>154634.6153846154</v>
      </c>
      <c r="G50" s="320">
        <f>Dcu!L42</f>
        <v>4112.7770432692314</v>
      </c>
      <c r="H50" s="320">
        <f>VLieu!K$28</f>
        <v>148510</v>
      </c>
      <c r="I50" s="320">
        <f>I45</f>
        <v>65890.943999999989</v>
      </c>
      <c r="J50" s="320"/>
      <c r="K50" s="320">
        <f t="shared" si="13"/>
        <v>1725342.4145528849</v>
      </c>
      <c r="L50" s="320">
        <f t="shared" si="14"/>
        <v>431335.60363822122</v>
      </c>
      <c r="M50" s="321">
        <f>K50+L50</f>
        <v>2156678.0181911062</v>
      </c>
      <c r="N50" s="321"/>
      <c r="O50" s="320">
        <f>O45*1.25</f>
        <v>41355.769230769227</v>
      </c>
    </row>
    <row r="51" spans="1:15" ht="12.75" customHeight="1">
      <c r="A51" s="1043">
        <f>NhanCong!A41</f>
        <v>4</v>
      </c>
      <c r="B51" s="1038" t="str">
        <f>NhanCong!B41</f>
        <v>Đo ngắm</v>
      </c>
      <c r="C51" s="1043" t="str">
        <f>NhanCong!C41</f>
        <v>điểm</v>
      </c>
      <c r="D51" s="319">
        <v>1</v>
      </c>
      <c r="E51" s="301">
        <f>NhanCong!I41</f>
        <v>1348663.9375000002</v>
      </c>
      <c r="F51" s="301">
        <f>NhanCong!I42</f>
        <v>81865.384615384624</v>
      </c>
      <c r="G51" s="320">
        <f>Dcu!N32</f>
        <v>5743.5042735042734</v>
      </c>
      <c r="H51" s="320">
        <f>VLieu!L$28</f>
        <v>25375</v>
      </c>
      <c r="I51" s="320">
        <f>TBi!N17</f>
        <v>16379</v>
      </c>
      <c r="J51" s="320"/>
      <c r="K51" s="320">
        <f t="shared" si="13"/>
        <v>1478026.8263888892</v>
      </c>
      <c r="L51" s="320">
        <f t="shared" si="14"/>
        <v>369506.70659722231</v>
      </c>
      <c r="M51" s="321">
        <f t="shared" si="15"/>
        <v>1847533.5329861115</v>
      </c>
      <c r="N51" s="321"/>
      <c r="O51" s="320">
        <f>NhanCong!J41</f>
        <v>40747.596153846156</v>
      </c>
    </row>
    <row r="52" spans="1:15">
      <c r="A52" s="1043"/>
      <c r="B52" s="1038"/>
      <c r="C52" s="1043"/>
      <c r="D52" s="319">
        <v>2</v>
      </c>
      <c r="E52" s="301">
        <f>NhanCong!I43</f>
        <v>1630474.3125000002</v>
      </c>
      <c r="F52" s="301">
        <f>NhanCong!I44</f>
        <v>114611.53846153847</v>
      </c>
      <c r="G52" s="320">
        <f>Dcu!N33</f>
        <v>8354.1880341880333</v>
      </c>
      <c r="H52" s="320">
        <f>VLieu!L$28</f>
        <v>25375</v>
      </c>
      <c r="I52" s="320">
        <f>TBi!O17</f>
        <v>24777</v>
      </c>
      <c r="J52" s="320"/>
      <c r="K52" s="320">
        <f t="shared" si="13"/>
        <v>1803592.0389957267</v>
      </c>
      <c r="L52" s="320">
        <f t="shared" si="14"/>
        <v>450898.00974893168</v>
      </c>
      <c r="M52" s="321">
        <f t="shared" si="15"/>
        <v>2254490.0487446585</v>
      </c>
      <c r="N52" s="321"/>
      <c r="O52" s="320">
        <f>NhanCong!J43</f>
        <v>49262.019230769234</v>
      </c>
    </row>
    <row r="53" spans="1:15">
      <c r="A53" s="1043"/>
      <c r="B53" s="1038"/>
      <c r="C53" s="1043"/>
      <c r="D53" s="319">
        <v>3</v>
      </c>
      <c r="E53" s="301">
        <f>NhanCong!I45</f>
        <v>1972672.6249999998</v>
      </c>
      <c r="F53" s="301">
        <f>NhanCong!I46</f>
        <v>229223.07692307694</v>
      </c>
      <c r="G53" s="320">
        <f>Dcu!N34</f>
        <v>10442.735042735041</v>
      </c>
      <c r="H53" s="320">
        <f>VLieu!L$28</f>
        <v>25375</v>
      </c>
      <c r="I53" s="320">
        <f>TBi!P17</f>
        <v>29717</v>
      </c>
      <c r="J53" s="320"/>
      <c r="K53" s="320">
        <f t="shared" si="13"/>
        <v>2267430.4369658115</v>
      </c>
      <c r="L53" s="320">
        <f t="shared" si="14"/>
        <v>566857.60924145288</v>
      </c>
      <c r="M53" s="321">
        <f t="shared" si="15"/>
        <v>2834288.0462072645</v>
      </c>
      <c r="N53" s="321"/>
      <c r="O53" s="320">
        <f>NhanCong!J45</f>
        <v>59600.961538461546</v>
      </c>
    </row>
    <row r="54" spans="1:15">
      <c r="A54" s="1043"/>
      <c r="B54" s="1038"/>
      <c r="C54" s="1043"/>
      <c r="D54" s="319">
        <v>4</v>
      </c>
      <c r="E54" s="301">
        <f>NhanCong!I47</f>
        <v>2455776.125</v>
      </c>
      <c r="F54" s="301">
        <f>NhanCong!I48</f>
        <v>409326.92307692312</v>
      </c>
      <c r="G54" s="320">
        <f>Dcu!N35</f>
        <v>14097.692307692307</v>
      </c>
      <c r="H54" s="320">
        <f>VLieu!L$28</f>
        <v>25375</v>
      </c>
      <c r="I54" s="320">
        <f>TBi!Q17</f>
        <v>40585</v>
      </c>
      <c r="J54" s="320"/>
      <c r="K54" s="320">
        <f t="shared" si="13"/>
        <v>2945160.7403846155</v>
      </c>
      <c r="L54" s="320">
        <f t="shared" si="14"/>
        <v>736290.18509615387</v>
      </c>
      <c r="M54" s="321">
        <f t="shared" si="15"/>
        <v>3681450.9254807695</v>
      </c>
      <c r="N54" s="321"/>
      <c r="O54" s="320">
        <f>NhanCong!J47</f>
        <v>74197.115384615376</v>
      </c>
    </row>
    <row r="55" spans="1:15">
      <c r="A55" s="1043"/>
      <c r="B55" s="1038"/>
      <c r="C55" s="1043"/>
      <c r="D55" s="319" t="s">
        <v>13</v>
      </c>
      <c r="E55" s="301">
        <f>NhanCong!I49</f>
        <v>3824569.375</v>
      </c>
      <c r="F55" s="301">
        <f>NhanCong!I50</f>
        <v>509384.61538461538</v>
      </c>
      <c r="G55" s="320">
        <f>Dcu!N36</f>
        <v>18796.923076923074</v>
      </c>
      <c r="H55" s="320">
        <f>VLieu!L$28</f>
        <v>25375</v>
      </c>
      <c r="I55" s="320">
        <f>TBi!R17</f>
        <v>53923</v>
      </c>
      <c r="J55" s="320"/>
      <c r="K55" s="320">
        <f t="shared" si="13"/>
        <v>4432048.913461538</v>
      </c>
      <c r="L55" s="320">
        <f t="shared" si="14"/>
        <v>1108012.2283653845</v>
      </c>
      <c r="M55" s="321">
        <f t="shared" si="15"/>
        <v>5540061.1418269221</v>
      </c>
      <c r="N55" s="321"/>
      <c r="O55" s="320">
        <f>NhanCong!J49</f>
        <v>115552.88461538461</v>
      </c>
    </row>
    <row r="56" spans="1:15" ht="12.75" customHeight="1">
      <c r="A56" s="1043" t="s">
        <v>361</v>
      </c>
      <c r="B56" s="1038" t="s">
        <v>443</v>
      </c>
      <c r="C56" s="1043"/>
      <c r="D56" s="319">
        <v>1</v>
      </c>
      <c r="E56" s="301">
        <f t="shared" ref="E56:F60" si="19">E51*0.1</f>
        <v>134866.39375000002</v>
      </c>
      <c r="F56" s="301">
        <f t="shared" si="19"/>
        <v>8186.5384615384628</v>
      </c>
      <c r="G56" s="320">
        <f>Dcu!N38</f>
        <v>574.35042735042737</v>
      </c>
      <c r="H56" s="320">
        <f>VLieu!L$28*0.1</f>
        <v>2537.5</v>
      </c>
      <c r="I56" s="320">
        <f>0.1*I51</f>
        <v>1637.9</v>
      </c>
      <c r="J56" s="320"/>
      <c r="K56" s="320">
        <f t="shared" si="13"/>
        <v>147802.68263888892</v>
      </c>
      <c r="L56" s="320">
        <f t="shared" si="14"/>
        <v>36950.670659722229</v>
      </c>
      <c r="M56" s="321">
        <f t="shared" ref="M56:M62" si="20">K56+L56</f>
        <v>184753.35329861115</v>
      </c>
      <c r="N56" s="321"/>
      <c r="O56" s="320">
        <f>O51*0.1</f>
        <v>4074.7596153846157</v>
      </c>
    </row>
    <row r="57" spans="1:15">
      <c r="A57" s="1043"/>
      <c r="B57" s="1038"/>
      <c r="C57" s="1043"/>
      <c r="D57" s="319">
        <v>2</v>
      </c>
      <c r="E57" s="301">
        <f t="shared" si="19"/>
        <v>163047.43125000002</v>
      </c>
      <c r="F57" s="301">
        <f t="shared" si="19"/>
        <v>11461.153846153848</v>
      </c>
      <c r="G57" s="320">
        <f>Dcu!N39</f>
        <v>835.41880341880335</v>
      </c>
      <c r="H57" s="320">
        <f>VLieu!L$28*0.1</f>
        <v>2537.5</v>
      </c>
      <c r="I57" s="320">
        <f>0.1*I52</f>
        <v>2477.7000000000003</v>
      </c>
      <c r="J57" s="320"/>
      <c r="K57" s="320">
        <f t="shared" si="13"/>
        <v>180359.20389957269</v>
      </c>
      <c r="L57" s="320">
        <f t="shared" si="14"/>
        <v>45089.800974893173</v>
      </c>
      <c r="M57" s="321">
        <f t="shared" si="20"/>
        <v>225449.00487446587</v>
      </c>
      <c r="N57" s="321"/>
      <c r="O57" s="320">
        <f>O52*0.1</f>
        <v>4926.2019230769238</v>
      </c>
    </row>
    <row r="58" spans="1:15">
      <c r="A58" s="1043"/>
      <c r="B58" s="1038"/>
      <c r="C58" s="1043"/>
      <c r="D58" s="319">
        <v>3</v>
      </c>
      <c r="E58" s="301">
        <f t="shared" si="19"/>
        <v>197267.26249999998</v>
      </c>
      <c r="F58" s="301">
        <f t="shared" si="19"/>
        <v>22922.307692307695</v>
      </c>
      <c r="G58" s="320">
        <f>Dcu!N40</f>
        <v>1044.2735042735042</v>
      </c>
      <c r="H58" s="320">
        <f>VLieu!L$28*0.1</f>
        <v>2537.5</v>
      </c>
      <c r="I58" s="320">
        <f>0.1*I53</f>
        <v>2971.7000000000003</v>
      </c>
      <c r="J58" s="320"/>
      <c r="K58" s="320">
        <f t="shared" si="13"/>
        <v>226743.04369658118</v>
      </c>
      <c r="L58" s="320">
        <f t="shared" si="14"/>
        <v>56685.760924145296</v>
      </c>
      <c r="M58" s="321">
        <f t="shared" si="20"/>
        <v>283428.8046207265</v>
      </c>
      <c r="N58" s="321"/>
      <c r="O58" s="320">
        <f>O53*0.1</f>
        <v>5960.0961538461552</v>
      </c>
    </row>
    <row r="59" spans="1:15">
      <c r="A59" s="1043"/>
      <c r="B59" s="1038"/>
      <c r="C59" s="1043"/>
      <c r="D59" s="319">
        <v>4</v>
      </c>
      <c r="E59" s="301">
        <f t="shared" si="19"/>
        <v>245577.61250000002</v>
      </c>
      <c r="F59" s="301">
        <f t="shared" si="19"/>
        <v>40932.692307692312</v>
      </c>
      <c r="G59" s="320">
        <f>Dcu!N41</f>
        <v>1409.7692307692307</v>
      </c>
      <c r="H59" s="320">
        <f>VLieu!L$28*0.1</f>
        <v>2537.5</v>
      </c>
      <c r="I59" s="320">
        <f>0.1*I54</f>
        <v>4058.5</v>
      </c>
      <c r="J59" s="320"/>
      <c r="K59" s="320">
        <f t="shared" si="13"/>
        <v>294516.07403846155</v>
      </c>
      <c r="L59" s="320">
        <f t="shared" si="14"/>
        <v>73629.018509615387</v>
      </c>
      <c r="M59" s="321">
        <f t="shared" si="20"/>
        <v>368145.09254807694</v>
      </c>
      <c r="N59" s="321"/>
      <c r="O59" s="320">
        <f>O54*0.1</f>
        <v>7419.7115384615381</v>
      </c>
    </row>
    <row r="60" spans="1:15">
      <c r="A60" s="1043"/>
      <c r="B60" s="1038"/>
      <c r="C60" s="1043"/>
      <c r="D60" s="319" t="s">
        <v>13</v>
      </c>
      <c r="E60" s="301">
        <f t="shared" si="19"/>
        <v>382456.9375</v>
      </c>
      <c r="F60" s="301">
        <f t="shared" si="19"/>
        <v>50938.461538461539</v>
      </c>
      <c r="G60" s="320">
        <f>Dcu!N42</f>
        <v>1879.6923076923076</v>
      </c>
      <c r="H60" s="320">
        <f>VLieu!L$28*0.1</f>
        <v>2537.5</v>
      </c>
      <c r="I60" s="320">
        <f>0.1*I55</f>
        <v>5392.3</v>
      </c>
      <c r="J60" s="320"/>
      <c r="K60" s="320">
        <f t="shared" si="13"/>
        <v>443204.89134615386</v>
      </c>
      <c r="L60" s="320">
        <f t="shared" si="14"/>
        <v>110801.22283653847</v>
      </c>
      <c r="M60" s="321">
        <f t="shared" si="20"/>
        <v>554006.11418269237</v>
      </c>
      <c r="N60" s="321"/>
      <c r="O60" s="320">
        <f>O55*0.1</f>
        <v>11555.288461538461</v>
      </c>
    </row>
    <row r="61" spans="1:15">
      <c r="A61" s="300">
        <f>NhanCong!A51</f>
        <v>5</v>
      </c>
      <c r="B61" s="322" t="str">
        <f>NhanCong!B51</f>
        <v>Tính toán bình sai</v>
      </c>
      <c r="C61" s="300" t="str">
        <f>NhanCong!C51</f>
        <v>điểm</v>
      </c>
      <c r="D61" s="319" t="s">
        <v>15</v>
      </c>
      <c r="E61" s="301">
        <f>NhanCong!I51</f>
        <v>545113.80000000005</v>
      </c>
      <c r="F61" s="301"/>
      <c r="G61" s="320">
        <f>Dcu!H56</f>
        <v>2819.3792307692306</v>
      </c>
      <c r="H61" s="320">
        <f>VLieu!F43</f>
        <v>27260</v>
      </c>
      <c r="I61" s="320">
        <f>TBi!N21</f>
        <v>1529</v>
      </c>
      <c r="J61" s="320"/>
      <c r="K61" s="320">
        <f t="shared" si="13"/>
        <v>576722.17923076928</v>
      </c>
      <c r="L61" s="320">
        <f>K61*0.15</f>
        <v>86508.326884615395</v>
      </c>
      <c r="M61" s="321">
        <f t="shared" si="20"/>
        <v>663230.50611538463</v>
      </c>
      <c r="N61" s="321"/>
      <c r="O61" s="320">
        <f>NhanCong!J51</f>
        <v>15569.23076923077</v>
      </c>
    </row>
    <row r="62" spans="1:15">
      <c r="A62" s="300" t="s">
        <v>362</v>
      </c>
      <c r="B62" s="322" t="s">
        <v>444</v>
      </c>
      <c r="C62" s="300"/>
      <c r="D62" s="319" t="s">
        <v>15</v>
      </c>
      <c r="E62" s="301">
        <f>NhanCong!F51/NhanCong!D51*0.1</f>
        <v>34069.612500000003</v>
      </c>
      <c r="F62" s="301">
        <f>NhanCong!J55</f>
        <v>0</v>
      </c>
      <c r="G62" s="320">
        <f>Dcu!H56</f>
        <v>2819.3792307692306</v>
      </c>
      <c r="H62" s="320">
        <f>H61</f>
        <v>27260</v>
      </c>
      <c r="I62" s="320">
        <f>0.1*I61</f>
        <v>152.9</v>
      </c>
      <c r="J62" s="320"/>
      <c r="K62" s="320">
        <f t="shared" si="13"/>
        <v>64301.891730769232</v>
      </c>
      <c r="L62" s="320">
        <f>K62*0.15</f>
        <v>9645.283759615384</v>
      </c>
      <c r="M62" s="321">
        <f t="shared" si="20"/>
        <v>73947.175490384616</v>
      </c>
      <c r="N62" s="321"/>
      <c r="O62" s="320">
        <f>O61/0.8*0.05</f>
        <v>973.07692307692309</v>
      </c>
    </row>
    <row r="63" spans="1:15" ht="19.5" customHeight="1">
      <c r="A63" s="298" t="str">
        <f>L_CViec!A14</f>
        <v>II</v>
      </c>
      <c r="B63" s="314" t="s">
        <v>614</v>
      </c>
      <c r="C63" s="300"/>
      <c r="D63" s="300"/>
      <c r="E63" s="301"/>
      <c r="F63" s="301"/>
      <c r="G63" s="301"/>
      <c r="H63" s="301"/>
      <c r="I63" s="301"/>
      <c r="J63" s="301"/>
      <c r="K63" s="301"/>
      <c r="L63" s="301"/>
      <c r="M63" s="315"/>
      <c r="N63" s="315"/>
      <c r="O63" s="301"/>
    </row>
    <row r="64" spans="1:15">
      <c r="A64" s="298" t="s">
        <v>27</v>
      </c>
      <c r="B64" s="314" t="s">
        <v>44</v>
      </c>
      <c r="C64" s="300"/>
      <c r="D64" s="300"/>
      <c r="E64" s="301"/>
      <c r="F64" s="301"/>
      <c r="G64" s="301"/>
      <c r="H64" s="301"/>
      <c r="I64" s="301"/>
      <c r="J64" s="301"/>
      <c r="K64" s="301"/>
      <c r="L64" s="301"/>
      <c r="M64" s="315"/>
      <c r="N64" s="315"/>
      <c r="O64" s="301"/>
    </row>
    <row r="65" spans="1:15" s="308" customFormat="1" ht="13.5" customHeight="1">
      <c r="A65" s="1036"/>
      <c r="B65" s="1035" t="s">
        <v>190</v>
      </c>
      <c r="C65" s="1036" t="s">
        <v>21</v>
      </c>
      <c r="D65" s="298">
        <v>1</v>
      </c>
      <c r="E65" s="301">
        <f t="shared" ref="E65:J68" si="21">SUM(E$93,E94,E98,E102,E106,E110)</f>
        <v>27266085.137500007</v>
      </c>
      <c r="F65" s="301">
        <f t="shared" si="21"/>
        <v>3119980.7692307695</v>
      </c>
      <c r="G65" s="301">
        <f t="shared" si="21"/>
        <v>216115.38408119656</v>
      </c>
      <c r="H65" s="301">
        <f t="shared" si="21"/>
        <v>18546529</v>
      </c>
      <c r="I65" s="301">
        <f t="shared" si="21"/>
        <v>298866.57142857142</v>
      </c>
      <c r="J65" s="301">
        <f t="shared" si="21"/>
        <v>712.32</v>
      </c>
      <c r="K65" s="301">
        <f t="shared" ref="K65:K72" si="22">SUM(E65:J65)</f>
        <v>49448289.182240546</v>
      </c>
      <c r="L65" s="301">
        <f>K65*0.25</f>
        <v>12362072.295560136</v>
      </c>
      <c r="M65" s="315">
        <f t="shared" ref="M65:M72" si="23">K65+L65</f>
        <v>61810361.477800682</v>
      </c>
      <c r="N65" s="301">
        <f>M65+M69</f>
        <v>67078340.198048621</v>
      </c>
      <c r="O65" s="301">
        <f>SUM(O$93,O94,O98,O102,O106,O110)/$M$92</f>
        <v>771406.73076923063</v>
      </c>
    </row>
    <row r="66" spans="1:15" s="308" customFormat="1" ht="15" customHeight="1">
      <c r="A66" s="1036"/>
      <c r="B66" s="1035"/>
      <c r="C66" s="1036"/>
      <c r="D66" s="298">
        <v>2</v>
      </c>
      <c r="E66" s="301">
        <f t="shared" si="21"/>
        <v>32327075.000000007</v>
      </c>
      <c r="F66" s="301">
        <f t="shared" si="21"/>
        <v>3736700.0000000005</v>
      </c>
      <c r="G66" s="301">
        <f t="shared" si="21"/>
        <v>251773.2716346154</v>
      </c>
      <c r="H66" s="301">
        <f t="shared" si="21"/>
        <v>18546529</v>
      </c>
      <c r="I66" s="301">
        <f t="shared" si="21"/>
        <v>346158.57142857142</v>
      </c>
      <c r="J66" s="301">
        <f t="shared" si="21"/>
        <v>712.32</v>
      </c>
      <c r="K66" s="301">
        <f t="shared" si="22"/>
        <v>55208948.163063198</v>
      </c>
      <c r="L66" s="301">
        <f>K66*0.25</f>
        <v>13802237.0407658</v>
      </c>
      <c r="M66" s="315">
        <f t="shared" si="23"/>
        <v>69011185.20382899</v>
      </c>
      <c r="N66" s="301">
        <f>M66+M70</f>
        <v>74661175.242596537</v>
      </c>
      <c r="O66" s="301">
        <f>SUM(O$93,O95,O99,O103,O107,O111)/$M$92</f>
        <v>914692.30769230775</v>
      </c>
    </row>
    <row r="67" spans="1:15" s="308" customFormat="1" ht="15" customHeight="1">
      <c r="A67" s="1036"/>
      <c r="B67" s="1035"/>
      <c r="C67" s="1036"/>
      <c r="D67" s="298">
        <v>3</v>
      </c>
      <c r="E67" s="301">
        <f t="shared" si="21"/>
        <v>37907911.868750006</v>
      </c>
      <c r="F67" s="301">
        <f t="shared" si="21"/>
        <v>4406176.9230769239</v>
      </c>
      <c r="G67" s="301">
        <f t="shared" si="21"/>
        <v>287431.15918803425</v>
      </c>
      <c r="H67" s="301">
        <f t="shared" si="21"/>
        <v>18546529</v>
      </c>
      <c r="I67" s="301">
        <f t="shared" si="21"/>
        <v>420474.57142857142</v>
      </c>
      <c r="J67" s="301">
        <f t="shared" si="21"/>
        <v>712.32</v>
      </c>
      <c r="K67" s="301">
        <f t="shared" si="22"/>
        <v>61569235.842443541</v>
      </c>
      <c r="L67" s="301">
        <f>K67*0.25</f>
        <v>15392308.960610885</v>
      </c>
      <c r="M67" s="315">
        <f t="shared" si="23"/>
        <v>76961544.803054422</v>
      </c>
      <c r="N67" s="301">
        <f>M67+M71</f>
        <v>82958554.566555843</v>
      </c>
      <c r="O67" s="301">
        <f>SUM(O$93,O96,O100,O104,O108,O112)/$M$92</f>
        <v>1072695.6730769232</v>
      </c>
    </row>
    <row r="68" spans="1:15" s="308" customFormat="1" ht="15" customHeight="1">
      <c r="A68" s="1036"/>
      <c r="B68" s="1035"/>
      <c r="C68" s="1036"/>
      <c r="D68" s="298">
        <v>4</v>
      </c>
      <c r="E68" s="301">
        <f t="shared" si="21"/>
        <v>44339407.475000009</v>
      </c>
      <c r="F68" s="301">
        <f t="shared" si="21"/>
        <v>5132050</v>
      </c>
      <c r="G68" s="301">
        <f t="shared" si="21"/>
        <v>335484.95566239319</v>
      </c>
      <c r="H68" s="301">
        <f t="shared" si="21"/>
        <v>18546529</v>
      </c>
      <c r="I68" s="301">
        <f t="shared" si="21"/>
        <v>498168.57142857142</v>
      </c>
      <c r="J68" s="301">
        <f t="shared" si="21"/>
        <v>712.32</v>
      </c>
      <c r="K68" s="301">
        <f t="shared" si="22"/>
        <v>68852352.322090954</v>
      </c>
      <c r="L68" s="301">
        <f>K68*0.25</f>
        <v>17213088.080522738</v>
      </c>
      <c r="M68" s="315">
        <f t="shared" si="23"/>
        <v>86065440.402613699</v>
      </c>
      <c r="N68" s="301">
        <f>M68+M72</f>
        <v>92667253.153659686</v>
      </c>
      <c r="O68" s="301">
        <f>SUM(O$93,O97,O101,O105,O109,O113)/$M$92</f>
        <v>1254782.6923076925</v>
      </c>
    </row>
    <row r="69" spans="1:15" s="308" customFormat="1" ht="13.5" customHeight="1">
      <c r="A69" s="1036"/>
      <c r="B69" s="1035" t="s">
        <v>192</v>
      </c>
      <c r="C69" s="1036" t="s">
        <v>21</v>
      </c>
      <c r="D69" s="298">
        <v>1</v>
      </c>
      <c r="E69" s="301">
        <f t="shared" ref="E69:J72" si="24">(E115+SUM(E$119:E$124))</f>
        <v>3082993.4850000008</v>
      </c>
      <c r="F69" s="301">
        <f t="shared" si="24"/>
        <v>0</v>
      </c>
      <c r="G69" s="301">
        <f t="shared" si="24"/>
        <v>23929.943942307695</v>
      </c>
      <c r="H69" s="301">
        <f t="shared" si="24"/>
        <v>1226160</v>
      </c>
      <c r="I69" s="301">
        <f t="shared" si="24"/>
        <v>157013.61214285714</v>
      </c>
      <c r="J69" s="301">
        <f t="shared" si="24"/>
        <v>90754.01999999999</v>
      </c>
      <c r="K69" s="301">
        <f t="shared" si="22"/>
        <v>4580851.0610851645</v>
      </c>
      <c r="L69" s="301">
        <f>K69*0.15</f>
        <v>687127.65916277468</v>
      </c>
      <c r="M69" s="315">
        <f t="shared" si="23"/>
        <v>5267978.7202479392</v>
      </c>
      <c r="N69" s="301"/>
      <c r="O69" s="301">
        <f>(O115+SUM(O$119:O$124))/$M$92</f>
        <v>87285</v>
      </c>
    </row>
    <row r="70" spans="1:15" s="308" customFormat="1" ht="15" customHeight="1">
      <c r="A70" s="1036"/>
      <c r="B70" s="1035"/>
      <c r="C70" s="1036"/>
      <c r="D70" s="298">
        <v>2</v>
      </c>
      <c r="E70" s="301">
        <f t="shared" si="24"/>
        <v>3378575.915000001</v>
      </c>
      <c r="F70" s="301">
        <f t="shared" si="24"/>
        <v>0</v>
      </c>
      <c r="G70" s="301">
        <f t="shared" si="24"/>
        <v>25499.999891025644</v>
      </c>
      <c r="H70" s="301">
        <f t="shared" si="24"/>
        <v>1226160</v>
      </c>
      <c r="I70" s="301">
        <f t="shared" si="24"/>
        <v>181159.74142857143</v>
      </c>
      <c r="J70" s="301">
        <f t="shared" si="24"/>
        <v>101639.16</v>
      </c>
      <c r="K70" s="301">
        <f t="shared" si="22"/>
        <v>4913034.8163195988</v>
      </c>
      <c r="L70" s="301">
        <f>K70*0.15</f>
        <v>736955.2224479398</v>
      </c>
      <c r="M70" s="315">
        <f t="shared" si="23"/>
        <v>5649990.038767539</v>
      </c>
      <c r="N70" s="301"/>
      <c r="O70" s="301">
        <f>(O116+SUM(O$119:O$124))/$M$92</f>
        <v>95653.461538461532</v>
      </c>
    </row>
    <row r="71" spans="1:15" s="308" customFormat="1" ht="15" customHeight="1">
      <c r="A71" s="1036"/>
      <c r="B71" s="1035"/>
      <c r="C71" s="1036"/>
      <c r="D71" s="298">
        <v>3</v>
      </c>
      <c r="E71" s="301">
        <f t="shared" si="24"/>
        <v>3646662.3050000006</v>
      </c>
      <c r="F71" s="301">
        <f t="shared" si="24"/>
        <v>0</v>
      </c>
      <c r="G71" s="301">
        <f t="shared" si="24"/>
        <v>27070.055839743593</v>
      </c>
      <c r="H71" s="301">
        <f t="shared" si="24"/>
        <v>1226160</v>
      </c>
      <c r="I71" s="301">
        <f t="shared" si="24"/>
        <v>203398.39785714287</v>
      </c>
      <c r="J71" s="301">
        <f t="shared" si="24"/>
        <v>111500.34</v>
      </c>
      <c r="K71" s="301">
        <f t="shared" si="22"/>
        <v>5214791.0986968866</v>
      </c>
      <c r="L71" s="301">
        <f>K71*0.15</f>
        <v>782218.66480453301</v>
      </c>
      <c r="M71" s="315">
        <f t="shared" si="23"/>
        <v>5997009.7635014197</v>
      </c>
      <c r="N71" s="301"/>
      <c r="O71" s="301">
        <f>(O117+SUM(O$119:O$124))/$M$92</f>
        <v>103243.46153846153</v>
      </c>
    </row>
    <row r="72" spans="1:15" s="308" customFormat="1" ht="15" customHeight="1">
      <c r="A72" s="1036"/>
      <c r="B72" s="1035"/>
      <c r="C72" s="1036"/>
      <c r="D72" s="298">
        <v>4</v>
      </c>
      <c r="E72" s="301">
        <f t="shared" si="24"/>
        <v>4114094.9850000013</v>
      </c>
      <c r="F72" s="301">
        <f t="shared" si="24"/>
        <v>0</v>
      </c>
      <c r="G72" s="301">
        <f t="shared" si="24"/>
        <v>29686.815754273506</v>
      </c>
      <c r="H72" s="301">
        <f t="shared" si="24"/>
        <v>1226160</v>
      </c>
      <c r="I72" s="301">
        <f t="shared" si="24"/>
        <v>242191.17928571429</v>
      </c>
      <c r="J72" s="301">
        <f t="shared" si="24"/>
        <v>128573.76000000001</v>
      </c>
      <c r="K72" s="301">
        <f t="shared" si="22"/>
        <v>5740706.7400399894</v>
      </c>
      <c r="L72" s="301">
        <f>K72*0.15</f>
        <v>861106.01100599836</v>
      </c>
      <c r="M72" s="315">
        <f t="shared" si="23"/>
        <v>6601812.7510459879</v>
      </c>
      <c r="N72" s="301"/>
      <c r="O72" s="301">
        <f>(O118+SUM(O$119:O$124))/$M$92</f>
        <v>116477.30769230769</v>
      </c>
    </row>
    <row r="73" spans="1:15">
      <c r="A73" s="298"/>
      <c r="B73" s="314" t="s">
        <v>322</v>
      </c>
      <c r="C73" s="300"/>
      <c r="D73" s="300"/>
      <c r="E73" s="301"/>
      <c r="F73" s="301"/>
      <c r="G73" s="301"/>
      <c r="H73" s="301"/>
      <c r="I73" s="301"/>
      <c r="J73" s="301"/>
      <c r="K73" s="301"/>
      <c r="L73" s="301"/>
      <c r="M73" s="315"/>
      <c r="N73" s="315"/>
      <c r="O73" s="301"/>
    </row>
    <row r="74" spans="1:15">
      <c r="A74" s="298" t="s">
        <v>323</v>
      </c>
      <c r="B74" s="314" t="s">
        <v>324</v>
      </c>
      <c r="C74" s="300"/>
      <c r="D74" s="300"/>
      <c r="E74" s="301"/>
      <c r="F74" s="301"/>
      <c r="G74" s="301"/>
      <c r="H74" s="301"/>
      <c r="I74" s="301"/>
      <c r="J74" s="301"/>
      <c r="K74" s="301"/>
      <c r="L74" s="301"/>
      <c r="M74" s="315"/>
      <c r="N74" s="315"/>
      <c r="O74" s="301"/>
    </row>
    <row r="75" spans="1:15" s="308" customFormat="1" ht="13.5" customHeight="1">
      <c r="A75" s="1036"/>
      <c r="B75" s="1035" t="s">
        <v>190</v>
      </c>
      <c r="C75" s="1036" t="s">
        <v>21</v>
      </c>
      <c r="D75" s="298">
        <v>1</v>
      </c>
      <c r="E75" s="301">
        <f t="shared" ref="E75:F82" si="25">E65*0.1</f>
        <v>2726608.5137500009</v>
      </c>
      <c r="F75" s="301">
        <f t="shared" si="25"/>
        <v>311998.07692307694</v>
      </c>
      <c r="G75" s="301">
        <f>G102*0.1</f>
        <v>6914.7716346153848</v>
      </c>
      <c r="H75" s="301">
        <f t="shared" ref="H75:I78" si="26">H65*0.1</f>
        <v>1854652.9000000001</v>
      </c>
      <c r="I75" s="301">
        <f t="shared" si="26"/>
        <v>29886.657142857144</v>
      </c>
      <c r="J75" s="301">
        <f>J102*0.1</f>
        <v>0</v>
      </c>
      <c r="K75" s="301">
        <f t="shared" ref="K75:K82" si="27">SUM(E75:J75)</f>
        <v>4930060.9194505503</v>
      </c>
      <c r="L75" s="301">
        <f>K75*0.25</f>
        <v>1232515.2298626376</v>
      </c>
      <c r="M75" s="315">
        <f t="shared" ref="M75:M82" si="28">K75+L75</f>
        <v>6162576.1493131882</v>
      </c>
      <c r="N75" s="301">
        <f>M75+M79</f>
        <v>6558752.9217806673</v>
      </c>
      <c r="O75" s="301">
        <f t="shared" ref="O75:O82" si="29">O65*0.1</f>
        <v>77140.673076923063</v>
      </c>
    </row>
    <row r="76" spans="1:15" s="308" customFormat="1" ht="15" customHeight="1">
      <c r="A76" s="1036"/>
      <c r="B76" s="1035"/>
      <c r="C76" s="1036"/>
      <c r="D76" s="298">
        <v>2</v>
      </c>
      <c r="E76" s="301">
        <f t="shared" si="25"/>
        <v>3232707.5000000009</v>
      </c>
      <c r="F76" s="301">
        <f t="shared" si="25"/>
        <v>373670.00000000006</v>
      </c>
      <c r="G76" s="301">
        <f>G103*0.1</f>
        <v>8396.508413461539</v>
      </c>
      <c r="H76" s="301">
        <f t="shared" si="26"/>
        <v>1854652.9000000001</v>
      </c>
      <c r="I76" s="301">
        <f t="shared" si="26"/>
        <v>34615.857142857145</v>
      </c>
      <c r="J76" s="301">
        <f>J103*0.1</f>
        <v>0</v>
      </c>
      <c r="K76" s="301">
        <f t="shared" si="27"/>
        <v>5504042.7655563196</v>
      </c>
      <c r="L76" s="301">
        <f>K76*0.25</f>
        <v>1376010.6913890799</v>
      </c>
      <c r="M76" s="315">
        <f t="shared" si="28"/>
        <v>6880053.4569453998</v>
      </c>
      <c r="N76" s="301">
        <f>M76+M80</f>
        <v>7310402.7652969807</v>
      </c>
      <c r="O76" s="301">
        <f t="shared" si="29"/>
        <v>91469.23076923078</v>
      </c>
    </row>
    <row r="77" spans="1:15" s="308" customFormat="1" ht="15" customHeight="1">
      <c r="A77" s="1036"/>
      <c r="B77" s="1035"/>
      <c r="C77" s="1036"/>
      <c r="D77" s="298">
        <v>3</v>
      </c>
      <c r="E77" s="301">
        <f t="shared" si="25"/>
        <v>3790791.1868750006</v>
      </c>
      <c r="F77" s="301">
        <f t="shared" si="25"/>
        <v>440617.69230769243</v>
      </c>
      <c r="G77" s="301">
        <f>G104*0.1</f>
        <v>9878.2451923076951</v>
      </c>
      <c r="H77" s="301">
        <f t="shared" si="26"/>
        <v>1854652.9000000001</v>
      </c>
      <c r="I77" s="301">
        <f t="shared" si="26"/>
        <v>42047.457142857143</v>
      </c>
      <c r="J77" s="301">
        <f>J104*0.1</f>
        <v>0</v>
      </c>
      <c r="K77" s="301">
        <f t="shared" si="27"/>
        <v>6137987.4815178579</v>
      </c>
      <c r="L77" s="301">
        <f>K77*0.25</f>
        <v>1534496.8703794645</v>
      </c>
      <c r="M77" s="315">
        <f t="shared" si="28"/>
        <v>7672484.3518973226</v>
      </c>
      <c r="N77" s="301">
        <f>M77+M81</f>
        <v>8133844.1515330067</v>
      </c>
      <c r="O77" s="301">
        <f t="shared" si="29"/>
        <v>107269.56730769233</v>
      </c>
    </row>
    <row r="78" spans="1:15" s="308" customFormat="1" ht="15" customHeight="1">
      <c r="A78" s="1036"/>
      <c r="B78" s="1035"/>
      <c r="C78" s="1036"/>
      <c r="D78" s="298">
        <v>4</v>
      </c>
      <c r="E78" s="301">
        <f t="shared" si="25"/>
        <v>4433940.7475000015</v>
      </c>
      <c r="F78" s="301">
        <f t="shared" si="25"/>
        <v>513205</v>
      </c>
      <c r="G78" s="301">
        <f>G105*0.1</f>
        <v>11853.894230769232</v>
      </c>
      <c r="H78" s="301">
        <f t="shared" si="26"/>
        <v>1854652.9000000001</v>
      </c>
      <c r="I78" s="301">
        <f t="shared" si="26"/>
        <v>49816.857142857145</v>
      </c>
      <c r="J78" s="301">
        <f>J105*0.1</f>
        <v>0</v>
      </c>
      <c r="K78" s="301">
        <f t="shared" si="27"/>
        <v>6863469.3988736281</v>
      </c>
      <c r="L78" s="301">
        <f>K78*0.25</f>
        <v>1715867.349718407</v>
      </c>
      <c r="M78" s="315">
        <f t="shared" si="28"/>
        <v>8579336.7485920358</v>
      </c>
      <c r="N78" s="301">
        <f>M78+M82</f>
        <v>9094752.2338178903</v>
      </c>
      <c r="O78" s="301">
        <f t="shared" si="29"/>
        <v>125478.26923076925</v>
      </c>
    </row>
    <row r="79" spans="1:15" s="308" customFormat="1" ht="13.5" customHeight="1">
      <c r="A79" s="1036"/>
      <c r="B79" s="1035" t="s">
        <v>192</v>
      </c>
      <c r="C79" s="1036" t="s">
        <v>21</v>
      </c>
      <c r="D79" s="298">
        <v>1</v>
      </c>
      <c r="E79" s="301">
        <f t="shared" si="25"/>
        <v>308299.34850000008</v>
      </c>
      <c r="F79" s="301">
        <f t="shared" si="25"/>
        <v>0</v>
      </c>
      <c r="G79" s="301">
        <f t="shared" ref="G79:H82" si="30">G115*0.1</f>
        <v>732.69277606837613</v>
      </c>
      <c r="H79" s="301">
        <f t="shared" si="30"/>
        <v>35469.5</v>
      </c>
      <c r="I79" s="301"/>
      <c r="J79" s="301"/>
      <c r="K79" s="301">
        <f t="shared" si="27"/>
        <v>344501.54127606848</v>
      </c>
      <c r="L79" s="301">
        <f>K79*0.15</f>
        <v>51675.231191410268</v>
      </c>
      <c r="M79" s="315">
        <f t="shared" si="28"/>
        <v>396176.77246747876</v>
      </c>
      <c r="N79" s="301"/>
      <c r="O79" s="301">
        <f t="shared" si="29"/>
        <v>8728.5</v>
      </c>
    </row>
    <row r="80" spans="1:15" s="308" customFormat="1" ht="15" customHeight="1">
      <c r="A80" s="1036"/>
      <c r="B80" s="1035"/>
      <c r="C80" s="1036"/>
      <c r="D80" s="298">
        <v>2</v>
      </c>
      <c r="E80" s="301">
        <f t="shared" si="25"/>
        <v>337857.5915000001</v>
      </c>
      <c r="F80" s="301">
        <f t="shared" si="25"/>
        <v>0</v>
      </c>
      <c r="G80" s="301">
        <f t="shared" si="30"/>
        <v>889.698370940171</v>
      </c>
      <c r="H80" s="301">
        <f t="shared" si="30"/>
        <v>35469.5</v>
      </c>
      <c r="I80" s="301"/>
      <c r="J80" s="301"/>
      <c r="K80" s="301">
        <f t="shared" si="27"/>
        <v>374216.78987094027</v>
      </c>
      <c r="L80" s="301">
        <f>K80*0.15</f>
        <v>56132.51848064104</v>
      </c>
      <c r="M80" s="315">
        <f t="shared" si="28"/>
        <v>430349.30835158133</v>
      </c>
      <c r="N80" s="301"/>
      <c r="O80" s="301">
        <f t="shared" si="29"/>
        <v>9565.3461538461543</v>
      </c>
    </row>
    <row r="81" spans="1:15" s="308" customFormat="1" ht="15" customHeight="1">
      <c r="A81" s="1036"/>
      <c r="B81" s="1035"/>
      <c r="C81" s="1036"/>
      <c r="D81" s="298">
        <v>3</v>
      </c>
      <c r="E81" s="301">
        <f t="shared" si="25"/>
        <v>364666.23050000006</v>
      </c>
      <c r="F81" s="301">
        <f t="shared" si="25"/>
        <v>0</v>
      </c>
      <c r="G81" s="301">
        <f t="shared" si="30"/>
        <v>1046.7039658119659</v>
      </c>
      <c r="H81" s="301">
        <f t="shared" si="30"/>
        <v>35469.5</v>
      </c>
      <c r="I81" s="301"/>
      <c r="J81" s="301"/>
      <c r="K81" s="301">
        <f t="shared" si="27"/>
        <v>401182.43446581205</v>
      </c>
      <c r="L81" s="301">
        <f>K81*0.15</f>
        <v>60177.365169871802</v>
      </c>
      <c r="M81" s="315">
        <f t="shared" si="28"/>
        <v>461359.79963568388</v>
      </c>
      <c r="N81" s="301"/>
      <c r="O81" s="301">
        <f t="shared" si="29"/>
        <v>10324.346153846154</v>
      </c>
    </row>
    <row r="82" spans="1:15" s="308" customFormat="1" ht="15" customHeight="1">
      <c r="A82" s="1036"/>
      <c r="B82" s="1035"/>
      <c r="C82" s="1036"/>
      <c r="D82" s="298">
        <v>4</v>
      </c>
      <c r="E82" s="301">
        <f t="shared" si="25"/>
        <v>411409.49850000016</v>
      </c>
      <c r="F82" s="301">
        <f t="shared" si="25"/>
        <v>0</v>
      </c>
      <c r="G82" s="301">
        <f t="shared" si="30"/>
        <v>1308.3799572649573</v>
      </c>
      <c r="H82" s="301">
        <f t="shared" si="30"/>
        <v>35469.5</v>
      </c>
      <c r="I82" s="301"/>
      <c r="J82" s="301"/>
      <c r="K82" s="301">
        <f t="shared" si="27"/>
        <v>448187.37845726509</v>
      </c>
      <c r="L82" s="301">
        <f>K82*0.15</f>
        <v>67228.106768589758</v>
      </c>
      <c r="M82" s="315">
        <f t="shared" si="28"/>
        <v>515415.48522585485</v>
      </c>
      <c r="N82" s="301"/>
      <c r="O82" s="301">
        <f t="shared" si="29"/>
        <v>11647.73076923077</v>
      </c>
    </row>
    <row r="83" spans="1:15">
      <c r="A83" s="298" t="s">
        <v>323</v>
      </c>
      <c r="B83" s="314" t="s">
        <v>326</v>
      </c>
      <c r="C83" s="300"/>
      <c r="D83" s="300"/>
      <c r="E83" s="301"/>
      <c r="F83" s="301"/>
      <c r="G83" s="301"/>
      <c r="H83" s="301"/>
      <c r="I83" s="301"/>
      <c r="J83" s="301"/>
      <c r="K83" s="301"/>
      <c r="L83" s="301"/>
      <c r="M83" s="315"/>
      <c r="N83" s="301"/>
      <c r="O83" s="301"/>
    </row>
    <row r="84" spans="1:15" s="308" customFormat="1" ht="13.5" customHeight="1">
      <c r="A84" s="1036"/>
      <c r="B84" s="1035" t="s">
        <v>190</v>
      </c>
      <c r="C84" s="1036" t="s">
        <v>21</v>
      </c>
      <c r="D84" s="298">
        <v>1</v>
      </c>
      <c r="E84" s="301">
        <f t="shared" ref="E84:F87" si="31">E65*1.15</f>
        <v>31355997.908125006</v>
      </c>
      <c r="F84" s="301">
        <f t="shared" si="31"/>
        <v>3587977.8846153845</v>
      </c>
      <c r="G84" s="301">
        <f t="shared" ref="G84:J91" si="32">G65</f>
        <v>216115.38408119656</v>
      </c>
      <c r="H84" s="301">
        <f t="shared" si="32"/>
        <v>18546529</v>
      </c>
      <c r="I84" s="301">
        <f t="shared" si="32"/>
        <v>298866.57142857142</v>
      </c>
      <c r="J84" s="301">
        <f t="shared" si="32"/>
        <v>712.32</v>
      </c>
      <c r="K84" s="301">
        <f t="shared" ref="K84:K91" si="33">SUM(E84:J84)</f>
        <v>54006199.068250164</v>
      </c>
      <c r="L84" s="301">
        <f>K84*0.25</f>
        <v>13501549.767062541</v>
      </c>
      <c r="M84" s="315">
        <f t="shared" ref="M84:M91" si="34">K84+L84</f>
        <v>67507748.835312709</v>
      </c>
      <c r="N84" s="301">
        <f>M84+M88</f>
        <v>73130271.806335643</v>
      </c>
      <c r="O84" s="301">
        <f>O65*1.15</f>
        <v>887117.74038461514</v>
      </c>
    </row>
    <row r="85" spans="1:15" s="308" customFormat="1" ht="15" customHeight="1">
      <c r="A85" s="1036"/>
      <c r="B85" s="1035"/>
      <c r="C85" s="1036"/>
      <c r="D85" s="298">
        <v>2</v>
      </c>
      <c r="E85" s="301">
        <f t="shared" si="31"/>
        <v>37176136.250000007</v>
      </c>
      <c r="F85" s="301">
        <f t="shared" si="31"/>
        <v>4297205</v>
      </c>
      <c r="G85" s="301">
        <f t="shared" si="32"/>
        <v>251773.2716346154</v>
      </c>
      <c r="H85" s="301">
        <f t="shared" si="32"/>
        <v>18546529</v>
      </c>
      <c r="I85" s="301">
        <f t="shared" si="32"/>
        <v>346158.57142857142</v>
      </c>
      <c r="J85" s="301">
        <f t="shared" si="32"/>
        <v>712.32</v>
      </c>
      <c r="K85" s="301">
        <f t="shared" si="33"/>
        <v>60618514.413063198</v>
      </c>
      <c r="L85" s="301">
        <f>K85*0.25</f>
        <v>15154628.6032658</v>
      </c>
      <c r="M85" s="315">
        <f t="shared" si="34"/>
        <v>75773143.01632899</v>
      </c>
      <c r="N85" s="301">
        <f>M85+M89</f>
        <v>81811669.285321534</v>
      </c>
      <c r="O85" s="301">
        <f>O66*1.15</f>
        <v>1051896.1538461538</v>
      </c>
    </row>
    <row r="86" spans="1:15" s="308" customFormat="1" ht="15" customHeight="1">
      <c r="A86" s="1036"/>
      <c r="B86" s="1035"/>
      <c r="C86" s="1036"/>
      <c r="D86" s="298">
        <v>3</v>
      </c>
      <c r="E86" s="301">
        <f t="shared" si="31"/>
        <v>43594098.649062507</v>
      </c>
      <c r="F86" s="301">
        <f t="shared" si="31"/>
        <v>5067103.461538462</v>
      </c>
      <c r="G86" s="301">
        <f t="shared" si="32"/>
        <v>287431.15918803425</v>
      </c>
      <c r="H86" s="301">
        <f t="shared" si="32"/>
        <v>18546529</v>
      </c>
      <c r="I86" s="301">
        <f t="shared" si="32"/>
        <v>420474.57142857142</v>
      </c>
      <c r="J86" s="301">
        <f t="shared" si="32"/>
        <v>712.32</v>
      </c>
      <c r="K86" s="301">
        <f t="shared" si="33"/>
        <v>67916349.16121757</v>
      </c>
      <c r="L86" s="301">
        <f>K86*0.25</f>
        <v>16979087.290304393</v>
      </c>
      <c r="M86" s="315">
        <f t="shared" si="34"/>
        <v>84895436.451521963</v>
      </c>
      <c r="N86" s="301">
        <f>M86+M90</f>
        <v>91311812.380098388</v>
      </c>
      <c r="O86" s="301">
        <f>O67*1.15</f>
        <v>1233600.0240384617</v>
      </c>
    </row>
    <row r="87" spans="1:15" s="308" customFormat="1" ht="15" customHeight="1">
      <c r="A87" s="1036"/>
      <c r="B87" s="1035"/>
      <c r="C87" s="1036"/>
      <c r="D87" s="298">
        <v>4</v>
      </c>
      <c r="E87" s="301">
        <f t="shared" si="31"/>
        <v>50990318.596250005</v>
      </c>
      <c r="F87" s="301">
        <f t="shared" si="31"/>
        <v>5901857.5</v>
      </c>
      <c r="G87" s="301">
        <f t="shared" si="32"/>
        <v>335484.95566239319</v>
      </c>
      <c r="H87" s="301">
        <f t="shared" si="32"/>
        <v>18546529</v>
      </c>
      <c r="I87" s="301">
        <f t="shared" si="32"/>
        <v>498168.57142857142</v>
      </c>
      <c r="J87" s="301">
        <f t="shared" si="32"/>
        <v>712.32</v>
      </c>
      <c r="K87" s="301">
        <f t="shared" si="33"/>
        <v>76273070.943340957</v>
      </c>
      <c r="L87" s="301">
        <f>K87*0.25</f>
        <v>19068267.735835239</v>
      </c>
      <c r="M87" s="315">
        <f t="shared" si="34"/>
        <v>95341338.679176196</v>
      </c>
      <c r="N87" s="301">
        <f>M87+M91</f>
        <v>102416272.35349718</v>
      </c>
      <c r="O87" s="301">
        <f>O68*1.15</f>
        <v>1443000.0961538462</v>
      </c>
    </row>
    <row r="88" spans="1:15" s="308" customFormat="1" ht="13.5" customHeight="1">
      <c r="A88" s="1036"/>
      <c r="B88" s="1035" t="s">
        <v>192</v>
      </c>
      <c r="C88" s="1036" t="s">
        <v>21</v>
      </c>
      <c r="D88" s="298">
        <v>1</v>
      </c>
      <c r="E88" s="301">
        <f t="shared" ref="E88:F91" si="35">E69*1.1</f>
        <v>3391292.8335000011</v>
      </c>
      <c r="F88" s="301">
        <f t="shared" si="35"/>
        <v>0</v>
      </c>
      <c r="G88" s="301">
        <f t="shared" si="32"/>
        <v>23929.943942307695</v>
      </c>
      <c r="H88" s="301">
        <f t="shared" si="32"/>
        <v>1226160</v>
      </c>
      <c r="I88" s="301">
        <f t="shared" si="32"/>
        <v>157013.61214285714</v>
      </c>
      <c r="J88" s="301">
        <f t="shared" si="32"/>
        <v>90754.01999999999</v>
      </c>
      <c r="K88" s="301">
        <f t="shared" si="33"/>
        <v>4889150.4095851649</v>
      </c>
      <c r="L88" s="301">
        <f>K88*0.15</f>
        <v>733372.56143777468</v>
      </c>
      <c r="M88" s="315">
        <f t="shared" si="34"/>
        <v>5622522.9710229393</v>
      </c>
      <c r="N88" s="301"/>
      <c r="O88" s="301">
        <f>O69*1.1</f>
        <v>96013.500000000015</v>
      </c>
    </row>
    <row r="89" spans="1:15" s="308" customFormat="1" ht="15" customHeight="1">
      <c r="A89" s="1036"/>
      <c r="B89" s="1035"/>
      <c r="C89" s="1036"/>
      <c r="D89" s="298">
        <v>2</v>
      </c>
      <c r="E89" s="301">
        <f t="shared" si="35"/>
        <v>3716433.5065000015</v>
      </c>
      <c r="F89" s="301">
        <f t="shared" si="35"/>
        <v>0</v>
      </c>
      <c r="G89" s="301">
        <f t="shared" si="32"/>
        <v>25499.999891025644</v>
      </c>
      <c r="H89" s="301">
        <f t="shared" si="32"/>
        <v>1226160</v>
      </c>
      <c r="I89" s="301">
        <f t="shared" si="32"/>
        <v>181159.74142857143</v>
      </c>
      <c r="J89" s="301">
        <f t="shared" si="32"/>
        <v>101639.16</v>
      </c>
      <c r="K89" s="301">
        <f t="shared" si="33"/>
        <v>5250892.4078195989</v>
      </c>
      <c r="L89" s="301">
        <f>K89*0.15</f>
        <v>787633.86117293977</v>
      </c>
      <c r="M89" s="315">
        <f t="shared" si="34"/>
        <v>6038526.2689925386</v>
      </c>
      <c r="N89" s="301"/>
      <c r="O89" s="301">
        <f>O70*1.1</f>
        <v>105218.80769230769</v>
      </c>
    </row>
    <row r="90" spans="1:15" s="308" customFormat="1" ht="15" customHeight="1">
      <c r="A90" s="1036"/>
      <c r="B90" s="1035"/>
      <c r="C90" s="1036"/>
      <c r="D90" s="298">
        <v>3</v>
      </c>
      <c r="E90" s="301">
        <f t="shared" si="35"/>
        <v>4011328.5355000012</v>
      </c>
      <c r="F90" s="301">
        <f t="shared" si="35"/>
        <v>0</v>
      </c>
      <c r="G90" s="301">
        <f t="shared" si="32"/>
        <v>27070.055839743593</v>
      </c>
      <c r="H90" s="301">
        <f t="shared" si="32"/>
        <v>1226160</v>
      </c>
      <c r="I90" s="301">
        <f t="shared" si="32"/>
        <v>203398.39785714287</v>
      </c>
      <c r="J90" s="301">
        <f t="shared" si="32"/>
        <v>111500.34</v>
      </c>
      <c r="K90" s="301">
        <f t="shared" si="33"/>
        <v>5579457.3291968871</v>
      </c>
      <c r="L90" s="301">
        <f>K90*0.15</f>
        <v>836918.59937953309</v>
      </c>
      <c r="M90" s="315">
        <f t="shared" si="34"/>
        <v>6416375.9285764201</v>
      </c>
      <c r="N90" s="301"/>
      <c r="O90" s="301">
        <f>O71*1.1</f>
        <v>113567.80769230769</v>
      </c>
    </row>
    <row r="91" spans="1:15" s="308" customFormat="1" ht="15" customHeight="1">
      <c r="A91" s="1036"/>
      <c r="B91" s="1035"/>
      <c r="C91" s="1036"/>
      <c r="D91" s="298">
        <v>4</v>
      </c>
      <c r="E91" s="301">
        <f t="shared" si="35"/>
        <v>4525504.483500002</v>
      </c>
      <c r="F91" s="301">
        <f t="shared" si="35"/>
        <v>0</v>
      </c>
      <c r="G91" s="301">
        <f t="shared" si="32"/>
        <v>29686.815754273506</v>
      </c>
      <c r="H91" s="301">
        <f t="shared" si="32"/>
        <v>1226160</v>
      </c>
      <c r="I91" s="301">
        <f t="shared" si="32"/>
        <v>242191.17928571429</v>
      </c>
      <c r="J91" s="301">
        <f t="shared" si="32"/>
        <v>128573.76000000001</v>
      </c>
      <c r="K91" s="301">
        <f t="shared" si="33"/>
        <v>6152116.23853999</v>
      </c>
      <c r="L91" s="301">
        <f>K91*0.15</f>
        <v>922817.43578099844</v>
      </c>
      <c r="M91" s="315">
        <f t="shared" si="34"/>
        <v>7074933.6743209884</v>
      </c>
      <c r="N91" s="301"/>
      <c r="O91" s="301">
        <f>O72*1.1</f>
        <v>128125.03846153847</v>
      </c>
    </row>
    <row r="92" spans="1:15">
      <c r="A92" s="298">
        <v>1</v>
      </c>
      <c r="B92" s="316" t="s">
        <v>57</v>
      </c>
      <c r="C92" s="300"/>
      <c r="D92" s="300"/>
      <c r="E92" s="301"/>
      <c r="F92" s="301"/>
      <c r="G92" s="301"/>
      <c r="H92" s="301"/>
      <c r="I92" s="301"/>
      <c r="J92" s="301"/>
      <c r="K92" s="301"/>
      <c r="L92" s="301"/>
      <c r="M92" s="315">
        <v>1</v>
      </c>
      <c r="N92" s="315" t="s">
        <v>21</v>
      </c>
      <c r="O92" s="301"/>
    </row>
    <row r="93" spans="1:15">
      <c r="A93" s="323" t="s">
        <v>359</v>
      </c>
      <c r="B93" s="324" t="str">
        <f>NhanCong!B$61</f>
        <v>Công tác chuẩn bị</v>
      </c>
      <c r="C93" s="319" t="s">
        <v>317</v>
      </c>
      <c r="D93" s="319" t="s">
        <v>622</v>
      </c>
      <c r="E93" s="301">
        <f>NhanCong!I$61</f>
        <v>569148.80000000016</v>
      </c>
      <c r="F93" s="301">
        <f>NhanCong!I$62</f>
        <v>36384.61538461539</v>
      </c>
      <c r="G93" s="320">
        <f>Dcu!M$102*0.4</f>
        <v>39512.98076923078</v>
      </c>
      <c r="H93" s="320">
        <f>VLieu!K$66</f>
        <v>2754435</v>
      </c>
      <c r="I93" s="320"/>
      <c r="J93" s="320"/>
      <c r="K93" s="320">
        <f>SUM(E93:J93)</f>
        <v>3399481.3961538463</v>
      </c>
      <c r="L93" s="320">
        <f>K93*0.25</f>
        <v>849870.34903846157</v>
      </c>
      <c r="M93" s="321">
        <f>K93+L93</f>
        <v>4249351.745192308</v>
      </c>
      <c r="N93" s="321"/>
      <c r="O93" s="320">
        <f>NhanCong!J$61</f>
        <v>15569.23076923077</v>
      </c>
    </row>
    <row r="94" spans="1:15">
      <c r="A94" s="1041" t="s">
        <v>269</v>
      </c>
      <c r="B94" s="1038" t="str">
        <f>NhanCong!B$63</f>
        <v>Lập lưới khống chế đo vẽ</v>
      </c>
      <c r="C94" s="1039" t="s">
        <v>317</v>
      </c>
      <c r="D94" s="319">
        <v>1</v>
      </c>
      <c r="E94" s="301">
        <f>NhanCong!I$63</f>
        <v>3780705.5000000009</v>
      </c>
      <c r="F94" s="301"/>
      <c r="G94" s="320">
        <f>Dcu!M$82</f>
        <v>24477.427350427348</v>
      </c>
      <c r="H94" s="320">
        <f>VLieu!K$67</f>
        <v>1836290</v>
      </c>
      <c r="I94" s="320">
        <f>TBi!N$30</f>
        <v>59028.571428571428</v>
      </c>
      <c r="J94" s="320">
        <f>TBi!N$34</f>
        <v>712.32</v>
      </c>
      <c r="K94" s="320">
        <f t="shared" ref="K94:K113" si="36">SUM(E94:J94)</f>
        <v>5701213.8187790001</v>
      </c>
      <c r="L94" s="320">
        <f t="shared" ref="L94:L113" si="37">K94*0.25</f>
        <v>1425303.45469475</v>
      </c>
      <c r="M94" s="321">
        <f t="shared" ref="M94:M113" si="38">K94+L94</f>
        <v>7126517.2734737499</v>
      </c>
      <c r="N94" s="320"/>
      <c r="O94" s="320">
        <f>NhanCong!J$63</f>
        <v>107038.46153846155</v>
      </c>
    </row>
    <row r="95" spans="1:15">
      <c r="A95" s="1041"/>
      <c r="B95" s="1038"/>
      <c r="C95" s="1039"/>
      <c r="D95" s="319">
        <v>2</v>
      </c>
      <c r="E95" s="301">
        <f>NhanCong!I$64</f>
        <v>4231812.4062500009</v>
      </c>
      <c r="F95" s="301"/>
      <c r="G95" s="320">
        <f>Dcu!M$83</f>
        <v>27537.105769230766</v>
      </c>
      <c r="H95" s="320">
        <f>VLieu!K$67</f>
        <v>1836290</v>
      </c>
      <c r="I95" s="320">
        <f>TBi!O$30</f>
        <v>68036.57142857142</v>
      </c>
      <c r="J95" s="320">
        <f>TBi!O$34</f>
        <v>712.32</v>
      </c>
      <c r="K95" s="320">
        <f t="shared" si="36"/>
        <v>6164388.403447804</v>
      </c>
      <c r="L95" s="320">
        <f t="shared" si="37"/>
        <v>1541097.100861951</v>
      </c>
      <c r="M95" s="321">
        <f t="shared" si="38"/>
        <v>7705485.5043097548</v>
      </c>
      <c r="N95" s="320"/>
      <c r="O95" s="320">
        <f>NhanCong!J$64</f>
        <v>119810.09615384616</v>
      </c>
    </row>
    <row r="96" spans="1:15">
      <c r="A96" s="1041"/>
      <c r="B96" s="1038"/>
      <c r="C96" s="1039"/>
      <c r="D96" s="319">
        <v>3</v>
      </c>
      <c r="E96" s="301">
        <f>NhanCong!I$65</f>
        <v>4661438.0312500009</v>
      </c>
      <c r="F96" s="301"/>
      <c r="G96" s="320">
        <f>Dcu!M$84</f>
        <v>30596.784188034184</v>
      </c>
      <c r="H96" s="320">
        <f>VLieu!K$67</f>
        <v>1836290</v>
      </c>
      <c r="I96" s="320">
        <f>TBi!P$30</f>
        <v>75355.571428571435</v>
      </c>
      <c r="J96" s="320">
        <f>TBi!P$34</f>
        <v>712.32</v>
      </c>
      <c r="K96" s="320">
        <f t="shared" si="36"/>
        <v>6604392.7068666071</v>
      </c>
      <c r="L96" s="320">
        <f t="shared" si="37"/>
        <v>1651098.1767166518</v>
      </c>
      <c r="M96" s="321">
        <f t="shared" si="38"/>
        <v>8255490.8835832588</v>
      </c>
      <c r="N96" s="320"/>
      <c r="O96" s="320">
        <f>NhanCong!J$65</f>
        <v>131973.55769230769</v>
      </c>
    </row>
    <row r="97" spans="1:15">
      <c r="A97" s="1041"/>
      <c r="B97" s="1038"/>
      <c r="C97" s="1039"/>
      <c r="D97" s="319">
        <v>4</v>
      </c>
      <c r="E97" s="301">
        <f>NhanCong!I$66</f>
        <v>5219951.3437500019</v>
      </c>
      <c r="F97" s="301"/>
      <c r="G97" s="320">
        <f>Dcu!M$85</f>
        <v>35186.301816239305</v>
      </c>
      <c r="H97" s="320">
        <f>VLieu!K$67</f>
        <v>1836290</v>
      </c>
      <c r="I97" s="320">
        <f>TBi!Q$30</f>
        <v>83800.571428571435</v>
      </c>
      <c r="J97" s="320">
        <f>TBi!Q$34</f>
        <v>712.32</v>
      </c>
      <c r="K97" s="320">
        <f t="shared" si="36"/>
        <v>7175940.536994813</v>
      </c>
      <c r="L97" s="320">
        <f t="shared" si="37"/>
        <v>1793985.1342487033</v>
      </c>
      <c r="M97" s="321">
        <f t="shared" si="38"/>
        <v>8969925.6712435167</v>
      </c>
      <c r="N97" s="320"/>
      <c r="O97" s="320">
        <f>NhanCong!J$66</f>
        <v>147786.05769230769</v>
      </c>
    </row>
    <row r="98" spans="1:15">
      <c r="A98" s="1041" t="s">
        <v>36</v>
      </c>
      <c r="B98" s="1038" t="str">
        <f>NhanCong!B$68</f>
        <v>Xác định ranh giới thửa đất trên thực địa</v>
      </c>
      <c r="C98" s="1039" t="s">
        <v>317</v>
      </c>
      <c r="D98" s="319">
        <v>1</v>
      </c>
      <c r="E98" s="301">
        <f>NhanCong!I$68</f>
        <v>7956666.5750000011</v>
      </c>
      <c r="F98" s="301">
        <f>NhanCong!I$69</f>
        <v>1684607.6923076925</v>
      </c>
      <c r="G98" s="320">
        <f>Dcu!M$103*0.4</f>
        <v>27659.086538461539</v>
      </c>
      <c r="H98" s="320">
        <f>VLieu!K$68</f>
        <v>4590725</v>
      </c>
      <c r="I98" s="320"/>
      <c r="J98" s="320"/>
      <c r="K98" s="320">
        <f>SUM(E98:J98)</f>
        <v>14259658.353846155</v>
      </c>
      <c r="L98" s="320">
        <f t="shared" si="37"/>
        <v>3564914.5884615388</v>
      </c>
      <c r="M98" s="321">
        <f t="shared" si="38"/>
        <v>17824572.942307696</v>
      </c>
      <c r="N98" s="320"/>
      <c r="O98" s="320">
        <f>NhanCong!J$68</f>
        <v>225267.30769230769</v>
      </c>
    </row>
    <row r="99" spans="1:15">
      <c r="A99" s="1041"/>
      <c r="B99" s="1038"/>
      <c r="C99" s="1039"/>
      <c r="D99" s="319">
        <v>2</v>
      </c>
      <c r="E99" s="301">
        <f>NhanCong!I$70</f>
        <v>9546281.3875000011</v>
      </c>
      <c r="F99" s="301">
        <f>NhanCong!I$71</f>
        <v>2021165.3846153847</v>
      </c>
      <c r="G99" s="320">
        <f>Dcu!M$104*0.4</f>
        <v>33586.033653846156</v>
      </c>
      <c r="H99" s="320">
        <f>VLieu!K$68</f>
        <v>4590725</v>
      </c>
      <c r="I99" s="320"/>
      <c r="J99" s="320"/>
      <c r="K99" s="320">
        <f t="shared" si="36"/>
        <v>16191757.805769231</v>
      </c>
      <c r="L99" s="320">
        <f t="shared" si="37"/>
        <v>4047939.4514423078</v>
      </c>
      <c r="M99" s="321">
        <f t="shared" si="38"/>
        <v>20239697.25721154</v>
      </c>
      <c r="N99" s="320"/>
      <c r="O99" s="320">
        <f>NhanCong!J$70</f>
        <v>270272.11538461538</v>
      </c>
    </row>
    <row r="100" spans="1:15">
      <c r="A100" s="1041"/>
      <c r="B100" s="1038"/>
      <c r="C100" s="1039"/>
      <c r="D100" s="319">
        <v>3</v>
      </c>
      <c r="E100" s="301">
        <f>NhanCong!I$72</f>
        <v>11092933.637500003</v>
      </c>
      <c r="F100" s="301">
        <f>NhanCong!I$73</f>
        <v>2348626.9230769235</v>
      </c>
      <c r="G100" s="320">
        <f>Dcu!M$105*0.4</f>
        <v>39512.98076923078</v>
      </c>
      <c r="H100" s="320">
        <f>VLieu!K$68</f>
        <v>4590725</v>
      </c>
      <c r="I100" s="320"/>
      <c r="J100" s="320"/>
      <c r="K100" s="320">
        <f t="shared" si="36"/>
        <v>18071798.541346155</v>
      </c>
      <c r="L100" s="320">
        <f t="shared" si="37"/>
        <v>4517949.6353365388</v>
      </c>
      <c r="M100" s="321">
        <f t="shared" si="38"/>
        <v>22589748.176682696</v>
      </c>
      <c r="N100" s="320"/>
      <c r="O100" s="320">
        <f>NhanCong!J$72</f>
        <v>314060.57692307694</v>
      </c>
    </row>
    <row r="101" spans="1:15">
      <c r="A101" s="1041"/>
      <c r="B101" s="1038"/>
      <c r="C101" s="1039"/>
      <c r="D101" s="319">
        <v>4</v>
      </c>
      <c r="E101" s="301">
        <f>NhanCong!I$74</f>
        <v>12605215.837500002</v>
      </c>
      <c r="F101" s="301">
        <f>NhanCong!I$75</f>
        <v>2668811.5384615385</v>
      </c>
      <c r="G101" s="320">
        <f>Dcu!M$106*0.4</f>
        <v>47415.576923076929</v>
      </c>
      <c r="H101" s="320">
        <f>VLieu!K$68</f>
        <v>4590725</v>
      </c>
      <c r="I101" s="320"/>
      <c r="J101" s="320"/>
      <c r="K101" s="320">
        <f t="shared" si="36"/>
        <v>19912167.952884614</v>
      </c>
      <c r="L101" s="320">
        <f t="shared" si="37"/>
        <v>4978041.9882211536</v>
      </c>
      <c r="M101" s="321">
        <f t="shared" si="38"/>
        <v>24890209.941105768</v>
      </c>
      <c r="N101" s="320"/>
      <c r="O101" s="320">
        <f>NhanCong!J$74</f>
        <v>356875.96153846156</v>
      </c>
    </row>
    <row r="102" spans="1:15">
      <c r="A102" s="1041" t="s">
        <v>270</v>
      </c>
      <c r="B102" s="1038" t="str">
        <f>NhanCong!B$78</f>
        <v>Đo đạc ranh giới thửa đất và các đối tượng địa lý có liên quan</v>
      </c>
      <c r="C102" s="1039" t="s">
        <v>317</v>
      </c>
      <c r="D102" s="319" t="s">
        <v>18</v>
      </c>
      <c r="E102" s="301">
        <f>NhanCong!I$78</f>
        <v>12802843.625000004</v>
      </c>
      <c r="F102" s="301">
        <f>NhanCong!I$79</f>
        <v>542130.76923076925</v>
      </c>
      <c r="G102" s="320">
        <f>Dcu!M$103</f>
        <v>69147.716346153844</v>
      </c>
      <c r="H102" s="320">
        <f>VLieu!K$69</f>
        <v>4590725</v>
      </c>
      <c r="I102" s="320">
        <f>TBi!N$62</f>
        <v>239838</v>
      </c>
      <c r="J102" s="320"/>
      <c r="K102" s="320">
        <f t="shared" si="36"/>
        <v>18244685.110576928</v>
      </c>
      <c r="L102" s="320">
        <f t="shared" si="37"/>
        <v>4561171.2776442319</v>
      </c>
      <c r="M102" s="321">
        <f t="shared" si="38"/>
        <v>22805856.38822116</v>
      </c>
      <c r="N102" s="320"/>
      <c r="O102" s="320">
        <f>NhanCong!J$78</f>
        <v>362471.15384615381</v>
      </c>
    </row>
    <row r="103" spans="1:15">
      <c r="A103" s="1041"/>
      <c r="B103" s="1038"/>
      <c r="C103" s="1039"/>
      <c r="D103" s="319" t="s">
        <v>20</v>
      </c>
      <c r="E103" s="301">
        <f>NhanCong!I$80</f>
        <v>15380597.375000006</v>
      </c>
      <c r="F103" s="301">
        <f>NhanCong!I$81</f>
        <v>649465.38461538462</v>
      </c>
      <c r="G103" s="320">
        <f>Dcu!M$104</f>
        <v>83965.08413461539</v>
      </c>
      <c r="H103" s="320">
        <f>VLieu!K$69</f>
        <v>4590725</v>
      </c>
      <c r="I103" s="320">
        <f>TBi!O$62</f>
        <v>278122</v>
      </c>
      <c r="J103" s="320"/>
      <c r="K103" s="320">
        <f t="shared" si="36"/>
        <v>20982874.843750007</v>
      </c>
      <c r="L103" s="320">
        <f t="shared" si="37"/>
        <v>5245718.7109375019</v>
      </c>
      <c r="M103" s="321">
        <f t="shared" si="38"/>
        <v>26228593.554687507</v>
      </c>
      <c r="N103" s="320"/>
      <c r="O103" s="320">
        <f>NhanCong!J$80</f>
        <v>435451.92307692306</v>
      </c>
    </row>
    <row r="104" spans="1:15">
      <c r="A104" s="1041"/>
      <c r="B104" s="1038"/>
      <c r="C104" s="1039"/>
      <c r="D104" s="319" t="s">
        <v>35</v>
      </c>
      <c r="E104" s="301">
        <f>NhanCong!I$82</f>
        <v>18452420.593750004</v>
      </c>
      <c r="F104" s="301">
        <f>NhanCong!I$83</f>
        <v>780450.00000000012</v>
      </c>
      <c r="G104" s="320">
        <f>Dcu!M$105</f>
        <v>98782.451923076937</v>
      </c>
      <c r="H104" s="320">
        <f>VLieu!K$69</f>
        <v>4590725</v>
      </c>
      <c r="I104" s="320">
        <f>TBi!P$62</f>
        <v>345119</v>
      </c>
      <c r="J104" s="320"/>
      <c r="K104" s="320">
        <f t="shared" si="36"/>
        <v>24267497.04567308</v>
      </c>
      <c r="L104" s="320">
        <f t="shared" si="37"/>
        <v>6066874.2614182699</v>
      </c>
      <c r="M104" s="321">
        <f t="shared" si="38"/>
        <v>30334371.307091348</v>
      </c>
      <c r="N104" s="320"/>
      <c r="O104" s="320">
        <f>NhanCong!J$82</f>
        <v>522420.67307692312</v>
      </c>
    </row>
    <row r="105" spans="1:15">
      <c r="A105" s="1041"/>
      <c r="B105" s="1038"/>
      <c r="C105" s="1039"/>
      <c r="D105" s="319" t="s">
        <v>33</v>
      </c>
      <c r="E105" s="301">
        <f>NhanCong!I$84</f>
        <v>22147200.968750007</v>
      </c>
      <c r="F105" s="301">
        <f>NhanCong!I$85</f>
        <v>936903.84615384624</v>
      </c>
      <c r="G105" s="320">
        <f>Dcu!M$106</f>
        <v>118538.94230769231</v>
      </c>
      <c r="H105" s="320">
        <f>VLieu!K$69</f>
        <v>4590725</v>
      </c>
      <c r="I105" s="320">
        <f>TBi!Q$62</f>
        <v>414368</v>
      </c>
      <c r="J105" s="320"/>
      <c r="K105" s="320">
        <f t="shared" si="36"/>
        <v>28207736.757211547</v>
      </c>
      <c r="L105" s="320">
        <f t="shared" si="37"/>
        <v>7051934.1893028868</v>
      </c>
      <c r="M105" s="321">
        <f t="shared" si="38"/>
        <v>35259670.946514435</v>
      </c>
      <c r="N105" s="320"/>
      <c r="O105" s="320">
        <f>NhanCong!J$84</f>
        <v>627026.44230769237</v>
      </c>
    </row>
    <row r="106" spans="1:15">
      <c r="A106" s="1041" t="s">
        <v>363</v>
      </c>
      <c r="B106" s="1038" t="str">
        <f>NhanCong!B$88</f>
        <v>Đối soát, kiểm tra</v>
      </c>
      <c r="C106" s="1039" t="s">
        <v>317</v>
      </c>
      <c r="D106" s="319" t="s">
        <v>18</v>
      </c>
      <c r="E106" s="301">
        <f>NhanCong!I$88</f>
        <v>386663.06250000012</v>
      </c>
      <c r="F106" s="301">
        <f>NhanCong!I$89</f>
        <v>107334.61538461539</v>
      </c>
      <c r="G106" s="320">
        <f>Dcu!M$103*0.4</f>
        <v>27659.086538461539</v>
      </c>
      <c r="H106" s="320">
        <f>VLieu!K$70</f>
        <v>2387177</v>
      </c>
      <c r="I106" s="320"/>
      <c r="J106" s="320"/>
      <c r="K106" s="320">
        <f t="shared" si="36"/>
        <v>2908833.764423077</v>
      </c>
      <c r="L106" s="320">
        <f t="shared" si="37"/>
        <v>727208.44110576925</v>
      </c>
      <c r="M106" s="321">
        <f t="shared" si="38"/>
        <v>3636042.205528846</v>
      </c>
      <c r="N106" s="320"/>
      <c r="O106" s="320">
        <f>NhanCong!J$88</f>
        <v>10947.115384615387</v>
      </c>
    </row>
    <row r="107" spans="1:15">
      <c r="A107" s="1041"/>
      <c r="B107" s="1038"/>
      <c r="C107" s="1039"/>
      <c r="D107" s="319" t="s">
        <v>20</v>
      </c>
      <c r="E107" s="301">
        <f>NhanCong!I$90</f>
        <v>472588.18750000012</v>
      </c>
      <c r="F107" s="301">
        <f>NhanCong!I$91</f>
        <v>129165.38461538462</v>
      </c>
      <c r="G107" s="320">
        <f>Dcu!M$104*0.4</f>
        <v>33586.033653846156</v>
      </c>
      <c r="H107" s="320">
        <f>VLieu!K$70</f>
        <v>2387177</v>
      </c>
      <c r="I107" s="320"/>
      <c r="J107" s="320"/>
      <c r="K107" s="320">
        <f t="shared" si="36"/>
        <v>3022516.605769231</v>
      </c>
      <c r="L107" s="320">
        <f t="shared" si="37"/>
        <v>755629.15144230775</v>
      </c>
      <c r="M107" s="321">
        <f t="shared" si="38"/>
        <v>3778145.757211539</v>
      </c>
      <c r="N107" s="320"/>
      <c r="O107" s="320">
        <f>NhanCong!J$90</f>
        <v>13379.807692307693</v>
      </c>
    </row>
    <row r="108" spans="1:15">
      <c r="A108" s="1041"/>
      <c r="B108" s="1038"/>
      <c r="C108" s="1039"/>
      <c r="D108" s="319" t="s">
        <v>35</v>
      </c>
      <c r="E108" s="301">
        <f>NhanCong!I$92</f>
        <v>579994.59375000012</v>
      </c>
      <c r="F108" s="301">
        <f>NhanCong!I$93</f>
        <v>160092.30769230772</v>
      </c>
      <c r="G108" s="320">
        <f>Dcu!M$105*0.4</f>
        <v>39512.98076923078</v>
      </c>
      <c r="H108" s="320">
        <f>VLieu!K$70</f>
        <v>2387177</v>
      </c>
      <c r="I108" s="320"/>
      <c r="J108" s="320"/>
      <c r="K108" s="320">
        <f t="shared" si="36"/>
        <v>3166776.8822115385</v>
      </c>
      <c r="L108" s="320">
        <f t="shared" si="37"/>
        <v>791694.22055288462</v>
      </c>
      <c r="M108" s="321">
        <f t="shared" si="38"/>
        <v>3958471.102764423</v>
      </c>
      <c r="N108" s="320"/>
      <c r="O108" s="320">
        <f>NhanCong!J$92</f>
        <v>16420.673076923078</v>
      </c>
    </row>
    <row r="109" spans="1:15">
      <c r="A109" s="1041"/>
      <c r="B109" s="1038"/>
      <c r="C109" s="1039"/>
      <c r="D109" s="319" t="s">
        <v>33</v>
      </c>
      <c r="E109" s="301">
        <f>NhanCong!I$94</f>
        <v>734659.81875000009</v>
      </c>
      <c r="F109" s="301">
        <f>NhanCong!I$95</f>
        <v>192838.46153846156</v>
      </c>
      <c r="G109" s="320">
        <f>Dcu!M$106*0.4</f>
        <v>47415.576923076929</v>
      </c>
      <c r="H109" s="320">
        <f>VLieu!K$70</f>
        <v>2387177</v>
      </c>
      <c r="I109" s="320"/>
      <c r="J109" s="320"/>
      <c r="K109" s="320">
        <f t="shared" si="36"/>
        <v>3362090.8572115386</v>
      </c>
      <c r="L109" s="320">
        <f t="shared" si="37"/>
        <v>840522.71430288465</v>
      </c>
      <c r="M109" s="321">
        <f t="shared" si="38"/>
        <v>4202613.571514423</v>
      </c>
      <c r="N109" s="320"/>
      <c r="O109" s="320">
        <f>NhanCong!J$94</f>
        <v>20799.519230769227</v>
      </c>
    </row>
    <row r="110" spans="1:15">
      <c r="A110" s="1041" t="s">
        <v>364</v>
      </c>
      <c r="B110" s="1038" t="str">
        <f>NhanCong!B$98</f>
        <v>Giao nhận Phiếu kết quả đo đạc hiện trạng thửa đất</v>
      </c>
      <c r="C110" s="1039" t="s">
        <v>317</v>
      </c>
      <c r="D110" s="319" t="s">
        <v>18</v>
      </c>
      <c r="E110" s="301">
        <f>NhanCong!I$98</f>
        <v>1770057.5750000004</v>
      </c>
      <c r="F110" s="301">
        <f>NhanCong!I$99</f>
        <v>749523.07692307699</v>
      </c>
      <c r="G110" s="320">
        <f>Dcu!M$103*0.4</f>
        <v>27659.086538461539</v>
      </c>
      <c r="H110" s="320">
        <f>VLieu!K$71</f>
        <v>2387177</v>
      </c>
      <c r="I110" s="320"/>
      <c r="J110" s="320"/>
      <c r="K110" s="320">
        <f t="shared" si="36"/>
        <v>4934416.7384615391</v>
      </c>
      <c r="L110" s="320">
        <f t="shared" si="37"/>
        <v>1233604.1846153848</v>
      </c>
      <c r="M110" s="321">
        <f t="shared" si="38"/>
        <v>6168020.9230769239</v>
      </c>
      <c r="N110" s="320"/>
      <c r="O110" s="320">
        <f>NhanCong!J$98</f>
        <v>50113.461538461546</v>
      </c>
    </row>
    <row r="111" spans="1:15">
      <c r="A111" s="1041"/>
      <c r="B111" s="1038"/>
      <c r="C111" s="1039"/>
      <c r="D111" s="319" t="s">
        <v>20</v>
      </c>
      <c r="E111" s="301">
        <f>NhanCong!I$100</f>
        <v>2126646.8437500005</v>
      </c>
      <c r="F111" s="301">
        <f>NhanCong!I$101</f>
        <v>900519.23076923087</v>
      </c>
      <c r="G111" s="320">
        <f>Dcu!M$104*0.4</f>
        <v>33586.033653846156</v>
      </c>
      <c r="H111" s="320">
        <f>VLieu!K$71</f>
        <v>2387177</v>
      </c>
      <c r="I111" s="320"/>
      <c r="J111" s="320"/>
      <c r="K111" s="320">
        <f t="shared" si="36"/>
        <v>5447929.1081730779</v>
      </c>
      <c r="L111" s="320">
        <f t="shared" si="37"/>
        <v>1361982.2770432695</v>
      </c>
      <c r="M111" s="321">
        <f t="shared" si="38"/>
        <v>6809911.3852163479</v>
      </c>
      <c r="N111" s="320"/>
      <c r="O111" s="320">
        <f>NhanCong!J$100</f>
        <v>60209.134615384617</v>
      </c>
    </row>
    <row r="112" spans="1:15">
      <c r="A112" s="1041"/>
      <c r="B112" s="1038"/>
      <c r="C112" s="1039"/>
      <c r="D112" s="319" t="s">
        <v>35</v>
      </c>
      <c r="E112" s="301">
        <f>NhanCong!I$102</f>
        <v>2551976.2125000004</v>
      </c>
      <c r="F112" s="301">
        <f>NhanCong!I$103</f>
        <v>1080623.076923077</v>
      </c>
      <c r="G112" s="320">
        <f>Dcu!M$105*0.4</f>
        <v>39512.98076923078</v>
      </c>
      <c r="H112" s="320">
        <f>VLieu!K$71</f>
        <v>2387177</v>
      </c>
      <c r="I112" s="320"/>
      <c r="J112" s="320"/>
      <c r="K112" s="320">
        <f t="shared" si="36"/>
        <v>6059289.2701923084</v>
      </c>
      <c r="L112" s="320">
        <f t="shared" si="37"/>
        <v>1514822.3175480771</v>
      </c>
      <c r="M112" s="321">
        <f t="shared" si="38"/>
        <v>7574111.5877403859</v>
      </c>
      <c r="N112" s="320"/>
      <c r="O112" s="320">
        <f>NhanCong!J$102</f>
        <v>72250.961538461546</v>
      </c>
    </row>
    <row r="113" spans="1:15">
      <c r="A113" s="1041"/>
      <c r="B113" s="1038"/>
      <c r="C113" s="1039"/>
      <c r="D113" s="319" t="s">
        <v>33</v>
      </c>
      <c r="E113" s="301">
        <f>NhanCong!I$104</f>
        <v>3063230.7062500007</v>
      </c>
      <c r="F113" s="301">
        <f>NhanCong!I$105</f>
        <v>1297111.5384615385</v>
      </c>
      <c r="G113" s="320">
        <f>Dcu!M$106*0.4</f>
        <v>47415.576923076929</v>
      </c>
      <c r="H113" s="320">
        <f>VLieu!K$71</f>
        <v>2387177</v>
      </c>
      <c r="I113" s="320"/>
      <c r="J113" s="320"/>
      <c r="K113" s="320">
        <f t="shared" si="36"/>
        <v>6794934.8216346158</v>
      </c>
      <c r="L113" s="320">
        <f t="shared" si="37"/>
        <v>1698733.7054086539</v>
      </c>
      <c r="M113" s="321">
        <f t="shared" si="38"/>
        <v>8493668.5270432699</v>
      </c>
      <c r="N113" s="320"/>
      <c r="O113" s="320">
        <f>NhanCong!J$104</f>
        <v>86725.480769230766</v>
      </c>
    </row>
    <row r="114" spans="1:15" ht="13.5" customHeight="1">
      <c r="A114" s="298">
        <v>2</v>
      </c>
      <c r="B114" s="316" t="s">
        <v>58</v>
      </c>
      <c r="C114" s="319" t="s">
        <v>43</v>
      </c>
      <c r="D114" s="319"/>
      <c r="E114" s="301">
        <f>NhanCong!I$108</f>
        <v>0</v>
      </c>
      <c r="F114" s="301"/>
      <c r="G114" s="320"/>
      <c r="H114" s="320"/>
      <c r="I114" s="320"/>
      <c r="J114" s="320"/>
      <c r="K114" s="320">
        <f>E114+F114+G114+I114+J114</f>
        <v>0</v>
      </c>
      <c r="L114" s="320"/>
      <c r="M114" s="321"/>
      <c r="N114" s="320"/>
      <c r="O114" s="320"/>
    </row>
    <row r="115" spans="1:15">
      <c r="A115" s="1041" t="s">
        <v>268</v>
      </c>
      <c r="B115" s="1038" t="str">
        <f>NhanCong!B$109</f>
        <v>Biên tập bản đồ địa chính</v>
      </c>
      <c r="C115" s="1039" t="s">
        <v>317</v>
      </c>
      <c r="D115" s="319" t="s">
        <v>18</v>
      </c>
      <c r="E115" s="301">
        <f>NhanCong!I$109</f>
        <v>1402298.0400000003</v>
      </c>
      <c r="F115" s="301"/>
      <c r="G115" s="320">
        <f>Dcu!M$123</f>
        <v>7326.9277606837604</v>
      </c>
      <c r="H115" s="320">
        <f>VLieu!K$90</f>
        <v>354695</v>
      </c>
      <c r="I115" s="320">
        <f>TBi!N$87</f>
        <v>118444.60357142857</v>
      </c>
      <c r="J115" s="320">
        <f>TBi!N$93</f>
        <v>49773.36</v>
      </c>
      <c r="K115" s="320">
        <f>SUM(E115:J115)</f>
        <v>1932537.9313321125</v>
      </c>
      <c r="L115" s="320">
        <f>K115*0.15</f>
        <v>289880.68969981687</v>
      </c>
      <c r="M115" s="321">
        <f>K115+L115</f>
        <v>2222418.6210319293</v>
      </c>
      <c r="N115" s="320"/>
      <c r="O115" s="320">
        <f>NhanCong!J$109</f>
        <v>39701.538461538461</v>
      </c>
    </row>
    <row r="116" spans="1:15">
      <c r="A116" s="1041"/>
      <c r="B116" s="1038"/>
      <c r="C116" s="1039"/>
      <c r="D116" s="319" t="s">
        <v>20</v>
      </c>
      <c r="E116" s="301">
        <f>NhanCong!I$110</f>
        <v>1697880.4700000004</v>
      </c>
      <c r="F116" s="301"/>
      <c r="G116" s="320">
        <f>Dcu!M$124</f>
        <v>8896.9837094017093</v>
      </c>
      <c r="H116" s="320">
        <f>VLieu!K$90</f>
        <v>354695</v>
      </c>
      <c r="I116" s="320">
        <f>TBi!O$87</f>
        <v>142590.73285714287</v>
      </c>
      <c r="J116" s="320">
        <f>TBi!O$93</f>
        <v>60658.5</v>
      </c>
      <c r="K116" s="320">
        <f t="shared" ref="K116:K124" si="39">SUM(E116:J116)</f>
        <v>2264721.6865665452</v>
      </c>
      <c r="L116" s="320">
        <f>K116*0.15</f>
        <v>339708.25298498175</v>
      </c>
      <c r="M116" s="321">
        <f t="shared" ref="M116:M124" si="40">K116+L116</f>
        <v>2604429.9395515267</v>
      </c>
      <c r="N116" s="320"/>
      <c r="O116" s="320">
        <f>NhanCong!J$110</f>
        <v>48070</v>
      </c>
    </row>
    <row r="117" spans="1:15">
      <c r="A117" s="1041"/>
      <c r="B117" s="1038"/>
      <c r="C117" s="1039"/>
      <c r="D117" s="319" t="s">
        <v>35</v>
      </c>
      <c r="E117" s="301">
        <f>NhanCong!I$111</f>
        <v>1965966.8600000003</v>
      </c>
      <c r="F117" s="301"/>
      <c r="G117" s="320">
        <f>Dcu!M$125</f>
        <v>10467.039658119658</v>
      </c>
      <c r="H117" s="320">
        <f>VLieu!K$90</f>
        <v>354695</v>
      </c>
      <c r="I117" s="320">
        <f>TBi!P$87</f>
        <v>164829.38928571431</v>
      </c>
      <c r="J117" s="320">
        <f>TBi!P$93</f>
        <v>70519.679999999993</v>
      </c>
      <c r="K117" s="320">
        <f t="shared" si="39"/>
        <v>2566477.9689438348</v>
      </c>
      <c r="L117" s="320">
        <f>K117*0.15</f>
        <v>384971.69534157519</v>
      </c>
      <c r="M117" s="321">
        <f t="shared" si="40"/>
        <v>2951449.6642854102</v>
      </c>
      <c r="N117" s="320"/>
      <c r="O117" s="320">
        <f>NhanCong!J$111</f>
        <v>55659.999999999993</v>
      </c>
    </row>
    <row r="118" spans="1:15">
      <c r="A118" s="1041"/>
      <c r="B118" s="1038"/>
      <c r="C118" s="1039"/>
      <c r="D118" s="319" t="s">
        <v>33</v>
      </c>
      <c r="E118" s="301">
        <f>NhanCong!I$112</f>
        <v>2433399.5400000005</v>
      </c>
      <c r="F118" s="301"/>
      <c r="G118" s="320">
        <f>Dcu!M$126</f>
        <v>13083.799572649572</v>
      </c>
      <c r="H118" s="320">
        <f>VLieu!K$90</f>
        <v>354695</v>
      </c>
      <c r="I118" s="320">
        <f>TBi!Q$87</f>
        <v>203622.17071428572</v>
      </c>
      <c r="J118" s="320">
        <f>TBi!Q$93</f>
        <v>87593.1</v>
      </c>
      <c r="K118" s="320">
        <f t="shared" si="39"/>
        <v>3092393.6102869357</v>
      </c>
      <c r="L118" s="320">
        <f>K118*0.15</f>
        <v>463859.04154304037</v>
      </c>
      <c r="M118" s="321">
        <f t="shared" si="40"/>
        <v>3556252.6518299761</v>
      </c>
      <c r="N118" s="320"/>
      <c r="O118" s="320">
        <f>NhanCong!J$112</f>
        <v>68893.846153846156</v>
      </c>
    </row>
    <row r="119" spans="1:15" ht="26">
      <c r="A119" s="323">
        <v>2.2000000000000002</v>
      </c>
      <c r="B119" s="324" t="str">
        <f>NhanCong!B$114</f>
        <v>Lập Phiếu xác nhận kết quả đo đạc hiện trạng thửa đất</v>
      </c>
      <c r="C119" s="319" t="s">
        <v>317</v>
      </c>
      <c r="D119" s="319" t="s">
        <v>679</v>
      </c>
      <c r="E119" s="301">
        <f>NhanCong!I$114</f>
        <v>591164.8600000001</v>
      </c>
      <c r="F119" s="301"/>
      <c r="G119" s="320">
        <f>Dcu!M$138</f>
        <v>2531.6133333333332</v>
      </c>
      <c r="H119" s="320">
        <f>VLieu!K$91</f>
        <v>290205</v>
      </c>
      <c r="I119" s="320">
        <f>TBi!N$130</f>
        <v>15882.060714285715</v>
      </c>
      <c r="J119" s="320">
        <f>TBi!N$133</f>
        <v>13578.599999999999</v>
      </c>
      <c r="K119" s="320">
        <f>SUM(E119:J119)</f>
        <v>913362.13404761907</v>
      </c>
      <c r="L119" s="320">
        <f t="shared" ref="L119:L124" si="41">K119*0.15</f>
        <v>137004.32010714285</v>
      </c>
      <c r="M119" s="321">
        <f>K119+L119</f>
        <v>1050366.454154762</v>
      </c>
      <c r="N119" s="320"/>
      <c r="O119" s="320">
        <f>NhanCong!J$114</f>
        <v>16736.923076923074</v>
      </c>
    </row>
    <row r="120" spans="1:15" ht="30" customHeight="1">
      <c r="A120" s="323">
        <v>2.2999999999999998</v>
      </c>
      <c r="B120" s="324" t="str">
        <f>NhanCong!B$115</f>
        <v>Công khai bản đồ địa chính, Hoàn thiện bản đồ địa chính</v>
      </c>
      <c r="C120" s="319" t="s">
        <v>317</v>
      </c>
      <c r="D120" s="319" t="s">
        <v>679</v>
      </c>
      <c r="E120" s="301">
        <f>NhanCong!I$115</f>
        <v>673652.9800000001</v>
      </c>
      <c r="F120" s="301"/>
      <c r="G120" s="320">
        <f>Dcu!M$130</f>
        <v>3663.4638803418802</v>
      </c>
      <c r="H120" s="320">
        <f>VLieu!K$94</f>
        <v>128980</v>
      </c>
      <c r="I120" s="320">
        <f>TBi!N$156</f>
        <v>15614.321428571429</v>
      </c>
      <c r="J120" s="320">
        <f>TBi!N$159</f>
        <v>20590.5</v>
      </c>
      <c r="K120" s="320">
        <f>SUM(E120:J120)</f>
        <v>842501.26530891343</v>
      </c>
      <c r="L120" s="320">
        <f t="shared" si="41"/>
        <v>126375.18979633701</v>
      </c>
      <c r="M120" s="321">
        <f t="shared" ref="M120" si="42">K120+L120</f>
        <v>968876.45510525047</v>
      </c>
      <c r="N120" s="320"/>
      <c r="O120" s="320">
        <f>NhanCong!J$115</f>
        <v>19072.307692307691</v>
      </c>
    </row>
    <row r="121" spans="1:15">
      <c r="A121" s="323">
        <v>2.4</v>
      </c>
      <c r="B121" s="324" t="str">
        <f>NhanCong!B$116</f>
        <v>Lập sổ mục kê đất đai phạm vi khu đo</v>
      </c>
      <c r="C121" s="319" t="s">
        <v>317</v>
      </c>
      <c r="D121" s="319" t="s">
        <v>679</v>
      </c>
      <c r="E121" s="301">
        <f>NhanCong!I$116</f>
        <v>34370.05000000001</v>
      </c>
      <c r="F121" s="301"/>
      <c r="G121" s="320">
        <f>Dcu!M$140</f>
        <v>3140.1118974358974</v>
      </c>
      <c r="H121" s="320">
        <f>VLieu!K$94</f>
        <v>128980</v>
      </c>
      <c r="I121" s="320"/>
      <c r="J121" s="320"/>
      <c r="K121" s="320">
        <f t="shared" si="39"/>
        <v>166490.1618974359</v>
      </c>
      <c r="L121" s="320">
        <f t="shared" si="41"/>
        <v>24973.524284615385</v>
      </c>
      <c r="M121" s="321">
        <f t="shared" si="40"/>
        <v>191463.68618205129</v>
      </c>
      <c r="N121" s="320"/>
      <c r="O121" s="320">
        <f>NhanCong!J$116</f>
        <v>973.07692307692309</v>
      </c>
    </row>
    <row r="122" spans="1:15" ht="39">
      <c r="A122" s="323">
        <v>2.5</v>
      </c>
      <c r="B122" s="324" t="str">
        <f>NhanCong!B$117</f>
        <v>In sản phẩm đo đạc lập bản đồ địa chính gồm sản phẩm chính và sản phẩm trung gian</v>
      </c>
      <c r="C122" s="319" t="s">
        <v>317</v>
      </c>
      <c r="D122" s="319" t="s">
        <v>679</v>
      </c>
      <c r="E122" s="301">
        <f>NhanCong!I$117</f>
        <v>175287.25500000003</v>
      </c>
      <c r="F122" s="301"/>
      <c r="G122" s="320">
        <f>Dcu!M$152</f>
        <v>3931.1573076923078</v>
      </c>
      <c r="H122" s="320">
        <f>VLieu!K$102</f>
        <v>65340</v>
      </c>
      <c r="I122" s="320">
        <f>TBi!N$182</f>
        <v>7072.6264285714287</v>
      </c>
      <c r="J122" s="320">
        <f>TBi!N$186</f>
        <v>6811.56</v>
      </c>
      <c r="K122" s="320">
        <f t="shared" si="39"/>
        <v>258442.59873626378</v>
      </c>
      <c r="L122" s="320">
        <f t="shared" si="41"/>
        <v>38766.389810439563</v>
      </c>
      <c r="M122" s="321">
        <f t="shared" si="40"/>
        <v>297208.98854670336</v>
      </c>
      <c r="N122" s="320"/>
      <c r="O122" s="320">
        <f>NhanCong!J$117</f>
        <v>4962.6923076923076</v>
      </c>
    </row>
    <row r="123" spans="1:15">
      <c r="A123" s="300">
        <v>2.6</v>
      </c>
      <c r="B123" s="324" t="str">
        <f>NhanCong!B$118</f>
        <v>Trình ký xác nhận hồ sơ</v>
      </c>
      <c r="C123" s="319" t="s">
        <v>317</v>
      </c>
      <c r="D123" s="319" t="s">
        <v>679</v>
      </c>
      <c r="E123" s="301">
        <f>NhanCong!I$118</f>
        <v>137480.20000000004</v>
      </c>
      <c r="F123" s="301"/>
      <c r="G123" s="320">
        <f>Dcu!M$140</f>
        <v>3140.1118974358974</v>
      </c>
      <c r="H123" s="320">
        <f>VLieu!K$94</f>
        <v>128980</v>
      </c>
      <c r="I123" s="320"/>
      <c r="J123" s="320"/>
      <c r="K123" s="320">
        <f t="shared" si="39"/>
        <v>269600.31189743592</v>
      </c>
      <c r="L123" s="320">
        <f t="shared" si="41"/>
        <v>40440.046784615384</v>
      </c>
      <c r="M123" s="321">
        <f t="shared" si="40"/>
        <v>310040.3586820513</v>
      </c>
      <c r="N123" s="320"/>
      <c r="O123" s="320">
        <f>NhanCong!J$118</f>
        <v>3892.3076923076924</v>
      </c>
    </row>
    <row r="124" spans="1:15" ht="26">
      <c r="A124" s="300">
        <v>2.7</v>
      </c>
      <c r="B124" s="324" t="str">
        <f>NhanCong!B$119</f>
        <v>Giao nộp sản phẩm đo đạc lập bản đồ địa chính</v>
      </c>
      <c r="C124" s="319" t="s">
        <v>317</v>
      </c>
      <c r="D124" s="319" t="s">
        <v>679</v>
      </c>
      <c r="E124" s="301">
        <f>NhanCong!I$119</f>
        <v>68740.10000000002</v>
      </c>
      <c r="F124" s="301"/>
      <c r="G124" s="320">
        <f>Dcu!M$154</f>
        <v>196.55786538461541</v>
      </c>
      <c r="H124" s="320">
        <f>VLieu!K$94</f>
        <v>128980</v>
      </c>
      <c r="I124" s="320"/>
      <c r="J124" s="320"/>
      <c r="K124" s="320">
        <f t="shared" si="39"/>
        <v>197916.65786538465</v>
      </c>
      <c r="L124" s="320">
        <f t="shared" si="41"/>
        <v>29687.498679807697</v>
      </c>
      <c r="M124" s="321">
        <f t="shared" si="40"/>
        <v>227604.15654519235</v>
      </c>
      <c r="N124" s="320"/>
      <c r="O124" s="320">
        <f>NhanCong!J$119</f>
        <v>1946.1538461538462</v>
      </c>
    </row>
    <row r="125" spans="1:15">
      <c r="A125" s="300"/>
      <c r="B125" s="299"/>
      <c r="C125" s="300"/>
      <c r="D125" s="319" t="s">
        <v>43</v>
      </c>
      <c r="E125" s="301"/>
      <c r="F125" s="301"/>
      <c r="G125" s="320"/>
      <c r="H125" s="320"/>
      <c r="I125" s="320"/>
      <c r="J125" s="320"/>
      <c r="K125" s="320"/>
      <c r="L125" s="320"/>
      <c r="M125" s="321"/>
      <c r="N125" s="320"/>
      <c r="O125" s="320"/>
    </row>
    <row r="126" spans="1:15">
      <c r="A126" s="298" t="s">
        <v>28</v>
      </c>
      <c r="B126" s="316" t="s">
        <v>45</v>
      </c>
      <c r="C126" s="300"/>
      <c r="D126" s="300"/>
      <c r="E126" s="301"/>
      <c r="F126" s="301"/>
      <c r="G126" s="301"/>
      <c r="H126" s="301"/>
      <c r="I126" s="301"/>
      <c r="J126" s="301"/>
      <c r="K126" s="301"/>
      <c r="L126" s="301"/>
      <c r="M126" s="302">
        <v>6.25</v>
      </c>
      <c r="N126" s="325" t="s">
        <v>21</v>
      </c>
      <c r="O126" s="301"/>
    </row>
    <row r="127" spans="1:15" s="308" customFormat="1" ht="13.5" customHeight="1">
      <c r="A127" s="1036"/>
      <c r="B127" s="1035" t="s">
        <v>190</v>
      </c>
      <c r="C127" s="1036" t="s">
        <v>21</v>
      </c>
      <c r="D127" s="298">
        <v>1</v>
      </c>
      <c r="E127" s="301">
        <f t="shared" ref="E127:I131" si="43">SUM(E$161,E162,E167,E172,E177,E182)</f>
        <v>7093473.585</v>
      </c>
      <c r="F127" s="301">
        <f t="shared" si="43"/>
        <v>944544.61538461549</v>
      </c>
      <c r="G127" s="301">
        <f t="shared" si="43"/>
        <v>40718.232820512829</v>
      </c>
      <c r="H127" s="301">
        <f t="shared" si="43"/>
        <v>3030735.2800000003</v>
      </c>
      <c r="I127" s="301">
        <f t="shared" si="43"/>
        <v>60078.845714285715</v>
      </c>
      <c r="J127" s="301">
        <f>SUM(J$161:J162,J167:J172,J177:J182)</f>
        <v>113.97120000000001</v>
      </c>
      <c r="K127" s="301">
        <f t="shared" ref="K127:K136" si="44">SUM(E127:J127)</f>
        <v>11169664.530119415</v>
      </c>
      <c r="L127" s="301">
        <f>K127*0.25</f>
        <v>2792416.1325298538</v>
      </c>
      <c r="M127" s="315">
        <f t="shared" ref="M127:M136" si="45">K127+L127</f>
        <v>13962080.66264927</v>
      </c>
      <c r="N127" s="301">
        <f>M127+M132</f>
        <v>16218754.792390672</v>
      </c>
      <c r="O127" s="301">
        <f>SUM(O$161,O162,O167,O172,O177,O182)</f>
        <v>200551.15384615384</v>
      </c>
    </row>
    <row r="128" spans="1:15" s="308" customFormat="1" ht="15" customHeight="1">
      <c r="A128" s="1036"/>
      <c r="B128" s="1035"/>
      <c r="C128" s="1036"/>
      <c r="D128" s="298">
        <v>2</v>
      </c>
      <c r="E128" s="301">
        <f t="shared" si="43"/>
        <v>8462776.3770000022</v>
      </c>
      <c r="F128" s="301">
        <f t="shared" si="43"/>
        <v>1137528.6153846155</v>
      </c>
      <c r="G128" s="301">
        <f t="shared" si="43"/>
        <v>49158.871196581211</v>
      </c>
      <c r="H128" s="301">
        <f t="shared" si="43"/>
        <v>3030735.2800000003</v>
      </c>
      <c r="I128" s="301">
        <f t="shared" si="43"/>
        <v>74335.508571428581</v>
      </c>
      <c r="J128" s="301">
        <f>SUM(J$161,J163,J168,J173,J178,J183)</f>
        <v>113.97120000000001</v>
      </c>
      <c r="K128" s="301">
        <f t="shared" si="44"/>
        <v>12754648.62335263</v>
      </c>
      <c r="L128" s="301">
        <f>K128*0.25</f>
        <v>3188662.1558381575</v>
      </c>
      <c r="M128" s="315">
        <f t="shared" si="45"/>
        <v>15943310.779190788</v>
      </c>
      <c r="N128" s="301">
        <f>M128+M133</f>
        <v>18351905.40376699</v>
      </c>
      <c r="O128" s="301">
        <f>SUM(O$161,O163,O168,O173,O178,O183)</f>
        <v>239318.53846153847</v>
      </c>
    </row>
    <row r="129" spans="1:15" s="308" customFormat="1" ht="15" customHeight="1">
      <c r="A129" s="1036"/>
      <c r="B129" s="1035"/>
      <c r="C129" s="1036"/>
      <c r="D129" s="298">
        <v>3</v>
      </c>
      <c r="E129" s="301">
        <f t="shared" si="43"/>
        <v>10126974.198000003</v>
      </c>
      <c r="F129" s="301">
        <f t="shared" si="43"/>
        <v>1369516.923076923</v>
      </c>
      <c r="G129" s="301">
        <f t="shared" si="43"/>
        <v>62239.495726495734</v>
      </c>
      <c r="H129" s="301">
        <f t="shared" si="43"/>
        <v>3030735.2800000003</v>
      </c>
      <c r="I129" s="301">
        <f t="shared" si="43"/>
        <v>99605.771428571432</v>
      </c>
      <c r="J129" s="301">
        <f>SUM(J$161,J164,J169,J174,J179,J184)</f>
        <v>113.97120000000001</v>
      </c>
      <c r="K129" s="301">
        <f t="shared" si="44"/>
        <v>14689185.639431996</v>
      </c>
      <c r="L129" s="301">
        <f>K129*0.25</f>
        <v>3672296.4098579991</v>
      </c>
      <c r="M129" s="315">
        <f t="shared" si="45"/>
        <v>18361482.049289994</v>
      </c>
      <c r="N129" s="301">
        <f>M129+M134</f>
        <v>20916602.093923852</v>
      </c>
      <c r="O129" s="301">
        <f>SUM(O$161,O164,O169,O174,O179,O184)</f>
        <v>286434.92307692301</v>
      </c>
    </row>
    <row r="130" spans="1:15" s="308" customFormat="1" ht="15" customHeight="1">
      <c r="A130" s="1036"/>
      <c r="B130" s="1035"/>
      <c r="C130" s="1036"/>
      <c r="D130" s="298">
        <v>4</v>
      </c>
      <c r="E130" s="301">
        <f t="shared" si="43"/>
        <v>12133497.717000004</v>
      </c>
      <c r="F130" s="301">
        <f t="shared" si="43"/>
        <v>1651279.3846153847</v>
      </c>
      <c r="G130" s="301">
        <f t="shared" si="43"/>
        <v>77269.948547008578</v>
      </c>
      <c r="H130" s="301">
        <f t="shared" si="43"/>
        <v>3030735.2800000003</v>
      </c>
      <c r="I130" s="301">
        <f t="shared" si="43"/>
        <v>128659.21142857143</v>
      </c>
      <c r="J130" s="301">
        <f>SUM(J$161,J165,J170,J175,J180,J185)</f>
        <v>113.97120000000001</v>
      </c>
      <c r="K130" s="301">
        <f t="shared" si="44"/>
        <v>17021555.512790971</v>
      </c>
      <c r="L130" s="301">
        <f>K130*0.25</f>
        <v>4255388.8781977426</v>
      </c>
      <c r="M130" s="315">
        <f t="shared" si="45"/>
        <v>21276944.390988715</v>
      </c>
      <c r="N130" s="301">
        <f>M130+M135</f>
        <v>24023884.25662135</v>
      </c>
      <c r="O130" s="301">
        <f>SUM(O$161,O165,O170,O175,O180,O185)</f>
        <v>343243.15384615381</v>
      </c>
    </row>
    <row r="131" spans="1:15" s="308" customFormat="1" ht="15" customHeight="1">
      <c r="A131" s="1036"/>
      <c r="B131" s="1035"/>
      <c r="C131" s="1036"/>
      <c r="D131" s="298">
        <v>5</v>
      </c>
      <c r="E131" s="301">
        <f t="shared" si="43"/>
        <v>14522216.192</v>
      </c>
      <c r="F131" s="301">
        <f t="shared" si="43"/>
        <v>1983980.307692308</v>
      </c>
      <c r="G131" s="301">
        <f t="shared" si="43"/>
        <v>96940.387521367549</v>
      </c>
      <c r="H131" s="301">
        <f t="shared" si="43"/>
        <v>3030735.2800000003</v>
      </c>
      <c r="I131" s="301">
        <f t="shared" si="43"/>
        <v>160690.02285714285</v>
      </c>
      <c r="J131" s="301">
        <f>SUM(J$161,J166,J171,J176,J181,J186)</f>
        <v>113.97120000000001</v>
      </c>
      <c r="K131" s="301">
        <f t="shared" si="44"/>
        <v>19794676.16127082</v>
      </c>
      <c r="L131" s="301">
        <f>K131*0.25</f>
        <v>4948669.0403177049</v>
      </c>
      <c r="M131" s="315">
        <f t="shared" si="45"/>
        <v>24743345.201588526</v>
      </c>
      <c r="N131" s="301">
        <f>M131+M136</f>
        <v>27720425.327995349</v>
      </c>
      <c r="O131" s="301">
        <f>SUM(O$161,O166,O171,O176,O181,O186)</f>
        <v>410872.00000000006</v>
      </c>
    </row>
    <row r="132" spans="1:15" s="308" customFormat="1" ht="13.5" customHeight="1">
      <c r="A132" s="1036"/>
      <c r="B132" s="1035" t="s">
        <v>192</v>
      </c>
      <c r="C132" s="1036" t="s">
        <v>21</v>
      </c>
      <c r="D132" s="298">
        <v>1</v>
      </c>
      <c r="E132" s="301">
        <f t="shared" ref="E132:J136" si="46">(E188+SUM(E$193:E$198))</f>
        <v>1414396.2976000004</v>
      </c>
      <c r="F132" s="301">
        <f t="shared" si="46"/>
        <v>0</v>
      </c>
      <c r="G132" s="301">
        <f t="shared" si="46"/>
        <v>10968.808609914528</v>
      </c>
      <c r="H132" s="301">
        <f t="shared" si="46"/>
        <v>420287.36000000004</v>
      </c>
      <c r="I132" s="301">
        <f t="shared" si="46"/>
        <v>67804.150399999999</v>
      </c>
      <c r="J132" s="301">
        <f t="shared" si="46"/>
        <v>48868.713600000003</v>
      </c>
      <c r="K132" s="301">
        <f t="shared" si="44"/>
        <v>1962325.3302099148</v>
      </c>
      <c r="L132" s="301">
        <f>K132*0.15</f>
        <v>294348.79953148722</v>
      </c>
      <c r="M132" s="315">
        <f t="shared" si="45"/>
        <v>2256674.1297414019</v>
      </c>
      <c r="N132" s="301"/>
      <c r="O132" s="301">
        <f>(O188+SUM(O$193:O$198))</f>
        <v>40044.061538461538</v>
      </c>
    </row>
    <row r="133" spans="1:15" s="308" customFormat="1" ht="15" customHeight="1">
      <c r="A133" s="1036"/>
      <c r="B133" s="1035"/>
      <c r="C133" s="1036"/>
      <c r="D133" s="298">
        <v>2</v>
      </c>
      <c r="E133" s="301">
        <f t="shared" si="46"/>
        <v>1526580.1408000004</v>
      </c>
      <c r="F133" s="301">
        <f t="shared" si="46"/>
        <v>0</v>
      </c>
      <c r="G133" s="301">
        <f t="shared" si="46"/>
        <v>11552.054384273502</v>
      </c>
      <c r="H133" s="301">
        <f t="shared" si="46"/>
        <v>420287.36000000004</v>
      </c>
      <c r="I133" s="301">
        <f t="shared" si="46"/>
        <v>77183.605942857146</v>
      </c>
      <c r="J133" s="301">
        <f t="shared" si="46"/>
        <v>58826.947199999995</v>
      </c>
      <c r="K133" s="301">
        <f t="shared" si="44"/>
        <v>2094430.1083271313</v>
      </c>
      <c r="L133" s="301">
        <f>K133*0.15</f>
        <v>314164.51624906965</v>
      </c>
      <c r="M133" s="315">
        <f t="shared" si="45"/>
        <v>2408594.6245762007</v>
      </c>
      <c r="N133" s="301"/>
      <c r="O133" s="301">
        <f>(O189+SUM(O$193:O$198))</f>
        <v>43220.18461538462</v>
      </c>
    </row>
    <row r="134" spans="1:15" s="308" customFormat="1" ht="15" customHeight="1">
      <c r="A134" s="1036"/>
      <c r="B134" s="1035"/>
      <c r="C134" s="1036"/>
      <c r="D134" s="298">
        <v>3</v>
      </c>
      <c r="E134" s="301">
        <f t="shared" si="46"/>
        <v>1638763.9840000004</v>
      </c>
      <c r="F134" s="301">
        <f t="shared" si="46"/>
        <v>0</v>
      </c>
      <c r="G134" s="301">
        <f t="shared" si="46"/>
        <v>12135.300158632477</v>
      </c>
      <c r="H134" s="301">
        <f t="shared" si="46"/>
        <v>420287.36000000004</v>
      </c>
      <c r="I134" s="301">
        <f t="shared" si="46"/>
        <v>86416.293714285697</v>
      </c>
      <c r="J134" s="301">
        <f t="shared" si="46"/>
        <v>64240.579199999993</v>
      </c>
      <c r="K134" s="301">
        <f t="shared" si="44"/>
        <v>2221843.5170729188</v>
      </c>
      <c r="L134" s="301">
        <f>K134*0.15</f>
        <v>333276.5275609378</v>
      </c>
      <c r="M134" s="315">
        <f t="shared" si="45"/>
        <v>2555120.0446338565</v>
      </c>
      <c r="N134" s="301"/>
      <c r="O134" s="301">
        <f>(O190+SUM(O$193:O$198))</f>
        <v>46396.307692307695</v>
      </c>
    </row>
    <row r="135" spans="1:15" s="308" customFormat="1" ht="15" customHeight="1">
      <c r="A135" s="1036"/>
      <c r="B135" s="1035"/>
      <c r="C135" s="1036"/>
      <c r="D135" s="298">
        <v>4</v>
      </c>
      <c r="E135" s="301">
        <f t="shared" si="46"/>
        <v>1788342.4416000005</v>
      </c>
      <c r="F135" s="301">
        <f t="shared" si="46"/>
        <v>0</v>
      </c>
      <c r="G135" s="301">
        <f t="shared" si="46"/>
        <v>12912.96119111111</v>
      </c>
      <c r="H135" s="301">
        <f t="shared" si="46"/>
        <v>420287.36000000004</v>
      </c>
      <c r="I135" s="301">
        <f t="shared" si="46"/>
        <v>98831.84982857143</v>
      </c>
      <c r="J135" s="301">
        <f t="shared" si="46"/>
        <v>68268.748800000001</v>
      </c>
      <c r="K135" s="301">
        <f t="shared" si="44"/>
        <v>2388643.3614196833</v>
      </c>
      <c r="L135" s="301">
        <f>K135*0.15</f>
        <v>358296.50421295251</v>
      </c>
      <c r="M135" s="315">
        <f t="shared" si="45"/>
        <v>2746939.865632636</v>
      </c>
      <c r="N135" s="301"/>
      <c r="O135" s="301">
        <f>(O191+SUM(O$193:O$198))</f>
        <v>50631.138461538467</v>
      </c>
    </row>
    <row r="136" spans="1:15" s="308" customFormat="1" ht="15" customHeight="1">
      <c r="A136" s="1036"/>
      <c r="B136" s="1035"/>
      <c r="C136" s="1036"/>
      <c r="D136" s="298">
        <v>5</v>
      </c>
      <c r="E136" s="301">
        <f t="shared" si="46"/>
        <v>1966516.7808000003</v>
      </c>
      <c r="F136" s="301">
        <f t="shared" si="46"/>
        <v>0</v>
      </c>
      <c r="G136" s="301">
        <f t="shared" si="46"/>
        <v>13885.0374817094</v>
      </c>
      <c r="H136" s="301">
        <f t="shared" si="46"/>
        <v>420287.36000000004</v>
      </c>
      <c r="I136" s="301">
        <f t="shared" si="46"/>
        <v>113510.49142857142</v>
      </c>
      <c r="J136" s="301">
        <f t="shared" si="46"/>
        <v>74565.657599999991</v>
      </c>
      <c r="K136" s="301">
        <f t="shared" si="44"/>
        <v>2588765.3273102809</v>
      </c>
      <c r="L136" s="301">
        <f>K136*0.15</f>
        <v>388314.79909654212</v>
      </c>
      <c r="M136" s="315">
        <f t="shared" si="45"/>
        <v>2977080.1264068228</v>
      </c>
      <c r="N136" s="301"/>
      <c r="O136" s="301">
        <f>(O192+SUM(O$193:O$198))</f>
        <v>55675.56923076923</v>
      </c>
    </row>
    <row r="137" spans="1:15">
      <c r="A137" s="298"/>
      <c r="B137" s="314" t="s">
        <v>322</v>
      </c>
      <c r="C137" s="300"/>
      <c r="D137" s="300"/>
      <c r="E137" s="301"/>
      <c r="F137" s="301"/>
      <c r="G137" s="301"/>
      <c r="H137" s="301"/>
      <c r="I137" s="301"/>
      <c r="J137" s="301"/>
      <c r="K137" s="301"/>
      <c r="L137" s="301"/>
      <c r="M137" s="315"/>
      <c r="N137" s="301"/>
      <c r="O137" s="301"/>
    </row>
    <row r="138" spans="1:15">
      <c r="A138" s="298" t="s">
        <v>502</v>
      </c>
      <c r="B138" s="314" t="s">
        <v>324</v>
      </c>
      <c r="C138" s="300"/>
      <c r="D138" s="300"/>
      <c r="E138" s="301"/>
      <c r="F138" s="301"/>
      <c r="G138" s="301"/>
      <c r="H138" s="301"/>
      <c r="I138" s="301"/>
      <c r="J138" s="301"/>
      <c r="K138" s="301"/>
      <c r="L138" s="301"/>
      <c r="M138" s="315"/>
      <c r="N138" s="301"/>
      <c r="O138" s="301"/>
    </row>
    <row r="139" spans="1:15" s="308" customFormat="1" ht="13.5" customHeight="1">
      <c r="A139" s="1036"/>
      <c r="B139" s="1035" t="s">
        <v>190</v>
      </c>
      <c r="C139" s="1036" t="s">
        <v>21</v>
      </c>
      <c r="D139" s="298">
        <v>1</v>
      </c>
      <c r="E139" s="301">
        <f t="shared" ref="E139:F148" si="47">E127*0.1</f>
        <v>709347.35850000009</v>
      </c>
      <c r="F139" s="301">
        <f t="shared" si="47"/>
        <v>94454.461538461561</v>
      </c>
      <c r="G139" s="301">
        <f>G172*0.1/$M$126</f>
        <v>202.47212307692317</v>
      </c>
      <c r="H139" s="301">
        <f t="shared" ref="H139:I143" si="48">H127*0.1</f>
        <v>303073.52800000005</v>
      </c>
      <c r="I139" s="301">
        <f t="shared" si="48"/>
        <v>6007.8845714285717</v>
      </c>
      <c r="J139" s="301">
        <f>J172*0.1/$M$126</f>
        <v>0</v>
      </c>
      <c r="K139" s="301">
        <f t="shared" ref="K139:K148" si="49">SUM(E139:J139)</f>
        <v>1113085.7047329673</v>
      </c>
      <c r="L139" s="301">
        <f>K139*0.25</f>
        <v>278271.42618324183</v>
      </c>
      <c r="M139" s="315">
        <f t="shared" ref="M139:M148" si="50">K139+L139</f>
        <v>1391357.1309162092</v>
      </c>
      <c r="N139" s="301">
        <f>M139+M144</f>
        <v>1556366.7785747009</v>
      </c>
      <c r="O139" s="301">
        <f t="shared" ref="O139:O148" si="51">O127*0.1</f>
        <v>20055.115384615387</v>
      </c>
    </row>
    <row r="140" spans="1:15" s="308" customFormat="1" ht="15" customHeight="1">
      <c r="A140" s="1036"/>
      <c r="B140" s="1035"/>
      <c r="C140" s="1036"/>
      <c r="D140" s="298">
        <v>2</v>
      </c>
      <c r="E140" s="301">
        <f t="shared" si="47"/>
        <v>846277.63770000031</v>
      </c>
      <c r="F140" s="301">
        <f t="shared" si="47"/>
        <v>113752.86153846156</v>
      </c>
      <c r="G140" s="301">
        <f>G173*0.1/$M$126</f>
        <v>253.09015384615395</v>
      </c>
      <c r="H140" s="301">
        <f t="shared" si="48"/>
        <v>303073.52800000005</v>
      </c>
      <c r="I140" s="301">
        <f t="shared" si="48"/>
        <v>7433.5508571428581</v>
      </c>
      <c r="J140" s="301">
        <f>J173*0.1/$M$126</f>
        <v>0</v>
      </c>
      <c r="K140" s="301">
        <f t="shared" si="49"/>
        <v>1270790.6682494509</v>
      </c>
      <c r="L140" s="301">
        <f>K140*0.25</f>
        <v>317697.66706236271</v>
      </c>
      <c r="M140" s="315">
        <f t="shared" si="50"/>
        <v>1588488.3353118135</v>
      </c>
      <c r="N140" s="301">
        <f>M140+M145</f>
        <v>1766409.8566605535</v>
      </c>
      <c r="O140" s="301">
        <f t="shared" si="51"/>
        <v>23931.853846153848</v>
      </c>
    </row>
    <row r="141" spans="1:15" s="308" customFormat="1" ht="15" customHeight="1">
      <c r="A141" s="1036"/>
      <c r="B141" s="1035"/>
      <c r="C141" s="1036"/>
      <c r="D141" s="298">
        <v>3</v>
      </c>
      <c r="E141" s="301">
        <f t="shared" si="47"/>
        <v>1012697.4198000003</v>
      </c>
      <c r="F141" s="301">
        <f t="shared" si="47"/>
        <v>136951.69230769231</v>
      </c>
      <c r="G141" s="301">
        <f>G174*0.1/$M$126</f>
        <v>337.45353846153853</v>
      </c>
      <c r="H141" s="301">
        <f t="shared" si="48"/>
        <v>303073.52800000005</v>
      </c>
      <c r="I141" s="301">
        <f t="shared" si="48"/>
        <v>9960.5771428571443</v>
      </c>
      <c r="J141" s="301">
        <f>J174*0.1/$M$126</f>
        <v>0</v>
      </c>
      <c r="K141" s="301">
        <f t="shared" si="49"/>
        <v>1463020.6707890115</v>
      </c>
      <c r="L141" s="301">
        <f>K141*0.25</f>
        <v>365755.16769725288</v>
      </c>
      <c r="M141" s="315">
        <f t="shared" si="50"/>
        <v>1828775.8384862645</v>
      </c>
      <c r="N141" s="301">
        <f>M141+M146</f>
        <v>2019609.2335252524</v>
      </c>
      <c r="O141" s="301">
        <f t="shared" si="51"/>
        <v>28643.492307692301</v>
      </c>
    </row>
    <row r="142" spans="1:15" s="308" customFormat="1" ht="15" customHeight="1">
      <c r="A142" s="1036"/>
      <c r="B142" s="1035"/>
      <c r="C142" s="1036"/>
      <c r="D142" s="298">
        <v>4</v>
      </c>
      <c r="E142" s="301">
        <f t="shared" si="47"/>
        <v>1213349.7717000004</v>
      </c>
      <c r="F142" s="301">
        <f t="shared" si="47"/>
        <v>165127.93846153849</v>
      </c>
      <c r="G142" s="301">
        <f>G175*0.1/$M$126</f>
        <v>438.68960000000021</v>
      </c>
      <c r="H142" s="301">
        <f t="shared" si="48"/>
        <v>303073.52800000005</v>
      </c>
      <c r="I142" s="301">
        <f t="shared" si="48"/>
        <v>12865.921142857143</v>
      </c>
      <c r="J142" s="301">
        <f>J175*0.1/$M$126</f>
        <v>0</v>
      </c>
      <c r="K142" s="301">
        <f t="shared" si="49"/>
        <v>1694855.8489043959</v>
      </c>
      <c r="L142" s="301">
        <f>K142*0.25</f>
        <v>423713.96222609899</v>
      </c>
      <c r="M142" s="315">
        <f t="shared" si="50"/>
        <v>2118569.8111304948</v>
      </c>
      <c r="N142" s="301">
        <f>M142+M147</f>
        <v>2326619.0377564807</v>
      </c>
      <c r="O142" s="301">
        <f t="shared" si="51"/>
        <v>34324.31538461538</v>
      </c>
    </row>
    <row r="143" spans="1:15" s="308" customFormat="1" ht="15" customHeight="1">
      <c r="A143" s="1036"/>
      <c r="B143" s="1035"/>
      <c r="C143" s="1036"/>
      <c r="D143" s="298">
        <v>5</v>
      </c>
      <c r="E143" s="301">
        <f t="shared" si="47"/>
        <v>1452221.6192000001</v>
      </c>
      <c r="F143" s="301">
        <f t="shared" si="47"/>
        <v>198398.0307692308</v>
      </c>
      <c r="G143" s="301">
        <f>G176*0.1/$M$126</f>
        <v>573.67101538461554</v>
      </c>
      <c r="H143" s="301">
        <f t="shared" si="48"/>
        <v>303073.52800000005</v>
      </c>
      <c r="I143" s="301">
        <f t="shared" si="48"/>
        <v>16069.002285714285</v>
      </c>
      <c r="J143" s="301">
        <f>J176*0.1/$M$126</f>
        <v>0</v>
      </c>
      <c r="K143" s="301">
        <f t="shared" si="49"/>
        <v>1970335.8512703297</v>
      </c>
      <c r="L143" s="301">
        <f>K143*0.25</f>
        <v>492583.96281758242</v>
      </c>
      <c r="M143" s="315">
        <f t="shared" si="50"/>
        <v>2462919.814087912</v>
      </c>
      <c r="N143" s="301">
        <f>M143+M148</f>
        <v>2691476.9759256449</v>
      </c>
      <c r="O143" s="301">
        <f t="shared" si="51"/>
        <v>41087.200000000012</v>
      </c>
    </row>
    <row r="144" spans="1:15" s="308" customFormat="1" ht="13.5" customHeight="1">
      <c r="A144" s="1036"/>
      <c r="B144" s="1035" t="s">
        <v>192</v>
      </c>
      <c r="C144" s="1036" t="s">
        <v>21</v>
      </c>
      <c r="D144" s="298">
        <v>1</v>
      </c>
      <c r="E144" s="301">
        <f t="shared" si="47"/>
        <v>141439.62976000004</v>
      </c>
      <c r="F144" s="301">
        <f t="shared" si="47"/>
        <v>0</v>
      </c>
      <c r="G144" s="301">
        <f t="shared" ref="G144:H148" si="52">G188*0.1/$M$126</f>
        <v>43.549017818803414</v>
      </c>
      <c r="H144" s="301">
        <f t="shared" si="52"/>
        <v>2003.4713600000005</v>
      </c>
      <c r="I144" s="301"/>
      <c r="J144" s="301"/>
      <c r="K144" s="301">
        <f t="shared" si="49"/>
        <v>143486.65013781883</v>
      </c>
      <c r="L144" s="301">
        <f>K144*0.15</f>
        <v>21522.997520672823</v>
      </c>
      <c r="M144" s="315">
        <f t="shared" si="50"/>
        <v>165009.64765849165</v>
      </c>
      <c r="N144" s="301"/>
      <c r="O144" s="301">
        <f t="shared" si="51"/>
        <v>4004.4061538461538</v>
      </c>
    </row>
    <row r="145" spans="1:15" s="308" customFormat="1" ht="15" customHeight="1">
      <c r="A145" s="1036"/>
      <c r="B145" s="1035"/>
      <c r="C145" s="1036"/>
      <c r="D145" s="298">
        <v>2</v>
      </c>
      <c r="E145" s="301">
        <f t="shared" si="47"/>
        <v>152658.01408000005</v>
      </c>
      <c r="F145" s="301">
        <f t="shared" si="47"/>
        <v>0</v>
      </c>
      <c r="G145" s="301">
        <f t="shared" si="52"/>
        <v>52.880950208546999</v>
      </c>
      <c r="H145" s="301">
        <f t="shared" si="52"/>
        <v>2003.4713600000005</v>
      </c>
      <c r="I145" s="301"/>
      <c r="J145" s="301"/>
      <c r="K145" s="301">
        <f t="shared" si="49"/>
        <v>154714.3663902086</v>
      </c>
      <c r="L145" s="301">
        <f>K145*0.15</f>
        <v>23207.15495853129</v>
      </c>
      <c r="M145" s="315">
        <f t="shared" si="50"/>
        <v>177921.52134873989</v>
      </c>
      <c r="N145" s="301"/>
      <c r="O145" s="301">
        <f t="shared" si="51"/>
        <v>4322.0184615384624</v>
      </c>
    </row>
    <row r="146" spans="1:15" s="308" customFormat="1" ht="15" customHeight="1">
      <c r="A146" s="1036"/>
      <c r="B146" s="1035"/>
      <c r="C146" s="1036"/>
      <c r="D146" s="298">
        <v>3</v>
      </c>
      <c r="E146" s="301">
        <f t="shared" si="47"/>
        <v>163876.39840000006</v>
      </c>
      <c r="F146" s="301">
        <f t="shared" si="47"/>
        <v>0</v>
      </c>
      <c r="G146" s="301">
        <f t="shared" si="52"/>
        <v>62.212882598290598</v>
      </c>
      <c r="H146" s="301">
        <f t="shared" si="52"/>
        <v>2003.4713600000005</v>
      </c>
      <c r="I146" s="301"/>
      <c r="J146" s="301"/>
      <c r="K146" s="301">
        <f t="shared" si="49"/>
        <v>165942.08264259834</v>
      </c>
      <c r="L146" s="301">
        <f>K146*0.15</f>
        <v>24891.312396389749</v>
      </c>
      <c r="M146" s="315">
        <f t="shared" si="50"/>
        <v>190833.39503898809</v>
      </c>
      <c r="N146" s="301"/>
      <c r="O146" s="301">
        <f t="shared" si="51"/>
        <v>4639.6307692307701</v>
      </c>
    </row>
    <row r="147" spans="1:15" s="308" customFormat="1" ht="15" customHeight="1">
      <c r="A147" s="1036"/>
      <c r="B147" s="1035"/>
      <c r="C147" s="1036"/>
      <c r="D147" s="298">
        <v>4</v>
      </c>
      <c r="E147" s="301">
        <f t="shared" si="47"/>
        <v>178834.24416000006</v>
      </c>
      <c r="F147" s="301">
        <f t="shared" si="47"/>
        <v>0</v>
      </c>
      <c r="G147" s="301">
        <f t="shared" si="52"/>
        <v>74.655459117948709</v>
      </c>
      <c r="H147" s="301">
        <f t="shared" si="52"/>
        <v>2003.4713600000005</v>
      </c>
      <c r="I147" s="301"/>
      <c r="J147" s="301"/>
      <c r="K147" s="301">
        <f t="shared" si="49"/>
        <v>180912.37097911802</v>
      </c>
      <c r="L147" s="301">
        <f>K147*0.15</f>
        <v>27136.855646867702</v>
      </c>
      <c r="M147" s="315">
        <f t="shared" si="50"/>
        <v>208049.22662598573</v>
      </c>
      <c r="N147" s="301"/>
      <c r="O147" s="301">
        <f t="shared" si="51"/>
        <v>5063.1138461538467</v>
      </c>
    </row>
    <row r="148" spans="1:15" s="308" customFormat="1" ht="15" customHeight="1">
      <c r="A148" s="1036"/>
      <c r="B148" s="1035"/>
      <c r="C148" s="1036"/>
      <c r="D148" s="298">
        <v>5</v>
      </c>
      <c r="E148" s="301">
        <f t="shared" si="47"/>
        <v>196651.67808000004</v>
      </c>
      <c r="F148" s="301">
        <f t="shared" si="47"/>
        <v>0</v>
      </c>
      <c r="G148" s="301">
        <f t="shared" si="52"/>
        <v>90.208679767521375</v>
      </c>
      <c r="H148" s="301">
        <f t="shared" si="52"/>
        <v>2003.4713600000005</v>
      </c>
      <c r="I148" s="301"/>
      <c r="J148" s="301"/>
      <c r="K148" s="301">
        <f t="shared" si="49"/>
        <v>198745.35811976757</v>
      </c>
      <c r="L148" s="301">
        <f>K148*0.15</f>
        <v>29811.803717965133</v>
      </c>
      <c r="M148" s="315">
        <f t="shared" si="50"/>
        <v>228557.16183773271</v>
      </c>
      <c r="N148" s="301"/>
      <c r="O148" s="301">
        <f t="shared" si="51"/>
        <v>5567.5569230769233</v>
      </c>
    </row>
    <row r="149" spans="1:15">
      <c r="A149" s="298" t="s">
        <v>502</v>
      </c>
      <c r="B149" s="314" t="s">
        <v>326</v>
      </c>
      <c r="C149" s="300"/>
      <c r="D149" s="300"/>
      <c r="E149" s="301"/>
      <c r="F149" s="301"/>
      <c r="G149" s="301"/>
      <c r="H149" s="301"/>
      <c r="I149" s="301"/>
      <c r="J149" s="301"/>
      <c r="K149" s="301"/>
      <c r="L149" s="301"/>
      <c r="M149" s="315"/>
      <c r="N149" s="301"/>
      <c r="O149" s="301"/>
    </row>
    <row r="150" spans="1:15" s="308" customFormat="1" ht="13.5" customHeight="1">
      <c r="A150" s="1036"/>
      <c r="B150" s="1035" t="s">
        <v>190</v>
      </c>
      <c r="C150" s="1036" t="s">
        <v>21</v>
      </c>
      <c r="D150" s="298">
        <v>1</v>
      </c>
      <c r="E150" s="301">
        <f t="shared" ref="E150:F154" si="53">E127*1.15</f>
        <v>8157494.6227499992</v>
      </c>
      <c r="F150" s="301">
        <f t="shared" si="53"/>
        <v>1086226.3076923077</v>
      </c>
      <c r="G150" s="301">
        <f t="shared" ref="G150:J159" si="54">G127</f>
        <v>40718.232820512829</v>
      </c>
      <c r="H150" s="301">
        <f t="shared" si="54"/>
        <v>3030735.2800000003</v>
      </c>
      <c r="I150" s="301">
        <f t="shared" si="54"/>
        <v>60078.845714285715</v>
      </c>
      <c r="J150" s="301">
        <f t="shared" si="54"/>
        <v>113.97120000000001</v>
      </c>
      <c r="K150" s="301">
        <f t="shared" ref="K150:K159" si="55">SUM(E150:J150)</f>
        <v>12375367.260177106</v>
      </c>
      <c r="L150" s="301">
        <f>K150*0.25</f>
        <v>3093841.8150442764</v>
      </c>
      <c r="M150" s="315">
        <f t="shared" ref="M150:M159" si="56">K150+L150</f>
        <v>15469209.075221382</v>
      </c>
      <c r="N150" s="301">
        <f>M150+M155</f>
        <v>17888538.779186785</v>
      </c>
      <c r="O150" s="301">
        <f>O127*1.15</f>
        <v>230633.82692307691</v>
      </c>
    </row>
    <row r="151" spans="1:15" s="308" customFormat="1" ht="15" customHeight="1">
      <c r="A151" s="1036"/>
      <c r="B151" s="1035"/>
      <c r="C151" s="1036"/>
      <c r="D151" s="298">
        <v>2</v>
      </c>
      <c r="E151" s="301">
        <f t="shared" si="53"/>
        <v>9732192.8335500024</v>
      </c>
      <c r="F151" s="301">
        <f t="shared" si="53"/>
        <v>1308157.9076923076</v>
      </c>
      <c r="G151" s="301">
        <f t="shared" si="54"/>
        <v>49158.871196581211</v>
      </c>
      <c r="H151" s="301">
        <f t="shared" si="54"/>
        <v>3030735.2800000003</v>
      </c>
      <c r="I151" s="301">
        <f t="shared" si="54"/>
        <v>74335.508571428581</v>
      </c>
      <c r="J151" s="301">
        <f t="shared" si="54"/>
        <v>113.97120000000001</v>
      </c>
      <c r="K151" s="301">
        <f t="shared" si="55"/>
        <v>14194694.372210322</v>
      </c>
      <c r="L151" s="301">
        <f>K151*0.25</f>
        <v>3548673.5930525805</v>
      </c>
      <c r="M151" s="315">
        <f t="shared" si="56"/>
        <v>17743367.965262901</v>
      </c>
      <c r="N151" s="301">
        <f>M151+M156</f>
        <v>20327519.3060311</v>
      </c>
      <c r="O151" s="301">
        <f>O128*1.15</f>
        <v>275216.31923076924</v>
      </c>
    </row>
    <row r="152" spans="1:15" s="308" customFormat="1" ht="15" customHeight="1">
      <c r="A152" s="1036"/>
      <c r="B152" s="1035"/>
      <c r="C152" s="1036"/>
      <c r="D152" s="298">
        <v>3</v>
      </c>
      <c r="E152" s="301">
        <f t="shared" si="53"/>
        <v>11646020.327700002</v>
      </c>
      <c r="F152" s="301">
        <f t="shared" si="53"/>
        <v>1574944.4615384613</v>
      </c>
      <c r="G152" s="301">
        <f t="shared" si="54"/>
        <v>62239.495726495734</v>
      </c>
      <c r="H152" s="301">
        <f t="shared" si="54"/>
        <v>3030735.2800000003</v>
      </c>
      <c r="I152" s="301">
        <f t="shared" si="54"/>
        <v>99605.771428571432</v>
      </c>
      <c r="J152" s="301">
        <f t="shared" si="54"/>
        <v>113.97120000000001</v>
      </c>
      <c r="K152" s="301">
        <f t="shared" si="55"/>
        <v>16413659.307593534</v>
      </c>
      <c r="L152" s="301">
        <f>K152*0.25</f>
        <v>4103414.8268983834</v>
      </c>
      <c r="M152" s="315">
        <f t="shared" si="56"/>
        <v>20517074.134491917</v>
      </c>
      <c r="N152" s="301">
        <f>M152+M157</f>
        <v>23260652.037285775</v>
      </c>
      <c r="O152" s="301">
        <f>O129*1.15</f>
        <v>329400.16153846146</v>
      </c>
    </row>
    <row r="153" spans="1:15" s="308" customFormat="1" ht="15" customHeight="1">
      <c r="A153" s="1036"/>
      <c r="B153" s="1035"/>
      <c r="C153" s="1036"/>
      <c r="D153" s="298">
        <v>4</v>
      </c>
      <c r="E153" s="301">
        <f t="shared" si="53"/>
        <v>13953522.374550004</v>
      </c>
      <c r="F153" s="301">
        <f t="shared" si="53"/>
        <v>1898971.2923076923</v>
      </c>
      <c r="G153" s="301">
        <f t="shared" si="54"/>
        <v>77269.948547008578</v>
      </c>
      <c r="H153" s="301">
        <f t="shared" si="54"/>
        <v>3030735.2800000003</v>
      </c>
      <c r="I153" s="301">
        <f t="shared" si="54"/>
        <v>128659.21142857143</v>
      </c>
      <c r="J153" s="301">
        <f t="shared" si="54"/>
        <v>113.97120000000001</v>
      </c>
      <c r="K153" s="301">
        <f t="shared" si="55"/>
        <v>19089272.078033276</v>
      </c>
      <c r="L153" s="301">
        <f>K153*0.25</f>
        <v>4772318.019508319</v>
      </c>
      <c r="M153" s="315">
        <f t="shared" si="56"/>
        <v>23861590.097541593</v>
      </c>
      <c r="N153" s="301">
        <f>M153+M158</f>
        <v>26814189.343958229</v>
      </c>
      <c r="O153" s="301">
        <f>O130*1.15</f>
        <v>394729.62692307687</v>
      </c>
    </row>
    <row r="154" spans="1:15" s="308" customFormat="1" ht="15" customHeight="1">
      <c r="A154" s="1036"/>
      <c r="B154" s="1035"/>
      <c r="C154" s="1036"/>
      <c r="D154" s="298">
        <v>5</v>
      </c>
      <c r="E154" s="301">
        <f t="shared" si="53"/>
        <v>16700548.620799998</v>
      </c>
      <c r="F154" s="301">
        <f t="shared" si="53"/>
        <v>2281577.3538461542</v>
      </c>
      <c r="G154" s="301">
        <f t="shared" si="54"/>
        <v>96940.387521367549</v>
      </c>
      <c r="H154" s="301">
        <f t="shared" si="54"/>
        <v>3030735.2800000003</v>
      </c>
      <c r="I154" s="301">
        <f t="shared" si="54"/>
        <v>160690.02285714285</v>
      </c>
      <c r="J154" s="301">
        <f t="shared" si="54"/>
        <v>113.97120000000001</v>
      </c>
      <c r="K154" s="301">
        <f t="shared" si="55"/>
        <v>22270605.636224665</v>
      </c>
      <c r="L154" s="301">
        <f>K154*0.25</f>
        <v>5567651.4090561662</v>
      </c>
      <c r="M154" s="315">
        <f t="shared" si="56"/>
        <v>27838257.045280829</v>
      </c>
      <c r="N154" s="301">
        <f>M154+M159</f>
        <v>31041486.601479653</v>
      </c>
      <c r="O154" s="301">
        <f>O131*1.15</f>
        <v>472502.80000000005</v>
      </c>
    </row>
    <row r="155" spans="1:15" s="308" customFormat="1" ht="13.5" customHeight="1">
      <c r="A155" s="1036"/>
      <c r="B155" s="1035" t="s">
        <v>192</v>
      </c>
      <c r="C155" s="1036" t="s">
        <v>21</v>
      </c>
      <c r="D155" s="298">
        <v>1</v>
      </c>
      <c r="E155" s="301">
        <f t="shared" ref="E155:F159" si="57">E132*1.1</f>
        <v>1555835.9273600006</v>
      </c>
      <c r="F155" s="301">
        <f t="shared" si="57"/>
        <v>0</v>
      </c>
      <c r="G155" s="301">
        <f t="shared" si="54"/>
        <v>10968.808609914528</v>
      </c>
      <c r="H155" s="301">
        <f t="shared" si="54"/>
        <v>420287.36000000004</v>
      </c>
      <c r="I155" s="301">
        <f t="shared" si="54"/>
        <v>67804.150399999999</v>
      </c>
      <c r="J155" s="301">
        <f t="shared" si="54"/>
        <v>48868.713600000003</v>
      </c>
      <c r="K155" s="301">
        <f t="shared" si="55"/>
        <v>2103764.959969915</v>
      </c>
      <c r="L155" s="301">
        <f>K155*0.15</f>
        <v>315564.74399548722</v>
      </c>
      <c r="M155" s="315">
        <f t="shared" si="56"/>
        <v>2419329.7039654022</v>
      </c>
      <c r="N155" s="301"/>
      <c r="O155" s="301">
        <f>O132*1.1</f>
        <v>44048.467692307691</v>
      </c>
    </row>
    <row r="156" spans="1:15" s="308" customFormat="1" ht="15" customHeight="1">
      <c r="A156" s="1036"/>
      <c r="B156" s="1035"/>
      <c r="C156" s="1036"/>
      <c r="D156" s="298">
        <v>2</v>
      </c>
      <c r="E156" s="301">
        <f t="shared" si="57"/>
        <v>1679238.1548800005</v>
      </c>
      <c r="F156" s="301">
        <f t="shared" si="57"/>
        <v>0</v>
      </c>
      <c r="G156" s="301">
        <f t="shared" si="54"/>
        <v>11552.054384273502</v>
      </c>
      <c r="H156" s="301">
        <f t="shared" si="54"/>
        <v>420287.36000000004</v>
      </c>
      <c r="I156" s="301">
        <f t="shared" si="54"/>
        <v>77183.605942857146</v>
      </c>
      <c r="J156" s="301">
        <f t="shared" si="54"/>
        <v>58826.947199999995</v>
      </c>
      <c r="K156" s="301">
        <f t="shared" si="55"/>
        <v>2247088.1224071309</v>
      </c>
      <c r="L156" s="301">
        <f>K156*0.15</f>
        <v>337063.21836106962</v>
      </c>
      <c r="M156" s="315">
        <f t="shared" si="56"/>
        <v>2584151.3407682003</v>
      </c>
      <c r="N156" s="301"/>
      <c r="O156" s="301">
        <f>O133*1.1</f>
        <v>47542.203076923084</v>
      </c>
    </row>
    <row r="157" spans="1:15" s="308" customFormat="1" ht="15" customHeight="1">
      <c r="A157" s="1036"/>
      <c r="B157" s="1035"/>
      <c r="C157" s="1036"/>
      <c r="D157" s="298">
        <v>3</v>
      </c>
      <c r="E157" s="301">
        <f t="shared" si="57"/>
        <v>1802640.3824000007</v>
      </c>
      <c r="F157" s="301">
        <f t="shared" si="57"/>
        <v>0</v>
      </c>
      <c r="G157" s="301">
        <f t="shared" si="54"/>
        <v>12135.300158632477</v>
      </c>
      <c r="H157" s="301">
        <f t="shared" si="54"/>
        <v>420287.36000000004</v>
      </c>
      <c r="I157" s="301">
        <f t="shared" si="54"/>
        <v>86416.293714285697</v>
      </c>
      <c r="J157" s="301">
        <f t="shared" si="54"/>
        <v>64240.579199999993</v>
      </c>
      <c r="K157" s="301">
        <f t="shared" si="55"/>
        <v>2385719.9154729191</v>
      </c>
      <c r="L157" s="301">
        <f>K157*0.15</f>
        <v>357857.98732093786</v>
      </c>
      <c r="M157" s="315">
        <f t="shared" si="56"/>
        <v>2743577.9027938568</v>
      </c>
      <c r="N157" s="301"/>
      <c r="O157" s="301">
        <f>O134*1.1</f>
        <v>51035.93846153847</v>
      </c>
    </row>
    <row r="158" spans="1:15" s="308" customFormat="1" ht="15" customHeight="1">
      <c r="A158" s="1036"/>
      <c r="B158" s="1035"/>
      <c r="C158" s="1036"/>
      <c r="D158" s="298">
        <v>4</v>
      </c>
      <c r="E158" s="301">
        <f t="shared" si="57"/>
        <v>1967176.6857600007</v>
      </c>
      <c r="F158" s="301">
        <f t="shared" si="57"/>
        <v>0</v>
      </c>
      <c r="G158" s="301">
        <f t="shared" si="54"/>
        <v>12912.96119111111</v>
      </c>
      <c r="H158" s="301">
        <f t="shared" si="54"/>
        <v>420287.36000000004</v>
      </c>
      <c r="I158" s="301">
        <f t="shared" si="54"/>
        <v>98831.84982857143</v>
      </c>
      <c r="J158" s="301">
        <f t="shared" si="54"/>
        <v>68268.748800000001</v>
      </c>
      <c r="K158" s="301">
        <f t="shared" si="55"/>
        <v>2567477.6055796836</v>
      </c>
      <c r="L158" s="301">
        <f>K158*0.15</f>
        <v>385121.64083695255</v>
      </c>
      <c r="M158" s="315">
        <f t="shared" si="56"/>
        <v>2952599.2464166363</v>
      </c>
      <c r="N158" s="301"/>
      <c r="O158" s="301">
        <f>O135*1.1</f>
        <v>55694.252307692317</v>
      </c>
    </row>
    <row r="159" spans="1:15" s="308" customFormat="1" ht="15" customHeight="1">
      <c r="A159" s="1036"/>
      <c r="B159" s="1035"/>
      <c r="C159" s="1036"/>
      <c r="D159" s="298">
        <v>5</v>
      </c>
      <c r="E159" s="301">
        <f t="shared" si="57"/>
        <v>2163168.4588800003</v>
      </c>
      <c r="F159" s="301">
        <f t="shared" si="57"/>
        <v>0</v>
      </c>
      <c r="G159" s="301">
        <f t="shared" si="54"/>
        <v>13885.0374817094</v>
      </c>
      <c r="H159" s="301">
        <f t="shared" si="54"/>
        <v>420287.36000000004</v>
      </c>
      <c r="I159" s="301">
        <f t="shared" si="54"/>
        <v>113510.49142857142</v>
      </c>
      <c r="J159" s="301">
        <f t="shared" si="54"/>
        <v>74565.657599999991</v>
      </c>
      <c r="K159" s="301">
        <f t="shared" si="55"/>
        <v>2785417.0053902809</v>
      </c>
      <c r="L159" s="301">
        <f>K159*0.15</f>
        <v>417812.55080854212</v>
      </c>
      <c r="M159" s="315">
        <f t="shared" si="56"/>
        <v>3203229.5561988228</v>
      </c>
      <c r="N159" s="301"/>
      <c r="O159" s="301">
        <f>O136*1.1</f>
        <v>61243.126153846155</v>
      </c>
    </row>
    <row r="160" spans="1:15">
      <c r="A160" s="298">
        <v>1</v>
      </c>
      <c r="B160" s="316" t="s">
        <v>57</v>
      </c>
      <c r="C160" s="300"/>
      <c r="D160" s="300"/>
      <c r="E160" s="301"/>
      <c r="F160" s="301"/>
      <c r="G160" s="301"/>
      <c r="H160" s="301"/>
      <c r="I160" s="301"/>
      <c r="J160" s="301"/>
      <c r="K160" s="301"/>
      <c r="L160" s="301"/>
      <c r="M160" s="326">
        <v>6.25</v>
      </c>
      <c r="N160" s="327" t="s">
        <v>21</v>
      </c>
      <c r="O160" s="301"/>
    </row>
    <row r="161" spans="1:15">
      <c r="A161" s="323" t="s">
        <v>359</v>
      </c>
      <c r="B161" s="324" t="str">
        <f>NhanCong!B$61</f>
        <v>Công tác chuẩn bị</v>
      </c>
      <c r="C161" s="319" t="s">
        <v>317</v>
      </c>
      <c r="D161" s="319" t="s">
        <v>622</v>
      </c>
      <c r="E161" s="301">
        <f>NhanCong!M$61</f>
        <v>290265.88800000009</v>
      </c>
      <c r="F161" s="301">
        <f>NhanCong!M$62</f>
        <v>18046.769230769234</v>
      </c>
      <c r="G161" s="320">
        <f>Dcu!N$102*0.4</f>
        <v>8436.3384615384639</v>
      </c>
      <c r="H161" s="320">
        <f>VLieu!L$66</f>
        <v>450109.2</v>
      </c>
      <c r="I161" s="320"/>
      <c r="J161" s="320"/>
      <c r="K161" s="320">
        <f>SUM(E161:J161)</f>
        <v>766858.19569230778</v>
      </c>
      <c r="L161" s="320">
        <f>K161*0.25</f>
        <v>191714.54892307695</v>
      </c>
      <c r="M161" s="321">
        <f>K161+L161</f>
        <v>958572.74461538473</v>
      </c>
      <c r="N161" s="320"/>
      <c r="O161" s="320">
        <f>NhanCong!N$61</f>
        <v>7940.3076923076924</v>
      </c>
    </row>
    <row r="162" spans="1:15">
      <c r="A162" s="1041" t="s">
        <v>269</v>
      </c>
      <c r="B162" s="1038" t="str">
        <f>NhanCong!B$63</f>
        <v>Lập lưới khống chế đo vẽ</v>
      </c>
      <c r="C162" s="1039" t="s">
        <v>317</v>
      </c>
      <c r="D162" s="319">
        <v>1</v>
      </c>
      <c r="E162" s="301">
        <f>NhanCong!M$63</f>
        <v>804259.17000000016</v>
      </c>
      <c r="F162" s="301"/>
      <c r="G162" s="320">
        <f>Dcu!N$82</f>
        <v>4441.9774358974346</v>
      </c>
      <c r="H162" s="320">
        <f>VLieu!L$67</f>
        <v>300072.8</v>
      </c>
      <c r="I162" s="320">
        <f>TBi!N$35</f>
        <v>10534.845714285713</v>
      </c>
      <c r="J162" s="320">
        <f>TBi!N$39</f>
        <v>113.97120000000001</v>
      </c>
      <c r="K162" s="320">
        <f t="shared" ref="K162:K166" si="58">SUM(E162:J162)</f>
        <v>1119422.7643501833</v>
      </c>
      <c r="L162" s="320">
        <f t="shared" ref="L162:L186" si="59">K162*0.25</f>
        <v>279855.69108754583</v>
      </c>
      <c r="M162" s="321">
        <f t="shared" ref="M162:M186" si="60">K162+L162</f>
        <v>1399278.4554377291</v>
      </c>
      <c r="N162" s="320"/>
      <c r="O162" s="320">
        <f>NhanCong!N$63</f>
        <v>22769.999999999996</v>
      </c>
    </row>
    <row r="163" spans="1:15">
      <c r="A163" s="1041"/>
      <c r="B163" s="1038"/>
      <c r="C163" s="1039"/>
      <c r="D163" s="319">
        <v>2</v>
      </c>
      <c r="E163" s="301">
        <f>NhanCong!M$64</f>
        <v>965798.40500000026</v>
      </c>
      <c r="F163" s="301"/>
      <c r="G163" s="320">
        <f>Dcu!N$83</f>
        <v>5922.6365811965798</v>
      </c>
      <c r="H163" s="320">
        <f>VLieu!L$67</f>
        <v>300072.8</v>
      </c>
      <c r="I163" s="320">
        <f>TBi!O$35</f>
        <v>13351.348571428573</v>
      </c>
      <c r="J163" s="320">
        <f>TBi!O$39</f>
        <v>113.97120000000001</v>
      </c>
      <c r="K163" s="320">
        <f t="shared" si="58"/>
        <v>1285259.1613526253</v>
      </c>
      <c r="L163" s="320">
        <f t="shared" si="59"/>
        <v>321314.79033815634</v>
      </c>
      <c r="M163" s="321">
        <f t="shared" si="60"/>
        <v>1606573.9516907816</v>
      </c>
      <c r="N163" s="320"/>
      <c r="O163" s="320">
        <f>NhanCong!N$64</f>
        <v>27343.461538461539</v>
      </c>
    </row>
    <row r="164" spans="1:15">
      <c r="A164" s="1041"/>
      <c r="B164" s="1038"/>
      <c r="C164" s="1039"/>
      <c r="D164" s="319">
        <v>3</v>
      </c>
      <c r="E164" s="301">
        <f>NhanCong!M$65</f>
        <v>1158270.6850000003</v>
      </c>
      <c r="F164" s="301"/>
      <c r="G164" s="320">
        <f>Dcu!N$84</f>
        <v>7403.295726495724</v>
      </c>
      <c r="H164" s="320">
        <f>VLieu!L$67</f>
        <v>300072.8</v>
      </c>
      <c r="I164" s="320">
        <f>TBi!P$35</f>
        <v>17362.731428571427</v>
      </c>
      <c r="J164" s="320">
        <f>TBi!P$39</f>
        <v>113.97120000000001</v>
      </c>
      <c r="K164" s="320">
        <f t="shared" si="58"/>
        <v>1483223.4833550677</v>
      </c>
      <c r="L164" s="320">
        <f t="shared" si="59"/>
        <v>370805.87083876692</v>
      </c>
      <c r="M164" s="321">
        <f t="shared" si="60"/>
        <v>1854029.3541938346</v>
      </c>
      <c r="N164" s="320"/>
      <c r="O164" s="320">
        <f>NhanCong!N$65</f>
        <v>32792.692307692312</v>
      </c>
    </row>
    <row r="165" spans="1:15">
      <c r="A165" s="1041"/>
      <c r="B165" s="1038"/>
      <c r="C165" s="1039"/>
      <c r="D165" s="319">
        <v>4</v>
      </c>
      <c r="E165" s="301">
        <f>NhanCong!M$66</f>
        <v>1388550.0200000003</v>
      </c>
      <c r="F165" s="301"/>
      <c r="G165" s="320">
        <f>Dcu!N$85</f>
        <v>8513.790085470082</v>
      </c>
      <c r="H165" s="320">
        <f>VLieu!L$67</f>
        <v>300072.8</v>
      </c>
      <c r="I165" s="320">
        <f>TBi!Q$35</f>
        <v>19752.491428571426</v>
      </c>
      <c r="J165" s="320">
        <f>TBi!Q$39</f>
        <v>113.97120000000001</v>
      </c>
      <c r="K165" s="320">
        <f t="shared" si="58"/>
        <v>1717003.0727140419</v>
      </c>
      <c r="L165" s="320">
        <f t="shared" si="59"/>
        <v>429250.76817851048</v>
      </c>
      <c r="M165" s="321">
        <f t="shared" si="60"/>
        <v>2146253.8408925524</v>
      </c>
      <c r="N165" s="320"/>
      <c r="O165" s="320">
        <f>NhanCong!N$66</f>
        <v>39312.307692307688</v>
      </c>
    </row>
    <row r="166" spans="1:15">
      <c r="A166" s="1041"/>
      <c r="B166" s="1038"/>
      <c r="C166" s="1039"/>
      <c r="D166" s="319">
        <v>5</v>
      </c>
      <c r="E166" s="301">
        <f>NhanCong!M$67</f>
        <v>1663510.4200000006</v>
      </c>
      <c r="F166" s="301"/>
      <c r="G166" s="320">
        <f>Dcu!N$86</f>
        <v>9624.2844444444418</v>
      </c>
      <c r="H166" s="320">
        <f>VLieu!L$67</f>
        <v>300072.8</v>
      </c>
      <c r="I166" s="320">
        <f>TBi!R$35</f>
        <v>22056.902857142857</v>
      </c>
      <c r="J166" s="320">
        <f>TBi!R$39</f>
        <v>113.97120000000001</v>
      </c>
      <c r="K166" s="320">
        <f t="shared" si="58"/>
        <v>1995378.378501588</v>
      </c>
      <c r="L166" s="320">
        <f t="shared" si="59"/>
        <v>498844.594625397</v>
      </c>
      <c r="M166" s="321">
        <f t="shared" si="60"/>
        <v>2494222.9731269851</v>
      </c>
      <c r="N166" s="320"/>
      <c r="O166" s="320">
        <f>NhanCong!N$67</f>
        <v>47096.923076923078</v>
      </c>
    </row>
    <row r="167" spans="1:15">
      <c r="A167" s="1041" t="s">
        <v>36</v>
      </c>
      <c r="B167" s="1038" t="str">
        <f>NhanCong!B$68</f>
        <v>Xác định ranh giới thửa đất trên thực địa</v>
      </c>
      <c r="C167" s="1039" t="s">
        <v>317</v>
      </c>
      <c r="D167" s="319">
        <v>1</v>
      </c>
      <c r="E167" s="301">
        <f>NhanCong!M$68</f>
        <v>2697361.5240000002</v>
      </c>
      <c r="F167" s="301">
        <f>NhanCong!M$69</f>
        <v>571092.92307692312</v>
      </c>
      <c r="G167" s="320">
        <f>Dcu!N$103*0.4</f>
        <v>5061.8030769230791</v>
      </c>
      <c r="H167" s="320">
        <f>VLieu!L$68</f>
        <v>750182</v>
      </c>
      <c r="I167" s="320"/>
      <c r="J167" s="320"/>
      <c r="K167" s="320">
        <f>SUM(E167:J167)</f>
        <v>4023698.2501538461</v>
      </c>
      <c r="L167" s="320">
        <f t="shared" si="59"/>
        <v>1005924.5625384615</v>
      </c>
      <c r="M167" s="321">
        <f t="shared" si="60"/>
        <v>5029622.8126923079</v>
      </c>
      <c r="N167" s="320"/>
      <c r="O167" s="320">
        <f>NhanCong!N$68</f>
        <v>76367.076923076922</v>
      </c>
    </row>
    <row r="168" spans="1:15">
      <c r="A168" s="1041"/>
      <c r="B168" s="1038"/>
      <c r="C168" s="1039"/>
      <c r="D168" s="319">
        <v>2</v>
      </c>
      <c r="E168" s="301">
        <f>NhanCong!M$70</f>
        <v>3236283.9080000008</v>
      </c>
      <c r="F168" s="301">
        <f>NhanCong!M$71</f>
        <v>685195.07692307699</v>
      </c>
      <c r="G168" s="320">
        <f>Dcu!N$104*0.4</f>
        <v>6327.2538461538488</v>
      </c>
      <c r="H168" s="320">
        <f>VLieu!L$68</f>
        <v>750182</v>
      </c>
      <c r="I168" s="320"/>
      <c r="J168" s="320"/>
      <c r="K168" s="320">
        <f t="shared" ref="K168:K186" si="61">SUM(E168:J168)</f>
        <v>4677988.2387692314</v>
      </c>
      <c r="L168" s="320">
        <f t="shared" si="59"/>
        <v>1169497.0596923078</v>
      </c>
      <c r="M168" s="321">
        <f t="shared" si="60"/>
        <v>5847485.2984615397</v>
      </c>
      <c r="N168" s="320"/>
      <c r="O168" s="320">
        <f>NhanCong!N$70</f>
        <v>91624.923076923078</v>
      </c>
    </row>
    <row r="169" spans="1:15">
      <c r="A169" s="1041"/>
      <c r="B169" s="1038"/>
      <c r="C169" s="1039"/>
      <c r="D169" s="319">
        <v>3</v>
      </c>
      <c r="E169" s="301">
        <f>NhanCong!M$72</f>
        <v>3883815.6500000004</v>
      </c>
      <c r="F169" s="301">
        <f>NhanCong!M$73</f>
        <v>822292.30769230763</v>
      </c>
      <c r="G169" s="320">
        <f>Dcu!N$105*0.4</f>
        <v>8436.3384615384639</v>
      </c>
      <c r="H169" s="320">
        <f>VLieu!L$68</f>
        <v>750182</v>
      </c>
      <c r="I169" s="320"/>
      <c r="J169" s="320"/>
      <c r="K169" s="320">
        <f t="shared" si="61"/>
        <v>5464726.2961538471</v>
      </c>
      <c r="L169" s="320">
        <f t="shared" si="59"/>
        <v>1366181.5740384618</v>
      </c>
      <c r="M169" s="321">
        <f t="shared" si="60"/>
        <v>6830907.8701923089</v>
      </c>
      <c r="N169" s="320"/>
      <c r="O169" s="320">
        <f>NhanCong!N$72</f>
        <v>109957.6923076923</v>
      </c>
    </row>
    <row r="170" spans="1:15">
      <c r="A170" s="1041"/>
      <c r="B170" s="1038"/>
      <c r="C170" s="1039"/>
      <c r="D170" s="319">
        <v>4</v>
      </c>
      <c r="E170" s="301">
        <f>NhanCong!M$74</f>
        <v>4660578.78</v>
      </c>
      <c r="F170" s="301">
        <f>NhanCong!M$75</f>
        <v>986750.76923076925</v>
      </c>
      <c r="G170" s="320">
        <f>Dcu!N$106*0.4</f>
        <v>10967.240000000005</v>
      </c>
      <c r="H170" s="320">
        <f>VLieu!L$68</f>
        <v>750182</v>
      </c>
      <c r="I170" s="320"/>
      <c r="J170" s="320"/>
      <c r="K170" s="320">
        <f t="shared" si="61"/>
        <v>6408478.7892307695</v>
      </c>
      <c r="L170" s="320">
        <f t="shared" si="59"/>
        <v>1602119.6973076924</v>
      </c>
      <c r="M170" s="321">
        <f t="shared" si="60"/>
        <v>8010598.4865384623</v>
      </c>
      <c r="N170" s="320"/>
      <c r="O170" s="320">
        <f>NhanCong!N$74</f>
        <v>131949.23076923075</v>
      </c>
    </row>
    <row r="171" spans="1:15">
      <c r="A171" s="1041"/>
      <c r="B171" s="1038"/>
      <c r="C171" s="1039"/>
      <c r="D171" s="319">
        <v>5</v>
      </c>
      <c r="E171" s="301">
        <f>NhanCong!M$76</f>
        <v>5592694.5360000003</v>
      </c>
      <c r="F171" s="301">
        <f>NhanCong!M$77</f>
        <v>1184100.9230769232</v>
      </c>
      <c r="G171" s="320">
        <f>Dcu!N$107*0.4</f>
        <v>14341.775384615388</v>
      </c>
      <c r="H171" s="320">
        <f>VLieu!L$68</f>
        <v>750182</v>
      </c>
      <c r="I171" s="320"/>
      <c r="J171" s="320"/>
      <c r="K171" s="320">
        <f t="shared" si="61"/>
        <v>7541319.2344615385</v>
      </c>
      <c r="L171" s="320">
        <f t="shared" si="59"/>
        <v>1885329.8086153846</v>
      </c>
      <c r="M171" s="321">
        <f t="shared" si="60"/>
        <v>9426649.0430769231</v>
      </c>
      <c r="N171" s="320"/>
      <c r="O171" s="320">
        <f>NhanCong!N$76</f>
        <v>158339.07692307691</v>
      </c>
    </row>
    <row r="172" spans="1:15">
      <c r="A172" s="1041" t="s">
        <v>270</v>
      </c>
      <c r="B172" s="1038" t="str">
        <f>NhanCong!B$78</f>
        <v>Đo đạc ranh giới thửa đất và các đối tượng địa lý có liên quan</v>
      </c>
      <c r="C172" s="1039" t="s">
        <v>317</v>
      </c>
      <c r="D172" s="319" t="s">
        <v>18</v>
      </c>
      <c r="E172" s="301">
        <f>NhanCong!M$78</f>
        <v>2663678.8750000005</v>
      </c>
      <c r="F172" s="301">
        <f>NhanCong!M$79</f>
        <v>108280.6153846154</v>
      </c>
      <c r="G172" s="320">
        <f>Dcu!N$103</f>
        <v>12654.507692307696</v>
      </c>
      <c r="H172" s="320">
        <f>VLieu!L$69</f>
        <v>750182</v>
      </c>
      <c r="I172" s="320">
        <f>TBi!N$65</f>
        <v>49544</v>
      </c>
      <c r="J172" s="320"/>
      <c r="K172" s="320">
        <f t="shared" si="61"/>
        <v>3584339.9980769237</v>
      </c>
      <c r="L172" s="320">
        <f t="shared" si="59"/>
        <v>896084.99951923091</v>
      </c>
      <c r="M172" s="321">
        <f t="shared" si="60"/>
        <v>4480424.9975961549</v>
      </c>
      <c r="N172" s="320"/>
      <c r="O172" s="320">
        <f>NhanCong!N$78</f>
        <v>75413.461538461546</v>
      </c>
    </row>
    <row r="173" spans="1:15">
      <c r="A173" s="1041"/>
      <c r="B173" s="1038"/>
      <c r="C173" s="1039"/>
      <c r="D173" s="319" t="s">
        <v>20</v>
      </c>
      <c r="E173" s="301">
        <f>NhanCong!M$80</f>
        <v>3196414.6500000013</v>
      </c>
      <c r="F173" s="301">
        <f>NhanCong!M$81</f>
        <v>135350.76923076925</v>
      </c>
      <c r="G173" s="320">
        <f>Dcu!N$104</f>
        <v>15818.134615384621</v>
      </c>
      <c r="H173" s="320">
        <f>VLieu!L$69</f>
        <v>750182</v>
      </c>
      <c r="I173" s="320">
        <f>TBi!O$65</f>
        <v>60984.160000000003</v>
      </c>
      <c r="J173" s="320"/>
      <c r="K173" s="320">
        <f t="shared" si="61"/>
        <v>4158749.713846155</v>
      </c>
      <c r="L173" s="320">
        <f t="shared" si="59"/>
        <v>1039687.4284615387</v>
      </c>
      <c r="M173" s="321">
        <f t="shared" si="60"/>
        <v>5198437.1423076941</v>
      </c>
      <c r="N173" s="320"/>
      <c r="O173" s="320">
        <f>NhanCong!N$80</f>
        <v>90496.153846153844</v>
      </c>
    </row>
    <row r="174" spans="1:15">
      <c r="A174" s="1041"/>
      <c r="B174" s="1038"/>
      <c r="C174" s="1039"/>
      <c r="D174" s="319" t="s">
        <v>35</v>
      </c>
      <c r="E174" s="301">
        <f>NhanCong!M$82</f>
        <v>3835697.580000001</v>
      </c>
      <c r="F174" s="301">
        <f>NhanCong!M$83</f>
        <v>162420.92307692309</v>
      </c>
      <c r="G174" s="320">
        <f>Dcu!N$105</f>
        <v>21090.84615384616</v>
      </c>
      <c r="H174" s="320">
        <f>VLieu!L$69</f>
        <v>750182</v>
      </c>
      <c r="I174" s="320">
        <f>TBi!P$65</f>
        <v>82243.040000000008</v>
      </c>
      <c r="J174" s="320"/>
      <c r="K174" s="320">
        <f t="shared" si="61"/>
        <v>4851634.3892307701</v>
      </c>
      <c r="L174" s="320">
        <f t="shared" si="59"/>
        <v>1212908.5973076925</v>
      </c>
      <c r="M174" s="321">
        <f t="shared" si="60"/>
        <v>6064542.9865384623</v>
      </c>
      <c r="N174" s="320"/>
      <c r="O174" s="320">
        <f>NhanCong!N$82</f>
        <v>108595.3846153846</v>
      </c>
    </row>
    <row r="175" spans="1:15">
      <c r="A175" s="1041"/>
      <c r="B175" s="1038"/>
      <c r="C175" s="1039"/>
      <c r="D175" s="319" t="s">
        <v>33</v>
      </c>
      <c r="E175" s="301">
        <f>NhanCong!M$84</f>
        <v>4602149.6950000022</v>
      </c>
      <c r="F175" s="301">
        <f>NhanCong!M$85</f>
        <v>195021.53846153847</v>
      </c>
      <c r="G175" s="320">
        <f>Dcu!N$106</f>
        <v>27418.100000000009</v>
      </c>
      <c r="H175" s="320">
        <f>VLieu!L$69</f>
        <v>750182</v>
      </c>
      <c r="I175" s="320">
        <f>TBi!Q$65</f>
        <v>108906.72</v>
      </c>
      <c r="J175" s="320"/>
      <c r="K175" s="320">
        <f t="shared" si="61"/>
        <v>5683678.0534615396</v>
      </c>
      <c r="L175" s="320">
        <f t="shared" si="59"/>
        <v>1420919.5133653849</v>
      </c>
      <c r="M175" s="321">
        <f t="shared" si="60"/>
        <v>7104597.5668269247</v>
      </c>
      <c r="N175" s="320"/>
      <c r="O175" s="320">
        <f>NhanCong!N$84</f>
        <v>130295</v>
      </c>
    </row>
    <row r="176" spans="1:15">
      <c r="A176" s="1041"/>
      <c r="B176" s="1038"/>
      <c r="C176" s="1039"/>
      <c r="D176" s="319" t="s">
        <v>13</v>
      </c>
      <c r="E176" s="301">
        <f>NhanCong!M$86</f>
        <v>5523267.0350000011</v>
      </c>
      <c r="F176" s="301">
        <f>NhanCong!M$87</f>
        <v>234025.84615384616</v>
      </c>
      <c r="G176" s="320">
        <f>Dcu!N$107</f>
        <v>35854.43846153847</v>
      </c>
      <c r="H176" s="320">
        <f>VLieu!L$69</f>
        <v>750182</v>
      </c>
      <c r="I176" s="320">
        <f>TBi!R$65</f>
        <v>138633.12</v>
      </c>
      <c r="J176" s="320"/>
      <c r="K176" s="320">
        <f t="shared" si="61"/>
        <v>6681962.4396153856</v>
      </c>
      <c r="L176" s="320">
        <f t="shared" si="59"/>
        <v>1670490.6099038464</v>
      </c>
      <c r="M176" s="321">
        <f t="shared" si="60"/>
        <v>8352453.0495192315</v>
      </c>
      <c r="N176" s="320"/>
      <c r="O176" s="320">
        <f>NhanCong!N$86</f>
        <v>156373.46153846153</v>
      </c>
    </row>
    <row r="177" spans="1:15">
      <c r="A177" s="1041" t="s">
        <v>363</v>
      </c>
      <c r="B177" s="1038" t="str">
        <f>NhanCong!B$88</f>
        <v>Đối soát, kiểm tra</v>
      </c>
      <c r="C177" s="1039" t="s">
        <v>317</v>
      </c>
      <c r="D177" s="319" t="s">
        <v>18</v>
      </c>
      <c r="E177" s="301">
        <f>NhanCong!M$88</f>
        <v>156040.02700000003</v>
      </c>
      <c r="F177" s="301">
        <f>NhanCong!M$89</f>
        <v>43079.384615384617</v>
      </c>
      <c r="G177" s="320">
        <f>Dcu!N$103*0.4</f>
        <v>5061.8030769230791</v>
      </c>
      <c r="H177" s="320">
        <f>VLieu!L$70</f>
        <v>390094.64</v>
      </c>
      <c r="I177" s="320"/>
      <c r="J177" s="320"/>
      <c r="K177" s="320">
        <f t="shared" si="61"/>
        <v>594275.85469230777</v>
      </c>
      <c r="L177" s="320">
        <f t="shared" si="59"/>
        <v>148568.96367307694</v>
      </c>
      <c r="M177" s="321">
        <f t="shared" si="60"/>
        <v>742844.81836538471</v>
      </c>
      <c r="N177" s="320"/>
      <c r="O177" s="320">
        <f>NhanCong!N$88</f>
        <v>4417.7692307692305</v>
      </c>
    </row>
    <row r="178" spans="1:15">
      <c r="A178" s="1041"/>
      <c r="B178" s="1038"/>
      <c r="C178" s="1039"/>
      <c r="D178" s="319" t="s">
        <v>20</v>
      </c>
      <c r="E178" s="301">
        <f>NhanCong!M$90</f>
        <v>195221.88400000002</v>
      </c>
      <c r="F178" s="301">
        <f>NhanCong!M$91</f>
        <v>53849.23076923078</v>
      </c>
      <c r="G178" s="320">
        <f>Dcu!N$104*0.4</f>
        <v>6327.2538461538488</v>
      </c>
      <c r="H178" s="320">
        <f>VLieu!L$70</f>
        <v>390094.64</v>
      </c>
      <c r="I178" s="320"/>
      <c r="J178" s="320"/>
      <c r="K178" s="320">
        <f t="shared" si="61"/>
        <v>645493.00861538469</v>
      </c>
      <c r="L178" s="320">
        <f t="shared" si="59"/>
        <v>161373.25215384617</v>
      </c>
      <c r="M178" s="321">
        <f t="shared" si="60"/>
        <v>806866.2607692309</v>
      </c>
      <c r="N178" s="320"/>
      <c r="O178" s="320">
        <f>NhanCong!N$90</f>
        <v>5527.0769230769229</v>
      </c>
    </row>
    <row r="179" spans="1:15">
      <c r="A179" s="1041"/>
      <c r="B179" s="1038"/>
      <c r="C179" s="1039"/>
      <c r="D179" s="319" t="s">
        <v>35</v>
      </c>
      <c r="E179" s="301">
        <f>NhanCong!M$92</f>
        <v>264649.38500000007</v>
      </c>
      <c r="F179" s="301">
        <f>NhanCong!M$93</f>
        <v>72769.23076923078</v>
      </c>
      <c r="G179" s="320">
        <f>Dcu!N$105*0.4</f>
        <v>8436.3384615384639</v>
      </c>
      <c r="H179" s="320">
        <f>VLieu!L$70</f>
        <v>390094.64</v>
      </c>
      <c r="I179" s="320"/>
      <c r="J179" s="320"/>
      <c r="K179" s="320">
        <f t="shared" si="61"/>
        <v>735949.59423076943</v>
      </c>
      <c r="L179" s="320">
        <f t="shared" si="59"/>
        <v>183987.39855769236</v>
      </c>
      <c r="M179" s="321">
        <f t="shared" si="60"/>
        <v>919936.99278846174</v>
      </c>
      <c r="N179" s="320"/>
      <c r="O179" s="320">
        <f>NhanCong!N$92</f>
        <v>7492.6923076923076</v>
      </c>
    </row>
    <row r="180" spans="1:15">
      <c r="A180" s="1041"/>
      <c r="B180" s="1038"/>
      <c r="C180" s="1039"/>
      <c r="D180" s="319" t="s">
        <v>33</v>
      </c>
      <c r="E180" s="301">
        <f>NhanCong!M$94</f>
        <v>358823.32200000004</v>
      </c>
      <c r="F180" s="301">
        <f>NhanCong!M$95</f>
        <v>98675.076923076937</v>
      </c>
      <c r="G180" s="320">
        <f>Dcu!N$106*0.4</f>
        <v>10967.240000000005</v>
      </c>
      <c r="H180" s="320">
        <f>VLieu!L$70</f>
        <v>390094.64</v>
      </c>
      <c r="I180" s="320"/>
      <c r="J180" s="320"/>
      <c r="K180" s="320">
        <f t="shared" si="61"/>
        <v>858560.27892307704</v>
      </c>
      <c r="L180" s="320">
        <f t="shared" si="59"/>
        <v>214640.06973076926</v>
      </c>
      <c r="M180" s="321">
        <f t="shared" si="60"/>
        <v>1073200.3486538464</v>
      </c>
      <c r="N180" s="320"/>
      <c r="O180" s="320">
        <f>NhanCong!N$94</f>
        <v>10158.923076923076</v>
      </c>
    </row>
    <row r="181" spans="1:15">
      <c r="A181" s="1041"/>
      <c r="B181" s="1038"/>
      <c r="C181" s="1039"/>
      <c r="D181" s="319" t="s">
        <v>13</v>
      </c>
      <c r="E181" s="301">
        <f>NhanCong!M$96</f>
        <v>452997.25900000008</v>
      </c>
      <c r="F181" s="301">
        <f>NhanCong!M$97</f>
        <v>124580.92307692309</v>
      </c>
      <c r="G181" s="320">
        <f>Dcu!N$107*0.4</f>
        <v>14341.775384615388</v>
      </c>
      <c r="H181" s="320">
        <f>VLieu!L$70</f>
        <v>390094.64</v>
      </c>
      <c r="I181" s="320"/>
      <c r="J181" s="320"/>
      <c r="K181" s="320">
        <f t="shared" si="61"/>
        <v>982014.59746153862</v>
      </c>
      <c r="L181" s="320">
        <f t="shared" si="59"/>
        <v>245503.64936538466</v>
      </c>
      <c r="M181" s="321">
        <f t="shared" si="60"/>
        <v>1227518.2468269232</v>
      </c>
      <c r="N181" s="320"/>
      <c r="O181" s="320">
        <f>NhanCong!N$96</f>
        <v>12825.153846153846</v>
      </c>
    </row>
    <row r="182" spans="1:15" ht="12.75" customHeight="1">
      <c r="A182" s="1041" t="s">
        <v>364</v>
      </c>
      <c r="B182" s="1038" t="str">
        <f>NhanCong!B$98</f>
        <v>Giao nhận Phiếu kết quả đo đạc hiện trạng thửa đất</v>
      </c>
      <c r="C182" s="1039" t="s">
        <v>317</v>
      </c>
      <c r="D182" s="319" t="s">
        <v>18</v>
      </c>
      <c r="E182" s="301">
        <f>NhanCong!M$98</f>
        <v>481868.10100000008</v>
      </c>
      <c r="F182" s="301">
        <f>NhanCong!M$99</f>
        <v>204044.92307692309</v>
      </c>
      <c r="G182" s="320">
        <f>Dcu!N$103*0.4</f>
        <v>5061.8030769230791</v>
      </c>
      <c r="H182" s="320">
        <f>VLieu!L$71</f>
        <v>390094.64</v>
      </c>
      <c r="I182" s="320"/>
      <c r="J182" s="320"/>
      <c r="K182" s="320">
        <f t="shared" si="61"/>
        <v>1081069.4671538463</v>
      </c>
      <c r="L182" s="320">
        <f t="shared" si="59"/>
        <v>270267.36678846157</v>
      </c>
      <c r="M182" s="321">
        <f t="shared" si="60"/>
        <v>1351336.8339423079</v>
      </c>
      <c r="N182" s="320"/>
      <c r="O182" s="320">
        <f>NhanCong!N$98</f>
        <v>13642.538461538461</v>
      </c>
    </row>
    <row r="183" spans="1:15">
      <c r="A183" s="1041"/>
      <c r="B183" s="1038"/>
      <c r="C183" s="1039"/>
      <c r="D183" s="319" t="s">
        <v>20</v>
      </c>
      <c r="E183" s="301">
        <f>NhanCong!M$100</f>
        <v>578791.64200000011</v>
      </c>
      <c r="F183" s="301">
        <f>NhanCong!M$101</f>
        <v>245086.76923076925</v>
      </c>
      <c r="G183" s="320">
        <f>Dcu!N$104*0.4</f>
        <v>6327.2538461538488</v>
      </c>
      <c r="H183" s="320">
        <f>VLieu!L$71</f>
        <v>390094.64</v>
      </c>
      <c r="I183" s="320"/>
      <c r="J183" s="320"/>
      <c r="K183" s="320">
        <f t="shared" si="61"/>
        <v>1220300.3050769232</v>
      </c>
      <c r="L183" s="320">
        <f t="shared" si="59"/>
        <v>305075.07626923081</v>
      </c>
      <c r="M183" s="321">
        <f t="shared" si="60"/>
        <v>1525375.381346154</v>
      </c>
      <c r="N183" s="320"/>
      <c r="O183" s="320">
        <f>NhanCong!N$100</f>
        <v>16386.615384615387</v>
      </c>
    </row>
    <row r="184" spans="1:15">
      <c r="A184" s="1041"/>
      <c r="B184" s="1038"/>
      <c r="C184" s="1039"/>
      <c r="D184" s="319" t="s">
        <v>35</v>
      </c>
      <c r="E184" s="301">
        <f>NhanCong!M$102</f>
        <v>694275.01</v>
      </c>
      <c r="F184" s="301">
        <f>NhanCong!M$103</f>
        <v>293987.69230769231</v>
      </c>
      <c r="G184" s="320">
        <f>Dcu!N$105*0.4</f>
        <v>8436.3384615384639</v>
      </c>
      <c r="H184" s="320">
        <f>VLieu!L$71</f>
        <v>390094.64</v>
      </c>
      <c r="I184" s="320"/>
      <c r="J184" s="320"/>
      <c r="K184" s="320">
        <f t="shared" si="61"/>
        <v>1386793.6807692307</v>
      </c>
      <c r="L184" s="320">
        <f t="shared" si="59"/>
        <v>346698.42019230768</v>
      </c>
      <c r="M184" s="321">
        <f t="shared" si="60"/>
        <v>1733492.1009615385</v>
      </c>
      <c r="N184" s="320"/>
      <c r="O184" s="320">
        <f>NhanCong!N$102</f>
        <v>19656.153846153844</v>
      </c>
    </row>
    <row r="185" spans="1:15">
      <c r="A185" s="1041"/>
      <c r="B185" s="1038"/>
      <c r="C185" s="1039"/>
      <c r="D185" s="319" t="s">
        <v>33</v>
      </c>
      <c r="E185" s="301">
        <f>NhanCong!M$104</f>
        <v>833130.01200000022</v>
      </c>
      <c r="F185" s="301">
        <f>NhanCong!M$105</f>
        <v>352785.23076923081</v>
      </c>
      <c r="G185" s="320">
        <f>Dcu!N$106*0.4</f>
        <v>10967.240000000005</v>
      </c>
      <c r="H185" s="320">
        <f>VLieu!L$71</f>
        <v>390094.64</v>
      </c>
      <c r="I185" s="320"/>
      <c r="J185" s="320"/>
      <c r="K185" s="320">
        <f t="shared" si="61"/>
        <v>1586977.122769231</v>
      </c>
      <c r="L185" s="320">
        <f t="shared" si="59"/>
        <v>396744.28069230774</v>
      </c>
      <c r="M185" s="321">
        <f t="shared" si="60"/>
        <v>1983721.4034615387</v>
      </c>
      <c r="N185" s="320"/>
      <c r="O185" s="320">
        <f>NhanCong!N$104</f>
        <v>23587.38461538461</v>
      </c>
    </row>
    <row r="186" spans="1:15">
      <c r="A186" s="1041"/>
      <c r="B186" s="1038"/>
      <c r="C186" s="1039"/>
      <c r="D186" s="319" t="s">
        <v>13</v>
      </c>
      <c r="E186" s="301">
        <f>NhanCong!M$106</f>
        <v>999481.054</v>
      </c>
      <c r="F186" s="301">
        <f>NhanCong!M$107</f>
        <v>423225.84615384619</v>
      </c>
      <c r="G186" s="320">
        <f>Dcu!N$107*0.4</f>
        <v>14341.775384615388</v>
      </c>
      <c r="H186" s="320">
        <f>VLieu!L$71</f>
        <v>390094.64</v>
      </c>
      <c r="I186" s="320"/>
      <c r="J186" s="320"/>
      <c r="K186" s="320">
        <f t="shared" si="61"/>
        <v>1827143.3155384618</v>
      </c>
      <c r="L186" s="320">
        <f t="shared" si="59"/>
        <v>456785.82888461545</v>
      </c>
      <c r="M186" s="321">
        <f t="shared" si="60"/>
        <v>2283929.1444230773</v>
      </c>
      <c r="N186" s="320"/>
      <c r="O186" s="320">
        <f>NhanCong!N$106</f>
        <v>28297.076923076922</v>
      </c>
    </row>
    <row r="187" spans="1:15" ht="13.5" customHeight="1">
      <c r="A187" s="298">
        <v>2</v>
      </c>
      <c r="B187" s="316" t="s">
        <v>58</v>
      </c>
      <c r="C187" s="319" t="s">
        <v>43</v>
      </c>
      <c r="D187" s="319"/>
      <c r="E187" s="301">
        <f>NhanCong!M$108</f>
        <v>0</v>
      </c>
      <c r="F187" s="301"/>
      <c r="G187" s="320"/>
      <c r="H187" s="320"/>
      <c r="I187" s="320"/>
      <c r="J187" s="320"/>
      <c r="K187" s="320">
        <f>E187+F187+G187+I187+J187</f>
        <v>0</v>
      </c>
      <c r="L187" s="320"/>
      <c r="M187" s="321"/>
      <c r="N187" s="320"/>
      <c r="O187" s="320"/>
    </row>
    <row r="188" spans="1:15">
      <c r="A188" s="1041" t="s">
        <v>268</v>
      </c>
      <c r="B188" s="1038" t="str">
        <f>NhanCong!B$109</f>
        <v>Biên tập bản đồ địa chính</v>
      </c>
      <c r="C188" s="1039" t="s">
        <v>317</v>
      </c>
      <c r="D188" s="319" t="s">
        <v>18</v>
      </c>
      <c r="E188" s="301">
        <f>NhanCong!M$109</f>
        <v>504827.29440000007</v>
      </c>
      <c r="F188" s="301"/>
      <c r="G188" s="320">
        <f>Dcu!N$123</f>
        <v>2721.8136136752132</v>
      </c>
      <c r="H188" s="320">
        <f>VLieu!L$90</f>
        <v>125216.96000000002</v>
      </c>
      <c r="I188" s="320">
        <f>TBi!N$94</f>
        <v>42044.979885714281</v>
      </c>
      <c r="J188" s="320">
        <f>TBi!N$100</f>
        <v>12180.672000000002</v>
      </c>
      <c r="K188" s="320">
        <f>SUM(E188:J188)</f>
        <v>686991.71989938954</v>
      </c>
      <c r="L188" s="320">
        <f>K188*0.15</f>
        <v>103048.75798490843</v>
      </c>
      <c r="M188" s="321">
        <f>K188+L188</f>
        <v>790040.47788429796</v>
      </c>
      <c r="N188" s="320"/>
      <c r="O188" s="320">
        <f>NhanCong!N$109</f>
        <v>14292.553846153845</v>
      </c>
    </row>
    <row r="189" spans="1:15">
      <c r="A189" s="1041"/>
      <c r="B189" s="1038"/>
      <c r="C189" s="1039"/>
      <c r="D189" s="319" t="s">
        <v>20</v>
      </c>
      <c r="E189" s="301">
        <f>NhanCong!M$110</f>
        <v>617011.13760000013</v>
      </c>
      <c r="F189" s="301"/>
      <c r="G189" s="320">
        <f>Dcu!N$124</f>
        <v>3305.0593880341876</v>
      </c>
      <c r="H189" s="320">
        <f>VLieu!L$90</f>
        <v>125216.96000000002</v>
      </c>
      <c r="I189" s="320">
        <f>TBi!O$94</f>
        <v>51424.435428571436</v>
      </c>
      <c r="J189" s="320">
        <f>TBi!O$100</f>
        <v>22138.905600000002</v>
      </c>
      <c r="K189" s="320">
        <f>SUM(E189:J189)</f>
        <v>819096.49801660574</v>
      </c>
      <c r="L189" s="320">
        <f>K189*0.15</f>
        <v>122864.47470249086</v>
      </c>
      <c r="M189" s="321">
        <f>K189+L189</f>
        <v>941960.97271909658</v>
      </c>
      <c r="N189" s="320"/>
      <c r="O189" s="320">
        <f>NhanCong!N$110</f>
        <v>17468.676923076924</v>
      </c>
    </row>
    <row r="190" spans="1:15">
      <c r="A190" s="1041"/>
      <c r="B190" s="1038"/>
      <c r="C190" s="1039"/>
      <c r="D190" s="319" t="s">
        <v>35</v>
      </c>
      <c r="E190" s="301">
        <f>NhanCong!M$111</f>
        <v>729194.98080000014</v>
      </c>
      <c r="F190" s="301"/>
      <c r="G190" s="320">
        <f>Dcu!N$125</f>
        <v>3888.3051623931619</v>
      </c>
      <c r="H190" s="320">
        <f>VLieu!L$90</f>
        <v>125216.96000000002</v>
      </c>
      <c r="I190" s="320">
        <f>TBi!P$94</f>
        <v>60657.123199999987</v>
      </c>
      <c r="J190" s="320">
        <f>TBi!P$100</f>
        <v>27552.537599999996</v>
      </c>
      <c r="K190" s="320">
        <f>SUM(E190:J190)</f>
        <v>946509.90676239331</v>
      </c>
      <c r="L190" s="320">
        <f>K190*0.15</f>
        <v>141976.48601435899</v>
      </c>
      <c r="M190" s="321">
        <f>K190+L190</f>
        <v>1088486.3927767524</v>
      </c>
      <c r="N190" s="320"/>
      <c r="O190" s="320">
        <f>NhanCong!N$111</f>
        <v>20644.8</v>
      </c>
    </row>
    <row r="191" spans="1:15">
      <c r="A191" s="1041"/>
      <c r="B191" s="1038"/>
      <c r="C191" s="1039"/>
      <c r="D191" s="319" t="s">
        <v>33</v>
      </c>
      <c r="E191" s="301">
        <f>NhanCong!M$112</f>
        <v>878773.43840000022</v>
      </c>
      <c r="F191" s="301"/>
      <c r="G191" s="320">
        <f>Dcu!N$126</f>
        <v>4665.966194871794</v>
      </c>
      <c r="H191" s="320">
        <f>VLieu!L$90</f>
        <v>125216.96000000002</v>
      </c>
      <c r="I191" s="320">
        <f>TBi!Q$94</f>
        <v>73072.67931428572</v>
      </c>
      <c r="J191" s="320">
        <f>TBi!Q$100</f>
        <v>31580.707200000001</v>
      </c>
      <c r="K191" s="320">
        <f>SUM(E191:J191)</f>
        <v>1113309.7511091579</v>
      </c>
      <c r="L191" s="320">
        <f>K191*0.15</f>
        <v>166996.46266637367</v>
      </c>
      <c r="M191" s="321">
        <f>K191+L191</f>
        <v>1280306.2137755316</v>
      </c>
      <c r="N191" s="320"/>
      <c r="O191" s="320">
        <f>NhanCong!N$112</f>
        <v>24879.630769230771</v>
      </c>
    </row>
    <row r="192" spans="1:15">
      <c r="A192" s="1041"/>
      <c r="B192" s="1038"/>
      <c r="C192" s="1039"/>
      <c r="D192" s="319" t="s">
        <v>13</v>
      </c>
      <c r="E192" s="301">
        <f>NhanCong!M$113</f>
        <v>1056947.7776000001</v>
      </c>
      <c r="F192" s="301"/>
      <c r="G192" s="320">
        <f>Dcu!N$127</f>
        <v>5638.042485470085</v>
      </c>
      <c r="H192" s="320">
        <f>VLieu!L$90</f>
        <v>125216.96000000002</v>
      </c>
      <c r="I192" s="320">
        <f>TBi!R$94</f>
        <v>87751.320914285709</v>
      </c>
      <c r="J192" s="320">
        <f>TBi!R$100</f>
        <v>37877.615999999995</v>
      </c>
      <c r="K192" s="320">
        <f>SUM(E192:J192)</f>
        <v>1313431.7169997559</v>
      </c>
      <c r="L192" s="320">
        <f>K192*0.15</f>
        <v>197014.7575499634</v>
      </c>
      <c r="M192" s="321">
        <f>K192+L192</f>
        <v>1510446.4745497194</v>
      </c>
      <c r="N192" s="320"/>
      <c r="O192" s="320">
        <f>NhanCong!N$113</f>
        <v>29924.061538461534</v>
      </c>
    </row>
    <row r="193" spans="1:15" ht="26">
      <c r="A193" s="323">
        <v>2.2000000000000002</v>
      </c>
      <c r="B193" s="324" t="str">
        <f>NhanCong!B$114</f>
        <v>Lập Phiếu xác nhận kết quả đo đạc hiện trạng thửa đất</v>
      </c>
      <c r="C193" s="319" t="s">
        <v>317</v>
      </c>
      <c r="D193" s="319" t="s">
        <v>15</v>
      </c>
      <c r="E193" s="301">
        <f>NhanCong!M$114</f>
        <v>414640.28320000006</v>
      </c>
      <c r="F193" s="301"/>
      <c r="G193" s="320">
        <f>Dcu!N$138</f>
        <v>1863.0833435897437</v>
      </c>
      <c r="H193" s="320">
        <f>VLieu!L$91</f>
        <v>102450.24000000001</v>
      </c>
      <c r="I193" s="320">
        <f>TBi!N$134</f>
        <v>11175.880571428572</v>
      </c>
      <c r="J193" s="320">
        <f>TBi!N$137</f>
        <v>17921.9712</v>
      </c>
      <c r="K193" s="320">
        <f t="shared" ref="K193:K198" si="62">SUM(E193:J193)</f>
        <v>548051.45831501845</v>
      </c>
      <c r="L193" s="320">
        <f t="shared" ref="L193:L198" si="63">K193*0.15</f>
        <v>82207.718747252758</v>
      </c>
      <c r="M193" s="321">
        <f t="shared" ref="M193:M198" si="64">K193+L193</f>
        <v>630259.17706227116</v>
      </c>
      <c r="N193" s="320"/>
      <c r="O193" s="320">
        <f>NhanCong!N$114</f>
        <v>11739.2</v>
      </c>
    </row>
    <row r="194" spans="1:15" ht="26">
      <c r="A194" s="323" t="s">
        <v>246</v>
      </c>
      <c r="B194" s="324" t="str">
        <f>NhanCong!B$115</f>
        <v>Công khai bản đồ địa chính, Hoàn thiện bản đồ địa chính</v>
      </c>
      <c r="C194" s="319" t="s">
        <v>317</v>
      </c>
      <c r="D194" s="319" t="s">
        <v>15</v>
      </c>
      <c r="E194" s="301">
        <f>NhanCong!M$115</f>
        <v>340400.9752000001</v>
      </c>
      <c r="F194" s="301"/>
      <c r="G194" s="320">
        <f>Dcu!N$130</f>
        <v>2721.8136136752132</v>
      </c>
      <c r="H194" s="320">
        <f>VLieu!L$94</f>
        <v>45533.440000000002</v>
      </c>
      <c r="I194" s="320">
        <f>TBi!N$160</f>
        <v>13326.735999999999</v>
      </c>
      <c r="J194" s="320">
        <f>TBi!N$163</f>
        <v>17491.017599999999</v>
      </c>
      <c r="K194" s="320">
        <f t="shared" si="62"/>
        <v>419473.98241367529</v>
      </c>
      <c r="L194" s="320">
        <f t="shared" si="63"/>
        <v>62921.097362051289</v>
      </c>
      <c r="M194" s="321">
        <f t="shared" si="64"/>
        <v>482395.0797757266</v>
      </c>
      <c r="N194" s="320"/>
      <c r="O194" s="320">
        <f>NhanCong!N$115</f>
        <v>9637.3538461538465</v>
      </c>
    </row>
    <row r="195" spans="1:15">
      <c r="A195" s="323">
        <v>2.4</v>
      </c>
      <c r="B195" s="324" t="str">
        <f>NhanCong!B$116</f>
        <v>Lập sổ mục kê đất đai phạm vi khu đo</v>
      </c>
      <c r="C195" s="319" t="s">
        <v>317</v>
      </c>
      <c r="D195" s="319" t="s">
        <v>15</v>
      </c>
      <c r="E195" s="301">
        <f>NhanCong!M$116</f>
        <v>19247.228000000003</v>
      </c>
      <c r="F195" s="301"/>
      <c r="G195" s="320">
        <f>Dcu!N$140</f>
        <v>1166.4915487179485</v>
      </c>
      <c r="H195" s="320">
        <f>VLieu!L$94</f>
        <v>45533.440000000002</v>
      </c>
      <c r="I195" s="320"/>
      <c r="J195" s="320"/>
      <c r="K195" s="320">
        <f t="shared" si="62"/>
        <v>65947.159548717958</v>
      </c>
      <c r="L195" s="320">
        <f t="shared" si="63"/>
        <v>9892.0739323076941</v>
      </c>
      <c r="M195" s="321">
        <f t="shared" si="64"/>
        <v>75839.233481025658</v>
      </c>
      <c r="N195" s="320"/>
      <c r="O195" s="320">
        <f>NhanCong!N$116</f>
        <v>544.92307692307691</v>
      </c>
    </row>
    <row r="196" spans="1:15" ht="39">
      <c r="A196" s="323">
        <v>2.5</v>
      </c>
      <c r="B196" s="324" t="str">
        <f>NhanCong!B$117</f>
        <v>In sản phẩm đo đạc lập bản đồ địa chính gồm sản phẩm chính và sản phẩm trung gian</v>
      </c>
      <c r="C196" s="319" t="s">
        <v>317</v>
      </c>
      <c r="D196" s="319" t="s">
        <v>15</v>
      </c>
      <c r="E196" s="301">
        <f>NhanCong!M$117</f>
        <v>32995.248</v>
      </c>
      <c r="F196" s="301"/>
      <c r="G196" s="320">
        <f>Dcu!N$152</f>
        <v>1265.8237538461537</v>
      </c>
      <c r="H196" s="320">
        <f>VLieu!L$102</f>
        <v>10486.4</v>
      </c>
      <c r="I196" s="320">
        <f>TBi!N$187</f>
        <v>1256.5539428571428</v>
      </c>
      <c r="J196" s="320">
        <f>TBi!N$191</f>
        <v>1275.0527999999999</v>
      </c>
      <c r="K196" s="320">
        <f t="shared" si="62"/>
        <v>47279.078496703296</v>
      </c>
      <c r="L196" s="320">
        <f t="shared" si="63"/>
        <v>7091.8617745054944</v>
      </c>
      <c r="M196" s="321">
        <f t="shared" si="64"/>
        <v>54370.94027120879</v>
      </c>
      <c r="N196" s="320"/>
      <c r="O196" s="320">
        <f>NhanCong!N$117</f>
        <v>934.15384615384608</v>
      </c>
    </row>
    <row r="197" spans="1:15">
      <c r="A197" s="323">
        <v>2.6</v>
      </c>
      <c r="B197" s="324" t="str">
        <f>NhanCong!B$118</f>
        <v>Trình ký xác nhận hồ sơ</v>
      </c>
      <c r="C197" s="319" t="s">
        <v>317</v>
      </c>
      <c r="D197" s="319" t="s">
        <v>15</v>
      </c>
      <c r="E197" s="301">
        <f>NhanCong!M$118</f>
        <v>32995.248</v>
      </c>
      <c r="F197" s="301"/>
      <c r="G197" s="320">
        <f>Dcu!N$140</f>
        <v>1166.4915487179485</v>
      </c>
      <c r="H197" s="320">
        <f>VLieu!L$94</f>
        <v>45533.440000000002</v>
      </c>
      <c r="I197" s="320"/>
      <c r="J197" s="320"/>
      <c r="K197" s="320">
        <f t="shared" si="62"/>
        <v>79695.179548717948</v>
      </c>
      <c r="L197" s="320">
        <f t="shared" si="63"/>
        <v>11954.276932307692</v>
      </c>
      <c r="M197" s="321">
        <f t="shared" si="64"/>
        <v>91649.456481025642</v>
      </c>
      <c r="N197" s="320"/>
      <c r="O197" s="320">
        <f>NhanCong!N$118</f>
        <v>934.15384615384608</v>
      </c>
    </row>
    <row r="198" spans="1:15" ht="31" customHeight="1">
      <c r="A198" s="323">
        <v>2.7</v>
      </c>
      <c r="B198" s="324" t="str">
        <f>NhanCong!B$119</f>
        <v>Giao nộp sản phẩm đo đạc lập bản đồ địa chính</v>
      </c>
      <c r="C198" s="319" t="s">
        <v>317</v>
      </c>
      <c r="D198" s="319" t="s">
        <v>15</v>
      </c>
      <c r="E198" s="301">
        <f>NhanCong!M$119</f>
        <v>69290.020800000013</v>
      </c>
      <c r="F198" s="301"/>
      <c r="G198" s="320">
        <f>Dcu!N$154</f>
        <v>63.291187692307687</v>
      </c>
      <c r="H198" s="320">
        <f>VLieu!L$94</f>
        <v>45533.440000000002</v>
      </c>
      <c r="I198" s="320"/>
      <c r="J198" s="320"/>
      <c r="K198" s="320">
        <f t="shared" si="62"/>
        <v>114886.75198769232</v>
      </c>
      <c r="L198" s="320">
        <f t="shared" si="63"/>
        <v>17233.012798153846</v>
      </c>
      <c r="M198" s="321">
        <f t="shared" si="64"/>
        <v>132119.76478584617</v>
      </c>
      <c r="N198" s="320"/>
      <c r="O198" s="320">
        <f>NhanCong!N$119</f>
        <v>1961.7230769230769</v>
      </c>
    </row>
    <row r="199" spans="1:15">
      <c r="A199" s="298" t="s">
        <v>29</v>
      </c>
      <c r="B199" s="316" t="s">
        <v>46</v>
      </c>
      <c r="C199" s="300"/>
      <c r="D199" s="300"/>
      <c r="E199" s="301"/>
      <c r="F199" s="301"/>
      <c r="G199" s="301"/>
      <c r="H199" s="301"/>
      <c r="I199" s="301"/>
      <c r="J199" s="301"/>
      <c r="K199" s="301"/>
      <c r="L199" s="301"/>
      <c r="M199" s="315">
        <v>25</v>
      </c>
      <c r="N199" s="325" t="s">
        <v>21</v>
      </c>
      <c r="O199" s="301"/>
    </row>
    <row r="200" spans="1:15" s="308" customFormat="1" ht="13.5" customHeight="1">
      <c r="A200" s="1036"/>
      <c r="B200" s="1035" t="s">
        <v>190</v>
      </c>
      <c r="C200" s="1036" t="s">
        <v>21</v>
      </c>
      <c r="D200" s="298">
        <v>1</v>
      </c>
      <c r="E200" s="301">
        <f t="shared" ref="E200:J200" si="65">SUM(E$234,E235,E240,E245,E250,E255)</f>
        <v>2310422.0590000004</v>
      </c>
      <c r="F200" s="301">
        <f t="shared" si="65"/>
        <v>254619.5384615385</v>
      </c>
      <c r="G200" s="301">
        <f t="shared" si="65"/>
        <v>19229.625641025639</v>
      </c>
      <c r="H200" s="301">
        <f t="shared" si="65"/>
        <v>588480.54</v>
      </c>
      <c r="I200" s="301">
        <f t="shared" si="65"/>
        <v>27443.377142857145</v>
      </c>
      <c r="J200" s="301">
        <f t="shared" si="65"/>
        <v>58.766400000000004</v>
      </c>
      <c r="K200" s="301">
        <f t="shared" ref="K200:K209" si="66">SUM(E200:J200)</f>
        <v>3200253.9066454219</v>
      </c>
      <c r="L200" s="301">
        <f>K200*0.25</f>
        <v>800063.47666135547</v>
      </c>
      <c r="M200" s="315">
        <f t="shared" ref="M200:M209" si="67">K200+L200</f>
        <v>4000317.3833067771</v>
      </c>
      <c r="N200" s="301">
        <f>M200+M205</f>
        <v>5069684.3655533642</v>
      </c>
      <c r="O200" s="301">
        <f>SUM(O$234,O235,O240,O245,O250,O255)</f>
        <v>65273.999999999993</v>
      </c>
    </row>
    <row r="201" spans="1:15" s="308" customFormat="1" ht="15" customHeight="1">
      <c r="A201" s="1036"/>
      <c r="B201" s="1035"/>
      <c r="C201" s="1036"/>
      <c r="D201" s="298">
        <v>2</v>
      </c>
      <c r="E201" s="301">
        <f>SUM(E$234,E236,E241,E246,E251,E256)</f>
        <v>2739875.8337500007</v>
      </c>
      <c r="F201" s="301">
        <f t="shared" ref="F201:J204" si="68">SUM(F$234,F236,F241,F246,F251,F256)</f>
        <v>302428.92307692312</v>
      </c>
      <c r="G201" s="301">
        <f t="shared" si="68"/>
        <v>22437.169294871794</v>
      </c>
      <c r="H201" s="301">
        <f t="shared" si="68"/>
        <v>588480.54</v>
      </c>
      <c r="I201" s="301">
        <f t="shared" si="68"/>
        <v>32330.217142857146</v>
      </c>
      <c r="J201" s="301">
        <f>SUM(J$234,J236,J241,J246,J251,J256)</f>
        <v>58.766400000000004</v>
      </c>
      <c r="K201" s="301">
        <f t="shared" si="66"/>
        <v>3685611.4496646528</v>
      </c>
      <c r="L201" s="301">
        <f>K201*0.25</f>
        <v>921402.8624161632</v>
      </c>
      <c r="M201" s="315">
        <f t="shared" si="67"/>
        <v>4607014.3120808164</v>
      </c>
      <c r="N201" s="301">
        <f>M201+M206</f>
        <v>5745456.3195952345</v>
      </c>
      <c r="O201" s="301">
        <f t="shared" ref="O201:O204" si="69">SUM(O$234,O236,O241,O246,O251,O256)</f>
        <v>77432.596153846156</v>
      </c>
    </row>
    <row r="202" spans="1:15" s="308" customFormat="1" ht="15" customHeight="1">
      <c r="A202" s="1036"/>
      <c r="B202" s="1035"/>
      <c r="C202" s="1036"/>
      <c r="D202" s="298">
        <v>3</v>
      </c>
      <c r="E202" s="301">
        <f>SUM(E$234,E237,E242,E247,E252,E257)</f>
        <v>3517498.2150000003</v>
      </c>
      <c r="F202" s="301">
        <f t="shared" si="68"/>
        <v>415803.38461538462</v>
      </c>
      <c r="G202" s="301">
        <f t="shared" si="68"/>
        <v>25759.798717948717</v>
      </c>
      <c r="H202" s="301">
        <f t="shared" si="68"/>
        <v>588480.54</v>
      </c>
      <c r="I202" s="301">
        <f t="shared" si="68"/>
        <v>38230.457142857143</v>
      </c>
      <c r="J202" s="301">
        <f t="shared" si="68"/>
        <v>58.766400000000004</v>
      </c>
      <c r="K202" s="301">
        <f t="shared" si="66"/>
        <v>4585831.1618761905</v>
      </c>
      <c r="L202" s="301">
        <f>K202*0.25</f>
        <v>1146457.7904690476</v>
      </c>
      <c r="M202" s="315">
        <f t="shared" si="67"/>
        <v>5732288.9523452381</v>
      </c>
      <c r="N202" s="301">
        <f>M202+M207</f>
        <v>6960899.557749087</v>
      </c>
      <c r="O202" s="301">
        <f t="shared" si="69"/>
        <v>99448.461538461517</v>
      </c>
    </row>
    <row r="203" spans="1:15" s="308" customFormat="1" ht="15" customHeight="1">
      <c r="A203" s="1036"/>
      <c r="B203" s="1035"/>
      <c r="C203" s="1036"/>
      <c r="D203" s="298">
        <v>4</v>
      </c>
      <c r="E203" s="301">
        <f t="shared" ref="E203:E204" si="70">SUM(E$234,E238,E243,E248,E253,E258)</f>
        <v>4841088.8405000009</v>
      </c>
      <c r="F203" s="301">
        <f t="shared" si="68"/>
        <v>663728.15384615387</v>
      </c>
      <c r="G203" s="301">
        <f t="shared" si="68"/>
        <v>31297.514423076918</v>
      </c>
      <c r="H203" s="301">
        <f t="shared" si="68"/>
        <v>588480.54</v>
      </c>
      <c r="I203" s="301">
        <f t="shared" si="68"/>
        <v>48702.257142857139</v>
      </c>
      <c r="J203" s="301">
        <f t="shared" si="68"/>
        <v>58.766400000000004</v>
      </c>
      <c r="K203" s="301">
        <f t="shared" si="66"/>
        <v>6173356.0723120887</v>
      </c>
      <c r="L203" s="301">
        <f>K203*0.25</f>
        <v>1543339.0180780222</v>
      </c>
      <c r="M203" s="315">
        <f t="shared" si="67"/>
        <v>7716695.0903901104</v>
      </c>
      <c r="N203" s="301">
        <f>M203+M208</f>
        <v>9055864.9945371766</v>
      </c>
      <c r="O203" s="301">
        <f t="shared" si="69"/>
        <v>136921.65384615384</v>
      </c>
    </row>
    <row r="204" spans="1:15" s="308" customFormat="1" ht="15" customHeight="1">
      <c r="A204" s="1036"/>
      <c r="B204" s="1035"/>
      <c r="C204" s="1036"/>
      <c r="D204" s="298">
        <v>5</v>
      </c>
      <c r="E204" s="301">
        <f t="shared" si="70"/>
        <v>6050055.3492500018</v>
      </c>
      <c r="F204" s="301">
        <f t="shared" si="68"/>
        <v>851763.84615384624</v>
      </c>
      <c r="G204" s="301">
        <f t="shared" si="68"/>
        <v>38164.281897435896</v>
      </c>
      <c r="H204" s="301">
        <f t="shared" si="68"/>
        <v>588480.54</v>
      </c>
      <c r="I204" s="301">
        <f t="shared" si="68"/>
        <v>61651.257142857139</v>
      </c>
      <c r="J204" s="301">
        <f t="shared" si="68"/>
        <v>58.766400000000004</v>
      </c>
      <c r="K204" s="301">
        <f t="shared" si="66"/>
        <v>7590174.0408441406</v>
      </c>
      <c r="L204" s="301">
        <f>K204*0.25</f>
        <v>1897543.5102110351</v>
      </c>
      <c r="M204" s="315">
        <f t="shared" si="67"/>
        <v>9487717.5510551762</v>
      </c>
      <c r="N204" s="301">
        <f>M204+M209</f>
        <v>10965109.224517146</v>
      </c>
      <c r="O204" s="301">
        <f t="shared" si="69"/>
        <v>171149.6346153846</v>
      </c>
    </row>
    <row r="205" spans="1:15" s="308" customFormat="1" ht="13.5" customHeight="1">
      <c r="A205" s="1036"/>
      <c r="B205" s="1035" t="s">
        <v>192</v>
      </c>
      <c r="C205" s="1036" t="s">
        <v>21</v>
      </c>
      <c r="D205" s="298">
        <v>1</v>
      </c>
      <c r="E205" s="301">
        <f t="shared" ref="E205:J209" si="71">(E262+SUM(E$267:E$272))</f>
        <v>683963.99500000011</v>
      </c>
      <c r="F205" s="301">
        <f t="shared" si="71"/>
        <v>0</v>
      </c>
      <c r="G205" s="301">
        <f t="shared" si="71"/>
        <v>4891.1160740512823</v>
      </c>
      <c r="H205" s="301">
        <f t="shared" si="71"/>
        <v>189480</v>
      </c>
      <c r="I205" s="301">
        <f t="shared" si="71"/>
        <v>29268.742114285713</v>
      </c>
      <c r="J205" s="301">
        <f t="shared" si="71"/>
        <v>22280.479200000002</v>
      </c>
      <c r="K205" s="301">
        <f t="shared" si="66"/>
        <v>929884.332388337</v>
      </c>
      <c r="L205" s="301">
        <f>K205*0.15</f>
        <v>139482.64985825054</v>
      </c>
      <c r="M205" s="315">
        <f t="shared" si="67"/>
        <v>1069366.9822465875</v>
      </c>
      <c r="N205" s="301"/>
      <c r="O205" s="301">
        <f>(O262+SUM(O$267:O$272))</f>
        <v>19364.23076923077</v>
      </c>
    </row>
    <row r="206" spans="1:15" s="308" customFormat="1" ht="15" customHeight="1">
      <c r="A206" s="1036"/>
      <c r="B206" s="1035"/>
      <c r="C206" s="1036"/>
      <c r="D206" s="298">
        <v>2</v>
      </c>
      <c r="E206" s="301">
        <f t="shared" si="71"/>
        <v>738681.1146000002</v>
      </c>
      <c r="F206" s="301">
        <f t="shared" si="71"/>
        <v>0</v>
      </c>
      <c r="G206" s="301">
        <f t="shared" si="71"/>
        <v>5176.8383802393164</v>
      </c>
      <c r="H206" s="301">
        <f t="shared" si="71"/>
        <v>189480</v>
      </c>
      <c r="I206" s="301">
        <f t="shared" si="71"/>
        <v>32772.939571428571</v>
      </c>
      <c r="J206" s="301">
        <f t="shared" si="71"/>
        <v>23838.679199999999</v>
      </c>
      <c r="K206" s="301">
        <f t="shared" si="66"/>
        <v>989949.57175166812</v>
      </c>
      <c r="L206" s="301">
        <f>K206*0.15</f>
        <v>148492.43576275022</v>
      </c>
      <c r="M206" s="315">
        <f t="shared" si="67"/>
        <v>1138442.0075144183</v>
      </c>
      <c r="N206" s="301"/>
      <c r="O206" s="301">
        <f>(O263+SUM(O$267:O$272))</f>
        <v>20913.369230769233</v>
      </c>
    </row>
    <row r="207" spans="1:15" s="308" customFormat="1" ht="15" customHeight="1">
      <c r="A207" s="1036"/>
      <c r="B207" s="1035"/>
      <c r="C207" s="1036"/>
      <c r="D207" s="298">
        <v>3</v>
      </c>
      <c r="E207" s="301">
        <f t="shared" si="71"/>
        <v>807146.2542000002</v>
      </c>
      <c r="F207" s="301">
        <f t="shared" si="71"/>
        <v>0</v>
      </c>
      <c r="G207" s="301">
        <f t="shared" si="71"/>
        <v>5533.9912629743585</v>
      </c>
      <c r="H207" s="301">
        <f t="shared" si="71"/>
        <v>189480</v>
      </c>
      <c r="I207" s="301">
        <f t="shared" si="71"/>
        <v>39435.830714285708</v>
      </c>
      <c r="J207" s="301">
        <f t="shared" si="71"/>
        <v>26760.972000000002</v>
      </c>
      <c r="K207" s="301">
        <f t="shared" si="66"/>
        <v>1068357.0481772602</v>
      </c>
      <c r="L207" s="301">
        <f>K207*0.15</f>
        <v>160253.55722658904</v>
      </c>
      <c r="M207" s="315">
        <f t="shared" si="67"/>
        <v>1228610.6054038492</v>
      </c>
      <c r="N207" s="301"/>
      <c r="O207" s="301">
        <f>(O264+SUM(O$267:O$272))</f>
        <v>22851.738461538462</v>
      </c>
    </row>
    <row r="208" spans="1:15" s="308" customFormat="1" ht="15" customHeight="1">
      <c r="A208" s="1036"/>
      <c r="B208" s="1035"/>
      <c r="C208" s="1036"/>
      <c r="D208" s="298">
        <v>4</v>
      </c>
      <c r="E208" s="301">
        <f t="shared" si="71"/>
        <v>892658.93860000023</v>
      </c>
      <c r="F208" s="301">
        <f t="shared" si="71"/>
        <v>0</v>
      </c>
      <c r="G208" s="301">
        <f t="shared" si="71"/>
        <v>5980.4323663931627</v>
      </c>
      <c r="H208" s="301">
        <f t="shared" si="71"/>
        <v>189480</v>
      </c>
      <c r="I208" s="301">
        <f t="shared" si="71"/>
        <v>46515.74345714286</v>
      </c>
      <c r="J208" s="301">
        <f t="shared" si="71"/>
        <v>29860.454400000002</v>
      </c>
      <c r="K208" s="301">
        <f t="shared" si="66"/>
        <v>1164495.5688235364</v>
      </c>
      <c r="L208" s="301">
        <f>K208*0.15</f>
        <v>174674.33532353045</v>
      </c>
      <c r="M208" s="315">
        <f t="shared" si="67"/>
        <v>1339169.9041470669</v>
      </c>
      <c r="N208" s="301"/>
      <c r="O208" s="301">
        <f>(O265+SUM(O$267:O$272))</f>
        <v>25272.753846153846</v>
      </c>
    </row>
    <row r="209" spans="1:15" s="308" customFormat="1" ht="15" customHeight="1">
      <c r="A209" s="1036"/>
      <c r="B209" s="1035"/>
      <c r="C209" s="1036"/>
      <c r="D209" s="298">
        <v>5</v>
      </c>
      <c r="E209" s="301">
        <f t="shared" si="71"/>
        <v>999618.53420000034</v>
      </c>
      <c r="F209" s="301">
        <f t="shared" si="71"/>
        <v>0</v>
      </c>
      <c r="G209" s="301">
        <f t="shared" si="71"/>
        <v>6534.0193346324786</v>
      </c>
      <c r="H209" s="301">
        <f t="shared" si="71"/>
        <v>189480</v>
      </c>
      <c r="I209" s="301">
        <f t="shared" si="71"/>
        <v>55352.437371428576</v>
      </c>
      <c r="J209" s="301">
        <f t="shared" si="71"/>
        <v>33703.4208</v>
      </c>
      <c r="K209" s="301">
        <f t="shared" si="66"/>
        <v>1284688.4117060613</v>
      </c>
      <c r="L209" s="301">
        <f>K209*0.15</f>
        <v>192703.26175590919</v>
      </c>
      <c r="M209" s="315">
        <f t="shared" si="67"/>
        <v>1477391.6734619704</v>
      </c>
      <c r="N209" s="301"/>
      <c r="O209" s="301">
        <f>(O266+SUM(O$267:O$272))</f>
        <v>28300.969230769231</v>
      </c>
    </row>
    <row r="210" spans="1:15">
      <c r="A210" s="298"/>
      <c r="B210" s="314" t="s">
        <v>322</v>
      </c>
      <c r="C210" s="300"/>
      <c r="D210" s="300"/>
      <c r="E210" s="301"/>
      <c r="F210" s="301"/>
      <c r="G210" s="301"/>
      <c r="H210" s="301"/>
      <c r="I210" s="301"/>
      <c r="J210" s="301"/>
      <c r="K210" s="301"/>
      <c r="L210" s="301"/>
      <c r="M210" s="315"/>
      <c r="N210" s="301"/>
      <c r="O210" s="301"/>
    </row>
    <row r="211" spans="1:15">
      <c r="A211" s="298" t="s">
        <v>323</v>
      </c>
      <c r="B211" s="314" t="s">
        <v>324</v>
      </c>
      <c r="C211" s="300"/>
      <c r="D211" s="300"/>
      <c r="E211" s="301"/>
      <c r="F211" s="301"/>
      <c r="G211" s="301"/>
      <c r="H211" s="301"/>
      <c r="I211" s="301"/>
      <c r="J211" s="301"/>
      <c r="K211" s="301"/>
      <c r="L211" s="301"/>
      <c r="M211" s="315"/>
      <c r="N211" s="301"/>
      <c r="O211" s="301"/>
    </row>
    <row r="212" spans="1:15" s="308" customFormat="1" ht="13.5" customHeight="1">
      <c r="A212" s="1036"/>
      <c r="B212" s="1035" t="s">
        <v>190</v>
      </c>
      <c r="C212" s="1036" t="s">
        <v>21</v>
      </c>
      <c r="D212" s="298">
        <v>1</v>
      </c>
      <c r="E212" s="301">
        <f t="shared" ref="E212:F221" si="72">E200*0.1</f>
        <v>231042.20590000006</v>
      </c>
      <c r="F212" s="301">
        <f t="shared" si="72"/>
        <v>25461.95384615385</v>
      </c>
      <c r="G212" s="301">
        <f>G245*0.1/$M$199</f>
        <v>25.26255128205128</v>
      </c>
      <c r="H212" s="301">
        <f t="shared" ref="H212:I216" si="73">H200*0.1</f>
        <v>58848.054000000004</v>
      </c>
      <c r="I212" s="301">
        <f t="shared" si="73"/>
        <v>2744.3377142857148</v>
      </c>
      <c r="J212" s="301">
        <f>J245*0.1/$M$199</f>
        <v>0</v>
      </c>
      <c r="K212" s="301">
        <f t="shared" ref="K212:K221" si="74">SUM(E212:J212)</f>
        <v>318121.81401172164</v>
      </c>
      <c r="L212" s="301">
        <f>K212*0.25</f>
        <v>79530.45350293041</v>
      </c>
      <c r="M212" s="315">
        <f t="shared" ref="M212:M221" si="75">K212+L212</f>
        <v>397652.26751465205</v>
      </c>
      <c r="N212" s="301">
        <f>M212+M217</f>
        <v>476575.98811008595</v>
      </c>
      <c r="O212" s="301">
        <f t="shared" ref="O212:O221" si="76">O200*0.1</f>
        <v>6527.4</v>
      </c>
    </row>
    <row r="213" spans="1:15" s="308" customFormat="1" ht="15" customHeight="1">
      <c r="A213" s="1036"/>
      <c r="B213" s="1035"/>
      <c r="C213" s="1036"/>
      <c r="D213" s="298">
        <v>2</v>
      </c>
      <c r="E213" s="301">
        <f t="shared" si="72"/>
        <v>273987.5833750001</v>
      </c>
      <c r="F213" s="301">
        <f t="shared" si="72"/>
        <v>30242.892307692313</v>
      </c>
      <c r="G213" s="301">
        <f>G246*0.1/$M$199</f>
        <v>30.675955128205125</v>
      </c>
      <c r="H213" s="301">
        <f t="shared" si="73"/>
        <v>58848.054000000004</v>
      </c>
      <c r="I213" s="301">
        <f t="shared" si="73"/>
        <v>3233.0217142857146</v>
      </c>
      <c r="J213" s="301">
        <f>J246*0.1/$M$199</f>
        <v>0</v>
      </c>
      <c r="K213" s="301">
        <f t="shared" si="74"/>
        <v>366342.22735210636</v>
      </c>
      <c r="L213" s="301">
        <f>K213*0.25</f>
        <v>91585.55683802659</v>
      </c>
      <c r="M213" s="315">
        <f t="shared" si="75"/>
        <v>457927.78419013298</v>
      </c>
      <c r="N213" s="301">
        <f>M213+M218</f>
        <v>543145.28786217538</v>
      </c>
      <c r="O213" s="301">
        <f t="shared" si="76"/>
        <v>7743.2596153846162</v>
      </c>
    </row>
    <row r="214" spans="1:15" s="308" customFormat="1" ht="15" customHeight="1">
      <c r="A214" s="1036"/>
      <c r="B214" s="1035"/>
      <c r="C214" s="1036"/>
      <c r="D214" s="298">
        <v>3</v>
      </c>
      <c r="E214" s="301">
        <f t="shared" si="72"/>
        <v>351749.82150000008</v>
      </c>
      <c r="F214" s="301">
        <f t="shared" si="72"/>
        <v>41580.338461538464</v>
      </c>
      <c r="G214" s="301">
        <f>G247*0.1/$M$199</f>
        <v>36.089358974358973</v>
      </c>
      <c r="H214" s="301">
        <f t="shared" si="73"/>
        <v>58848.054000000004</v>
      </c>
      <c r="I214" s="301">
        <f t="shared" si="73"/>
        <v>3823.0457142857144</v>
      </c>
      <c r="J214" s="301">
        <f>J247*0.1/$M$199</f>
        <v>0</v>
      </c>
      <c r="K214" s="301">
        <f t="shared" si="74"/>
        <v>456037.34903479862</v>
      </c>
      <c r="L214" s="301">
        <f>K214*0.25</f>
        <v>114009.33725869966</v>
      </c>
      <c r="M214" s="315">
        <f t="shared" si="75"/>
        <v>570046.68629349826</v>
      </c>
      <c r="N214" s="301">
        <f>M214+M219</f>
        <v>663139.32392280118</v>
      </c>
      <c r="O214" s="301">
        <f t="shared" si="76"/>
        <v>9944.8461538461524</v>
      </c>
    </row>
    <row r="215" spans="1:15" s="308" customFormat="1" ht="15" customHeight="1">
      <c r="A215" s="1036"/>
      <c r="B215" s="1035"/>
      <c r="C215" s="1036"/>
      <c r="D215" s="298">
        <v>4</v>
      </c>
      <c r="E215" s="301">
        <f t="shared" si="72"/>
        <v>484108.88405000011</v>
      </c>
      <c r="F215" s="301">
        <f t="shared" si="72"/>
        <v>66372.815384615387</v>
      </c>
      <c r="G215" s="301">
        <f>G248*0.1/$M$199</f>
        <v>45.111698717948713</v>
      </c>
      <c r="H215" s="301">
        <f t="shared" si="73"/>
        <v>58848.054000000004</v>
      </c>
      <c r="I215" s="301">
        <f t="shared" si="73"/>
        <v>4870.2257142857143</v>
      </c>
      <c r="J215" s="301">
        <f>J248*0.1/$M$199</f>
        <v>0</v>
      </c>
      <c r="K215" s="301">
        <f t="shared" si="74"/>
        <v>614245.09084761911</v>
      </c>
      <c r="L215" s="301">
        <f>K215*0.25</f>
        <v>153561.27271190478</v>
      </c>
      <c r="M215" s="315">
        <f t="shared" si="75"/>
        <v>767806.36355952383</v>
      </c>
      <c r="N215" s="301">
        <f>M215+M220</f>
        <v>870735.01352390251</v>
      </c>
      <c r="O215" s="301">
        <f t="shared" si="76"/>
        <v>13692.165384615386</v>
      </c>
    </row>
    <row r="216" spans="1:15" s="308" customFormat="1" ht="15" customHeight="1">
      <c r="A216" s="1036"/>
      <c r="B216" s="1035"/>
      <c r="C216" s="1036"/>
      <c r="D216" s="298">
        <v>5</v>
      </c>
      <c r="E216" s="301">
        <f t="shared" si="72"/>
        <v>605005.53492500016</v>
      </c>
      <c r="F216" s="301">
        <f t="shared" si="72"/>
        <v>85176.384615384624</v>
      </c>
      <c r="G216" s="301">
        <f>G249*0.1/$M$199</f>
        <v>56.299399999999999</v>
      </c>
      <c r="H216" s="301">
        <f t="shared" si="73"/>
        <v>58848.054000000004</v>
      </c>
      <c r="I216" s="301">
        <f t="shared" si="73"/>
        <v>6165.1257142857139</v>
      </c>
      <c r="J216" s="301">
        <f>J249*0.1/$M$199</f>
        <v>0</v>
      </c>
      <c r="K216" s="301">
        <f t="shared" si="74"/>
        <v>755251.39865467057</v>
      </c>
      <c r="L216" s="301">
        <f>K216*0.25</f>
        <v>188812.84966366764</v>
      </c>
      <c r="M216" s="315">
        <f t="shared" si="75"/>
        <v>944064.24831833818</v>
      </c>
      <c r="N216" s="301">
        <f>M216+M221</f>
        <v>1059295.7982767709</v>
      </c>
      <c r="O216" s="301">
        <f t="shared" si="76"/>
        <v>17114.96346153846</v>
      </c>
    </row>
    <row r="217" spans="1:15" s="308" customFormat="1" ht="13.5" customHeight="1">
      <c r="A217" s="1036"/>
      <c r="B217" s="1035" t="s">
        <v>192</v>
      </c>
      <c r="C217" s="1036" t="s">
        <v>21</v>
      </c>
      <c r="D217" s="298">
        <v>1</v>
      </c>
      <c r="E217" s="301">
        <f t="shared" si="72"/>
        <v>68396.399500000014</v>
      </c>
      <c r="F217" s="301">
        <f t="shared" si="72"/>
        <v>0</v>
      </c>
      <c r="G217" s="301">
        <f t="shared" ref="G217:H221" si="77">G262*0.1/$M$199</f>
        <v>4.5715568990085469</v>
      </c>
      <c r="H217" s="301">
        <f t="shared" si="77"/>
        <v>228.35120000000003</v>
      </c>
      <c r="I217" s="301"/>
      <c r="J217" s="301"/>
      <c r="K217" s="301">
        <f t="shared" si="74"/>
        <v>68629.322256899031</v>
      </c>
      <c r="L217" s="301">
        <f>K217*0.15</f>
        <v>10294.398338534855</v>
      </c>
      <c r="M217" s="315">
        <f t="shared" si="75"/>
        <v>78923.720595433886</v>
      </c>
      <c r="N217" s="301"/>
      <c r="O217" s="301">
        <f t="shared" si="76"/>
        <v>1936.4230769230771</v>
      </c>
    </row>
    <row r="218" spans="1:15" s="308" customFormat="1" ht="15" customHeight="1">
      <c r="A218" s="1036"/>
      <c r="B218" s="1035"/>
      <c r="C218" s="1036"/>
      <c r="D218" s="298">
        <v>2</v>
      </c>
      <c r="E218" s="301">
        <f t="shared" si="72"/>
        <v>73868.111460000029</v>
      </c>
      <c r="F218" s="301">
        <f t="shared" si="72"/>
        <v>0</v>
      </c>
      <c r="G218" s="301">
        <f t="shared" si="77"/>
        <v>5.7144461237606841</v>
      </c>
      <c r="H218" s="301">
        <f t="shared" si="77"/>
        <v>228.35120000000003</v>
      </c>
      <c r="I218" s="301"/>
      <c r="J218" s="301"/>
      <c r="K218" s="301">
        <f t="shared" si="74"/>
        <v>74102.177106123796</v>
      </c>
      <c r="L218" s="301">
        <f>K218*0.15</f>
        <v>11115.326565918569</v>
      </c>
      <c r="M218" s="315">
        <f t="shared" si="75"/>
        <v>85217.503672042367</v>
      </c>
      <c r="N218" s="301"/>
      <c r="O218" s="301">
        <f t="shared" si="76"/>
        <v>2091.3369230769235</v>
      </c>
    </row>
    <row r="219" spans="1:15" s="308" customFormat="1" ht="15" customHeight="1">
      <c r="A219" s="1036"/>
      <c r="B219" s="1035"/>
      <c r="C219" s="1036"/>
      <c r="D219" s="298">
        <v>3</v>
      </c>
      <c r="E219" s="301">
        <f t="shared" si="72"/>
        <v>80714.625420000026</v>
      </c>
      <c r="F219" s="301">
        <f t="shared" si="72"/>
        <v>0</v>
      </c>
      <c r="G219" s="301">
        <f t="shared" si="77"/>
        <v>7.1430576547008551</v>
      </c>
      <c r="H219" s="301">
        <f t="shared" si="77"/>
        <v>228.35120000000003</v>
      </c>
      <c r="I219" s="301"/>
      <c r="J219" s="301"/>
      <c r="K219" s="301">
        <f t="shared" si="74"/>
        <v>80950.119677654729</v>
      </c>
      <c r="L219" s="301">
        <f>K219*0.15</f>
        <v>12142.517951648209</v>
      </c>
      <c r="M219" s="315">
        <f t="shared" si="75"/>
        <v>93092.637629302946</v>
      </c>
      <c r="N219" s="301"/>
      <c r="O219" s="301">
        <f t="shared" si="76"/>
        <v>2285.1738461538462</v>
      </c>
    </row>
    <row r="220" spans="1:15" s="308" customFormat="1" ht="15" customHeight="1">
      <c r="A220" s="1036"/>
      <c r="B220" s="1035"/>
      <c r="C220" s="1036"/>
      <c r="D220" s="298">
        <v>4</v>
      </c>
      <c r="E220" s="301">
        <f t="shared" si="72"/>
        <v>89265.893860000026</v>
      </c>
      <c r="F220" s="301">
        <f t="shared" si="72"/>
        <v>0</v>
      </c>
      <c r="G220" s="301">
        <f t="shared" si="77"/>
        <v>8.9288220683760695</v>
      </c>
      <c r="H220" s="301">
        <f t="shared" si="77"/>
        <v>228.35120000000003</v>
      </c>
      <c r="I220" s="301"/>
      <c r="J220" s="301"/>
      <c r="K220" s="301">
        <f t="shared" si="74"/>
        <v>89503.173882068411</v>
      </c>
      <c r="L220" s="301">
        <f>K220*0.15</f>
        <v>13425.476082310261</v>
      </c>
      <c r="M220" s="315">
        <f t="shared" si="75"/>
        <v>102928.64996437867</v>
      </c>
      <c r="N220" s="301"/>
      <c r="O220" s="301">
        <f t="shared" si="76"/>
        <v>2527.2753846153846</v>
      </c>
    </row>
    <row r="221" spans="1:15" s="308" customFormat="1" ht="15" customHeight="1">
      <c r="A221" s="1036"/>
      <c r="B221" s="1035"/>
      <c r="C221" s="1036"/>
      <c r="D221" s="298">
        <v>5</v>
      </c>
      <c r="E221" s="301">
        <f t="shared" si="72"/>
        <v>99961.853420000043</v>
      </c>
      <c r="F221" s="301">
        <f t="shared" si="72"/>
        <v>0</v>
      </c>
      <c r="G221" s="301">
        <f t="shared" si="77"/>
        <v>11.143169941333333</v>
      </c>
      <c r="H221" s="301">
        <f t="shared" si="77"/>
        <v>228.35120000000003</v>
      </c>
      <c r="I221" s="301"/>
      <c r="J221" s="301"/>
      <c r="K221" s="301">
        <f t="shared" si="74"/>
        <v>100201.34778994138</v>
      </c>
      <c r="L221" s="301">
        <f>K221*0.15</f>
        <v>15030.202168491207</v>
      </c>
      <c r="M221" s="315">
        <f t="shared" si="75"/>
        <v>115231.54995843259</v>
      </c>
      <c r="N221" s="301"/>
      <c r="O221" s="301">
        <f t="shared" si="76"/>
        <v>2830.0969230769233</v>
      </c>
    </row>
    <row r="222" spans="1:15" ht="24" customHeight="1">
      <c r="A222" s="298" t="s">
        <v>505</v>
      </c>
      <c r="B222" s="314" t="s">
        <v>326</v>
      </c>
      <c r="C222" s="300"/>
      <c r="D222" s="300"/>
      <c r="E222" s="301"/>
      <c r="F222" s="301"/>
      <c r="G222" s="301"/>
      <c r="H222" s="301"/>
      <c r="I222" s="301"/>
      <c r="J222" s="301"/>
      <c r="K222" s="301"/>
      <c r="L222" s="301"/>
      <c r="M222" s="315"/>
      <c r="N222" s="301"/>
      <c r="O222" s="301"/>
    </row>
    <row r="223" spans="1:15" s="308" customFormat="1" ht="13.5" customHeight="1">
      <c r="A223" s="1036"/>
      <c r="B223" s="1035" t="s">
        <v>190</v>
      </c>
      <c r="C223" s="1036" t="s">
        <v>21</v>
      </c>
      <c r="D223" s="298">
        <v>1</v>
      </c>
      <c r="E223" s="301">
        <f t="shared" ref="E223:F227" si="78">E200*1.15</f>
        <v>2656985.36785</v>
      </c>
      <c r="F223" s="301">
        <f t="shared" si="78"/>
        <v>292812.46923076926</v>
      </c>
      <c r="G223" s="301">
        <f t="shared" ref="G223:J232" si="79">G200</f>
        <v>19229.625641025639</v>
      </c>
      <c r="H223" s="301">
        <f t="shared" si="79"/>
        <v>588480.54</v>
      </c>
      <c r="I223" s="301">
        <f t="shared" si="79"/>
        <v>27443.377142857145</v>
      </c>
      <c r="J223" s="301">
        <f t="shared" si="79"/>
        <v>58.766400000000004</v>
      </c>
      <c r="K223" s="301">
        <f t="shared" ref="K223:K232" si="80">SUM(E223:J223)</f>
        <v>3585010.1462646523</v>
      </c>
      <c r="L223" s="301">
        <f>K223*0.25</f>
        <v>896252.53656616306</v>
      </c>
      <c r="M223" s="315">
        <f t="shared" ref="M223:M232" si="81">K223+L223</f>
        <v>4481262.6828308152</v>
      </c>
      <c r="N223" s="301">
        <f>M223+M228</f>
        <v>5629285.5245024031</v>
      </c>
      <c r="O223" s="301">
        <f>O200*1.15</f>
        <v>75065.099999999991</v>
      </c>
    </row>
    <row r="224" spans="1:15" s="308" customFormat="1" ht="15" customHeight="1">
      <c r="A224" s="1036"/>
      <c r="B224" s="1035"/>
      <c r="C224" s="1036"/>
      <c r="D224" s="298">
        <v>2</v>
      </c>
      <c r="E224" s="301">
        <f t="shared" si="78"/>
        <v>3150857.2088125004</v>
      </c>
      <c r="F224" s="301">
        <f t="shared" si="78"/>
        <v>347793.26153846155</v>
      </c>
      <c r="G224" s="301">
        <f t="shared" si="79"/>
        <v>22437.169294871794</v>
      </c>
      <c r="H224" s="301">
        <f t="shared" si="79"/>
        <v>588480.54</v>
      </c>
      <c r="I224" s="301">
        <f t="shared" si="79"/>
        <v>32330.217142857146</v>
      </c>
      <c r="J224" s="301">
        <f t="shared" si="79"/>
        <v>58.766400000000004</v>
      </c>
      <c r="K224" s="301">
        <f t="shared" si="80"/>
        <v>4141957.1631886913</v>
      </c>
      <c r="L224" s="301">
        <f>K224*0.25</f>
        <v>1035489.2907971728</v>
      </c>
      <c r="M224" s="315">
        <f t="shared" si="81"/>
        <v>5177446.4539858643</v>
      </c>
      <c r="N224" s="301">
        <f>M224+M229</f>
        <v>6400836.7896792823</v>
      </c>
      <c r="O224" s="301">
        <f>O201*1.15</f>
        <v>89047.485576923078</v>
      </c>
    </row>
    <row r="225" spans="1:15" s="308" customFormat="1" ht="15" customHeight="1">
      <c r="A225" s="1036"/>
      <c r="B225" s="1035"/>
      <c r="C225" s="1036"/>
      <c r="D225" s="298">
        <v>3</v>
      </c>
      <c r="E225" s="301">
        <f t="shared" si="78"/>
        <v>4045122.9472500002</v>
      </c>
      <c r="F225" s="301">
        <f t="shared" si="78"/>
        <v>478173.89230769227</v>
      </c>
      <c r="G225" s="301">
        <f t="shared" si="79"/>
        <v>25759.798717948717</v>
      </c>
      <c r="H225" s="301">
        <f t="shared" si="79"/>
        <v>588480.54</v>
      </c>
      <c r="I225" s="301">
        <f t="shared" si="79"/>
        <v>38230.457142857143</v>
      </c>
      <c r="J225" s="301">
        <f t="shared" si="79"/>
        <v>58.766400000000004</v>
      </c>
      <c r="K225" s="301">
        <f t="shared" si="80"/>
        <v>5175826.401818498</v>
      </c>
      <c r="L225" s="301">
        <f>K225*0.25</f>
        <v>1293956.6004546245</v>
      </c>
      <c r="M225" s="315">
        <f t="shared" si="81"/>
        <v>6469783.0022731228</v>
      </c>
      <c r="N225" s="301">
        <f>M225+M230</f>
        <v>7791215.426909972</v>
      </c>
      <c r="O225" s="301">
        <f>O202*1.15</f>
        <v>114365.73076923074</v>
      </c>
    </row>
    <row r="226" spans="1:15" s="308" customFormat="1" ht="15" customHeight="1">
      <c r="A226" s="1036"/>
      <c r="B226" s="1035"/>
      <c r="C226" s="1036"/>
      <c r="D226" s="298">
        <v>4</v>
      </c>
      <c r="E226" s="301">
        <f t="shared" si="78"/>
        <v>5567252.1665750006</v>
      </c>
      <c r="F226" s="301">
        <f t="shared" si="78"/>
        <v>763287.37692307692</v>
      </c>
      <c r="G226" s="301">
        <f t="shared" si="79"/>
        <v>31297.514423076918</v>
      </c>
      <c r="H226" s="301">
        <f t="shared" si="79"/>
        <v>588480.54</v>
      </c>
      <c r="I226" s="301">
        <f t="shared" si="79"/>
        <v>48702.257142857139</v>
      </c>
      <c r="J226" s="301">
        <f t="shared" si="79"/>
        <v>58.766400000000004</v>
      </c>
      <c r="K226" s="301">
        <f t="shared" si="80"/>
        <v>6999078.6214640113</v>
      </c>
      <c r="L226" s="301">
        <f>K226*0.25</f>
        <v>1749769.6553660028</v>
      </c>
      <c r="M226" s="315">
        <f t="shared" si="81"/>
        <v>8748848.2768300138</v>
      </c>
      <c r="N226" s="301">
        <f>M226+M231</f>
        <v>10190673.958916081</v>
      </c>
      <c r="O226" s="301">
        <f>O203*1.15</f>
        <v>157459.90192307692</v>
      </c>
    </row>
    <row r="227" spans="1:15" s="308" customFormat="1" ht="15" customHeight="1">
      <c r="A227" s="1036"/>
      <c r="B227" s="1035"/>
      <c r="C227" s="1036"/>
      <c r="D227" s="298">
        <v>5</v>
      </c>
      <c r="E227" s="301">
        <f t="shared" si="78"/>
        <v>6957563.651637502</v>
      </c>
      <c r="F227" s="301">
        <f t="shared" si="78"/>
        <v>979528.42307692312</v>
      </c>
      <c r="G227" s="301">
        <f t="shared" si="79"/>
        <v>38164.281897435896</v>
      </c>
      <c r="H227" s="301">
        <f t="shared" si="79"/>
        <v>588480.54</v>
      </c>
      <c r="I227" s="301">
        <f t="shared" si="79"/>
        <v>61651.257142857139</v>
      </c>
      <c r="J227" s="301">
        <f t="shared" si="79"/>
        <v>58.766400000000004</v>
      </c>
      <c r="K227" s="301">
        <f t="shared" si="80"/>
        <v>8625446.9201547187</v>
      </c>
      <c r="L227" s="301">
        <f>K227*0.25</f>
        <v>2156361.7300386797</v>
      </c>
      <c r="M227" s="315">
        <f t="shared" si="81"/>
        <v>10781808.650193399</v>
      </c>
      <c r="N227" s="301">
        <f>M227+M232</f>
        <v>12374156.45508837</v>
      </c>
      <c r="O227" s="301">
        <f>O204*1.15</f>
        <v>196822.07980769227</v>
      </c>
    </row>
    <row r="228" spans="1:15" s="308" customFormat="1" ht="13.5" customHeight="1">
      <c r="A228" s="1036"/>
      <c r="B228" s="1035" t="s">
        <v>192</v>
      </c>
      <c r="C228" s="1036" t="s">
        <v>21</v>
      </c>
      <c r="D228" s="298">
        <v>1</v>
      </c>
      <c r="E228" s="301">
        <f t="shared" ref="E228:F232" si="82">E205*1.1</f>
        <v>752360.39450000017</v>
      </c>
      <c r="F228" s="301">
        <f t="shared" si="82"/>
        <v>0</v>
      </c>
      <c r="G228" s="301">
        <f t="shared" si="79"/>
        <v>4891.1160740512823</v>
      </c>
      <c r="H228" s="301">
        <f t="shared" si="79"/>
        <v>189480</v>
      </c>
      <c r="I228" s="301">
        <f t="shared" si="79"/>
        <v>29268.742114285713</v>
      </c>
      <c r="J228" s="301">
        <f t="shared" si="79"/>
        <v>22280.479200000002</v>
      </c>
      <c r="K228" s="301">
        <f t="shared" si="80"/>
        <v>998280.73188833706</v>
      </c>
      <c r="L228" s="301">
        <f>K228*0.15</f>
        <v>149742.10978325055</v>
      </c>
      <c r="M228" s="315">
        <f t="shared" si="81"/>
        <v>1148022.8416715877</v>
      </c>
      <c r="N228" s="301"/>
      <c r="O228" s="301">
        <f>O205*1.1</f>
        <v>21300.653846153848</v>
      </c>
    </row>
    <row r="229" spans="1:15" s="308" customFormat="1" ht="15" customHeight="1">
      <c r="A229" s="1036"/>
      <c r="B229" s="1035"/>
      <c r="C229" s="1036"/>
      <c r="D229" s="298">
        <v>2</v>
      </c>
      <c r="E229" s="301">
        <f t="shared" si="82"/>
        <v>812549.22606000025</v>
      </c>
      <c r="F229" s="301">
        <f t="shared" si="82"/>
        <v>0</v>
      </c>
      <c r="G229" s="301">
        <f t="shared" si="79"/>
        <v>5176.8383802393164</v>
      </c>
      <c r="H229" s="301">
        <f t="shared" si="79"/>
        <v>189480</v>
      </c>
      <c r="I229" s="301">
        <f t="shared" si="79"/>
        <v>32772.939571428571</v>
      </c>
      <c r="J229" s="301">
        <f t="shared" si="79"/>
        <v>23838.679199999999</v>
      </c>
      <c r="K229" s="301">
        <f t="shared" si="80"/>
        <v>1063817.6832116682</v>
      </c>
      <c r="L229" s="301">
        <f>K229*0.15</f>
        <v>159572.65248175021</v>
      </c>
      <c r="M229" s="315">
        <f t="shared" si="81"/>
        <v>1223390.3356934183</v>
      </c>
      <c r="N229" s="301"/>
      <c r="O229" s="301">
        <f>O206*1.1</f>
        <v>23004.706153846157</v>
      </c>
    </row>
    <row r="230" spans="1:15" s="308" customFormat="1" ht="15" customHeight="1">
      <c r="A230" s="1036"/>
      <c r="B230" s="1035"/>
      <c r="C230" s="1036"/>
      <c r="D230" s="298">
        <v>3</v>
      </c>
      <c r="E230" s="301">
        <f t="shared" si="82"/>
        <v>887860.87962000025</v>
      </c>
      <c r="F230" s="301">
        <f t="shared" si="82"/>
        <v>0</v>
      </c>
      <c r="G230" s="301">
        <f t="shared" si="79"/>
        <v>5533.9912629743585</v>
      </c>
      <c r="H230" s="301">
        <f t="shared" si="79"/>
        <v>189480</v>
      </c>
      <c r="I230" s="301">
        <f t="shared" si="79"/>
        <v>39435.830714285708</v>
      </c>
      <c r="J230" s="301">
        <f t="shared" si="79"/>
        <v>26760.972000000002</v>
      </c>
      <c r="K230" s="301">
        <f t="shared" si="80"/>
        <v>1149071.6735972601</v>
      </c>
      <c r="L230" s="301">
        <f>K230*0.15</f>
        <v>172360.75103958903</v>
      </c>
      <c r="M230" s="315">
        <f t="shared" si="81"/>
        <v>1321432.4246368492</v>
      </c>
      <c r="N230" s="301"/>
      <c r="O230" s="301">
        <f>O207*1.1</f>
        <v>25136.91230769231</v>
      </c>
    </row>
    <row r="231" spans="1:15" s="308" customFormat="1" ht="15" customHeight="1">
      <c r="A231" s="1036"/>
      <c r="B231" s="1035"/>
      <c r="C231" s="1036"/>
      <c r="D231" s="298">
        <v>4</v>
      </c>
      <c r="E231" s="301">
        <f t="shared" si="82"/>
        <v>981924.8324600003</v>
      </c>
      <c r="F231" s="301">
        <f t="shared" si="82"/>
        <v>0</v>
      </c>
      <c r="G231" s="301">
        <f t="shared" si="79"/>
        <v>5980.4323663931627</v>
      </c>
      <c r="H231" s="301">
        <f t="shared" si="79"/>
        <v>189480</v>
      </c>
      <c r="I231" s="301">
        <f t="shared" si="79"/>
        <v>46515.74345714286</v>
      </c>
      <c r="J231" s="301">
        <f t="shared" si="79"/>
        <v>29860.454400000002</v>
      </c>
      <c r="K231" s="301">
        <f t="shared" si="80"/>
        <v>1253761.4626835363</v>
      </c>
      <c r="L231" s="301">
        <f>K231*0.15</f>
        <v>188064.21940253043</v>
      </c>
      <c r="M231" s="315">
        <f t="shared" si="81"/>
        <v>1441825.6820860668</v>
      </c>
      <c r="N231" s="301"/>
      <c r="O231" s="301">
        <f>O208*1.1</f>
        <v>27800.029230769233</v>
      </c>
    </row>
    <row r="232" spans="1:15" s="308" customFormat="1" ht="15" customHeight="1">
      <c r="A232" s="1036"/>
      <c r="B232" s="1035"/>
      <c r="C232" s="1036"/>
      <c r="D232" s="298">
        <v>5</v>
      </c>
      <c r="E232" s="301">
        <f t="shared" si="82"/>
        <v>1099580.3876200004</v>
      </c>
      <c r="F232" s="301">
        <f t="shared" si="82"/>
        <v>0</v>
      </c>
      <c r="G232" s="301">
        <f t="shared" si="79"/>
        <v>6534.0193346324786</v>
      </c>
      <c r="H232" s="301">
        <f t="shared" si="79"/>
        <v>189480</v>
      </c>
      <c r="I232" s="301">
        <f t="shared" si="79"/>
        <v>55352.437371428576</v>
      </c>
      <c r="J232" s="301">
        <f t="shared" si="79"/>
        <v>33703.4208</v>
      </c>
      <c r="K232" s="301">
        <f t="shared" si="80"/>
        <v>1384650.2651260614</v>
      </c>
      <c r="L232" s="301">
        <f>K232*0.15</f>
        <v>207697.53976890919</v>
      </c>
      <c r="M232" s="315">
        <f t="shared" si="81"/>
        <v>1592347.8048949705</v>
      </c>
      <c r="N232" s="301"/>
      <c r="O232" s="301">
        <f>O209*1.1</f>
        <v>31131.066153846157</v>
      </c>
    </row>
    <row r="233" spans="1:15">
      <c r="A233" s="298">
        <v>1</v>
      </c>
      <c r="B233" s="316" t="s">
        <v>57</v>
      </c>
      <c r="C233" s="300"/>
      <c r="D233" s="300"/>
      <c r="E233" s="301"/>
      <c r="F233" s="301"/>
      <c r="G233" s="301"/>
      <c r="H233" s="301"/>
      <c r="I233" s="301"/>
      <c r="J233" s="301"/>
      <c r="K233" s="301"/>
      <c r="L233" s="301"/>
      <c r="M233" s="315">
        <v>25</v>
      </c>
      <c r="N233" s="327" t="s">
        <v>21</v>
      </c>
      <c r="O233" s="301"/>
    </row>
    <row r="234" spans="1:15">
      <c r="A234" s="323" t="s">
        <v>359</v>
      </c>
      <c r="B234" s="324" t="str">
        <f>NhanCong!B$61</f>
        <v>Công tác chuẩn bị</v>
      </c>
      <c r="C234" s="319" t="s">
        <v>317</v>
      </c>
      <c r="D234" s="319" t="s">
        <v>622</v>
      </c>
      <c r="E234" s="301">
        <f>NhanCong!Q$61</f>
        <v>144421.50800000003</v>
      </c>
      <c r="F234" s="301">
        <f>NhanCong!Q$62</f>
        <v>9023.3846153846171</v>
      </c>
      <c r="G234" s="320">
        <f>Dcu!O$102*0.4</f>
        <v>3608.935897435897</v>
      </c>
      <c r="H234" s="320">
        <f>VLieu!M$66</f>
        <v>87398.099999999991</v>
      </c>
      <c r="I234" s="320"/>
      <c r="J234" s="320"/>
      <c r="K234" s="320">
        <f>SUM(E234:J234)</f>
        <v>244451.92851282057</v>
      </c>
      <c r="L234" s="320">
        <f>K234*0.25</f>
        <v>61112.982128205142</v>
      </c>
      <c r="M234" s="321">
        <f>K234+L234</f>
        <v>305564.91064102569</v>
      </c>
      <c r="N234" s="320"/>
      <c r="O234" s="320">
        <f>NhanCong!R$61</f>
        <v>3950.6923076923067</v>
      </c>
    </row>
    <row r="235" spans="1:15">
      <c r="A235" s="1041" t="s">
        <v>269</v>
      </c>
      <c r="B235" s="1038" t="str">
        <f>NhanCong!B$63</f>
        <v>Lập lưới khống chế đo vẽ</v>
      </c>
      <c r="C235" s="1039" t="s">
        <v>317</v>
      </c>
      <c r="D235" s="319">
        <v>1</v>
      </c>
      <c r="E235" s="301">
        <f>NhanCong!Q$63</f>
        <v>241449.60125000007</v>
      </c>
      <c r="F235" s="301"/>
      <c r="G235" s="320">
        <f>Dcu!O$82</f>
        <v>1726.2865384615382</v>
      </c>
      <c r="H235" s="320">
        <f>VLieu!M$67</f>
        <v>58265.4</v>
      </c>
      <c r="I235" s="320">
        <f>TBi!N$40</f>
        <v>3887.457142857143</v>
      </c>
      <c r="J235" s="320">
        <f>TBi!N$44</f>
        <v>58.766400000000004</v>
      </c>
      <c r="K235" s="320">
        <f t="shared" ref="K235:K239" si="83">SUM(E235:J235)</f>
        <v>305387.51133131876</v>
      </c>
      <c r="L235" s="320">
        <f t="shared" ref="L235:L259" si="84">K235*0.25</f>
        <v>76346.87783282969</v>
      </c>
      <c r="M235" s="321">
        <f t="shared" ref="M235:M259" si="85">K235+L235</f>
        <v>381734.38916414848</v>
      </c>
      <c r="N235" s="320"/>
      <c r="O235" s="320">
        <f>NhanCong!R$63</f>
        <v>6835.8653846153848</v>
      </c>
    </row>
    <row r="236" spans="1:15">
      <c r="A236" s="1041"/>
      <c r="B236" s="1038"/>
      <c r="C236" s="1039"/>
      <c r="D236" s="319">
        <v>2</v>
      </c>
      <c r="E236" s="301">
        <f>NhanCong!Q$64</f>
        <v>289567.67125000007</v>
      </c>
      <c r="F236" s="301"/>
      <c r="G236" s="320">
        <f>Dcu!O$83</f>
        <v>1956.4580769230765</v>
      </c>
      <c r="H236" s="320">
        <f>VLieu!M$67</f>
        <v>58265.4</v>
      </c>
      <c r="I236" s="320">
        <f>TBi!O$40</f>
        <v>4563.057142857142</v>
      </c>
      <c r="J236" s="320">
        <f>TBi!O$44</f>
        <v>58.766400000000004</v>
      </c>
      <c r="K236" s="320">
        <f t="shared" si="83"/>
        <v>354411.35286978033</v>
      </c>
      <c r="L236" s="320">
        <f t="shared" si="84"/>
        <v>88602.838217445082</v>
      </c>
      <c r="M236" s="321">
        <f t="shared" si="85"/>
        <v>443014.19108722539</v>
      </c>
      <c r="N236" s="320"/>
      <c r="O236" s="320">
        <f>NhanCong!R$64</f>
        <v>8198.173076923078</v>
      </c>
    </row>
    <row r="237" spans="1:15">
      <c r="A237" s="1041"/>
      <c r="B237" s="1038"/>
      <c r="C237" s="1039"/>
      <c r="D237" s="319">
        <v>3</v>
      </c>
      <c r="E237" s="301">
        <f>NhanCong!Q$65</f>
        <v>347137.50500000006</v>
      </c>
      <c r="F237" s="301"/>
      <c r="G237" s="320">
        <f>Dcu!O$84</f>
        <v>2301.7153846153842</v>
      </c>
      <c r="H237" s="320">
        <f>VLieu!M$67</f>
        <v>58265.4</v>
      </c>
      <c r="I237" s="320">
        <f>TBi!P$40</f>
        <v>5418.8171428571432</v>
      </c>
      <c r="J237" s="320">
        <f>TBi!P$44</f>
        <v>58.766400000000004</v>
      </c>
      <c r="K237" s="320">
        <f t="shared" si="83"/>
        <v>413182.20392747264</v>
      </c>
      <c r="L237" s="320">
        <f t="shared" si="84"/>
        <v>103295.55098186816</v>
      </c>
      <c r="M237" s="321">
        <f t="shared" si="85"/>
        <v>516477.75490934082</v>
      </c>
      <c r="N237" s="320"/>
      <c r="O237" s="320">
        <f>NhanCong!R$65</f>
        <v>9828.076923076922</v>
      </c>
    </row>
    <row r="238" spans="1:15">
      <c r="A238" s="1041"/>
      <c r="B238" s="1038"/>
      <c r="C238" s="1039"/>
      <c r="D238" s="319">
        <v>4</v>
      </c>
      <c r="E238" s="301">
        <f>NhanCong!Q$66</f>
        <v>416736.85625000007</v>
      </c>
      <c r="F238" s="301"/>
      <c r="G238" s="320">
        <f>Dcu!O$85</f>
        <v>2877.1442307692305</v>
      </c>
      <c r="H238" s="320">
        <f>VLieu!M$67</f>
        <v>58265.4</v>
      </c>
      <c r="I238" s="320">
        <f>TBi!Q$40</f>
        <v>7693.3371428571418</v>
      </c>
      <c r="J238" s="320">
        <f>TBi!Q$44</f>
        <v>58.766400000000004</v>
      </c>
      <c r="K238" s="320">
        <f t="shared" si="83"/>
        <v>485631.5040236265</v>
      </c>
      <c r="L238" s="320">
        <f t="shared" si="84"/>
        <v>121407.87600590663</v>
      </c>
      <c r="M238" s="321">
        <f t="shared" si="85"/>
        <v>607039.38002953317</v>
      </c>
      <c r="N238" s="320"/>
      <c r="O238" s="320">
        <f>NhanCong!R$66</f>
        <v>11798.557692307693</v>
      </c>
    </row>
    <row r="239" spans="1:15">
      <c r="A239" s="1041"/>
      <c r="B239" s="1038"/>
      <c r="C239" s="1039"/>
      <c r="D239" s="319">
        <v>5</v>
      </c>
      <c r="E239" s="301">
        <f>NhanCong!Q$67</f>
        <v>499224.97625000012</v>
      </c>
      <c r="F239" s="301"/>
      <c r="G239" s="320">
        <f>Dcu!O$86</f>
        <v>3590.6759999999995</v>
      </c>
      <c r="H239" s="320">
        <f>VLieu!M$67</f>
        <v>58265.4</v>
      </c>
      <c r="I239" s="320">
        <f>TBi!R$40</f>
        <v>10373.217142857144</v>
      </c>
      <c r="J239" s="320">
        <f>TBi!R$44</f>
        <v>58.766400000000004</v>
      </c>
      <c r="K239" s="320">
        <f t="shared" si="83"/>
        <v>571513.03579285718</v>
      </c>
      <c r="L239" s="320">
        <f t="shared" si="84"/>
        <v>142878.25894821429</v>
      </c>
      <c r="M239" s="321">
        <f t="shared" si="85"/>
        <v>714391.29474107153</v>
      </c>
      <c r="N239" s="320"/>
      <c r="O239" s="320">
        <f>NhanCong!R$67</f>
        <v>14133.942307692305</v>
      </c>
    </row>
    <row r="240" spans="1:15">
      <c r="A240" s="1041" t="s">
        <v>36</v>
      </c>
      <c r="B240" s="1038" t="str">
        <f>NhanCong!B$68</f>
        <v>Xác định ranh giới thửa đất trên thực địa</v>
      </c>
      <c r="C240" s="1039" t="s">
        <v>317</v>
      </c>
      <c r="D240" s="319">
        <v>1</v>
      </c>
      <c r="E240" s="301">
        <f>NhanCong!Q$68</f>
        <v>618660.9</v>
      </c>
      <c r="F240" s="301">
        <f>NhanCong!Q$69</f>
        <v>130984.6153846154</v>
      </c>
      <c r="G240" s="320">
        <f>Dcu!O$103*0.4</f>
        <v>2526.2551282051281</v>
      </c>
      <c r="H240" s="320">
        <f>VLieu!M$68</f>
        <v>145663.5</v>
      </c>
      <c r="I240" s="320"/>
      <c r="J240" s="320"/>
      <c r="K240" s="320">
        <f>SUM(E240:J240)</f>
        <v>897835.27051282057</v>
      </c>
      <c r="L240" s="320">
        <f t="shared" si="84"/>
        <v>224458.81762820514</v>
      </c>
      <c r="M240" s="321">
        <f t="shared" si="85"/>
        <v>1122294.0881410257</v>
      </c>
      <c r="N240" s="320"/>
      <c r="O240" s="320">
        <f>NhanCong!R$68</f>
        <v>17515.384615384613</v>
      </c>
    </row>
    <row r="241" spans="1:15">
      <c r="A241" s="1041"/>
      <c r="B241" s="1038"/>
      <c r="C241" s="1039"/>
      <c r="D241" s="319">
        <v>2</v>
      </c>
      <c r="E241" s="301">
        <f>NhanCong!Q$70</f>
        <v>742393.08000000019</v>
      </c>
      <c r="F241" s="301">
        <f>NhanCong!Q$71</f>
        <v>157181.53846153847</v>
      </c>
      <c r="G241" s="320">
        <f>Dcu!O$104*0.4</f>
        <v>3067.5955128205123</v>
      </c>
      <c r="H241" s="320">
        <f>VLieu!M$68</f>
        <v>145663.5</v>
      </c>
      <c r="I241" s="320"/>
      <c r="J241" s="320"/>
      <c r="K241" s="320">
        <f t="shared" ref="K241:K259" si="86">SUM(E241:J241)</f>
        <v>1048305.7139743592</v>
      </c>
      <c r="L241" s="320">
        <f t="shared" si="84"/>
        <v>262076.4284935898</v>
      </c>
      <c r="M241" s="321">
        <f t="shared" si="85"/>
        <v>1310382.1424679491</v>
      </c>
      <c r="N241" s="320"/>
      <c r="O241" s="320">
        <f>NhanCong!R$70</f>
        <v>21018.461538461539</v>
      </c>
    </row>
    <row r="242" spans="1:15">
      <c r="A242" s="1041"/>
      <c r="B242" s="1038"/>
      <c r="C242" s="1039"/>
      <c r="D242" s="319">
        <v>3</v>
      </c>
      <c r="E242" s="301">
        <f>NhanCong!Q$72</f>
        <v>1149334.4720000001</v>
      </c>
      <c r="F242" s="301">
        <f>NhanCong!Q$73</f>
        <v>243340.30769230769</v>
      </c>
      <c r="G242" s="320">
        <f>Dcu!O$105*0.4</f>
        <v>3608.935897435897</v>
      </c>
      <c r="H242" s="320">
        <f>VLieu!M$68</f>
        <v>145663.5</v>
      </c>
      <c r="I242" s="320"/>
      <c r="J242" s="320"/>
      <c r="K242" s="320">
        <f t="shared" si="86"/>
        <v>1541947.2155897438</v>
      </c>
      <c r="L242" s="320">
        <f t="shared" si="84"/>
        <v>385486.80389743595</v>
      </c>
      <c r="M242" s="321">
        <f t="shared" si="85"/>
        <v>1927434.0194871798</v>
      </c>
      <c r="N242" s="320"/>
      <c r="O242" s="320">
        <f>NhanCong!R$72</f>
        <v>32539.692307692305</v>
      </c>
    </row>
    <row r="243" spans="1:15">
      <c r="A243" s="1041"/>
      <c r="B243" s="1038"/>
      <c r="C243" s="1039"/>
      <c r="D243" s="319">
        <v>4</v>
      </c>
      <c r="E243" s="301">
        <f>NhanCong!Q$74</f>
        <v>1797553.6150000002</v>
      </c>
      <c r="F243" s="301">
        <f>NhanCong!Q$75</f>
        <v>380583.07692307694</v>
      </c>
      <c r="G243" s="320">
        <f>Dcu!O$106*0.4</f>
        <v>4511.1698717948711</v>
      </c>
      <c r="H243" s="320">
        <f>VLieu!M$68</f>
        <v>145663.5</v>
      </c>
      <c r="I243" s="320"/>
      <c r="J243" s="320"/>
      <c r="K243" s="320">
        <f t="shared" si="86"/>
        <v>2328311.3617948722</v>
      </c>
      <c r="L243" s="320">
        <f t="shared" si="84"/>
        <v>582077.84044871805</v>
      </c>
      <c r="M243" s="321">
        <f t="shared" si="85"/>
        <v>2910389.2022435903</v>
      </c>
      <c r="N243" s="320"/>
      <c r="O243" s="320">
        <f>NhanCong!R$74</f>
        <v>50891.923076923078</v>
      </c>
    </row>
    <row r="244" spans="1:15">
      <c r="A244" s="1041"/>
      <c r="B244" s="1038"/>
      <c r="C244" s="1039"/>
      <c r="D244" s="319">
        <v>5</v>
      </c>
      <c r="E244" s="301">
        <f>NhanCong!Q$76</f>
        <v>2426869.2305000005</v>
      </c>
      <c r="F244" s="301">
        <f>NhanCong!Q$77</f>
        <v>513823.5384615385</v>
      </c>
      <c r="G244" s="320">
        <f>Dcu!O$107*0.4</f>
        <v>5629.94</v>
      </c>
      <c r="H244" s="320">
        <f>VLieu!M$68</f>
        <v>145663.5</v>
      </c>
      <c r="I244" s="320"/>
      <c r="J244" s="320"/>
      <c r="K244" s="320">
        <f t="shared" si="86"/>
        <v>3091986.208961539</v>
      </c>
      <c r="L244" s="320">
        <f t="shared" si="84"/>
        <v>772996.55224038474</v>
      </c>
      <c r="M244" s="321">
        <f t="shared" si="85"/>
        <v>3864982.7612019237</v>
      </c>
      <c r="N244" s="320"/>
      <c r="O244" s="320">
        <f>NhanCong!R$76</f>
        <v>68708.961538461546</v>
      </c>
    </row>
    <row r="245" spans="1:15">
      <c r="A245" s="1041" t="s">
        <v>270</v>
      </c>
      <c r="B245" s="1038" t="str">
        <f>NhanCong!B$78</f>
        <v>Đo đạc ranh giới thửa đất và các đối tượng địa lý có liên quan</v>
      </c>
      <c r="C245" s="1039" t="s">
        <v>317</v>
      </c>
      <c r="D245" s="319" t="s">
        <v>18</v>
      </c>
      <c r="E245" s="301">
        <f>NhanCong!Q$78</f>
        <v>1061175.2937500002</v>
      </c>
      <c r="F245" s="301">
        <f>NhanCong!Q$79</f>
        <v>35948.000000000007</v>
      </c>
      <c r="G245" s="320">
        <f>Dcu!O$103</f>
        <v>6315.6378205128194</v>
      </c>
      <c r="H245" s="320">
        <f>VLieu!M$69</f>
        <v>145663.5</v>
      </c>
      <c r="I245" s="320">
        <f>TBi!N$68</f>
        <v>23555.920000000002</v>
      </c>
      <c r="J245" s="320"/>
      <c r="K245" s="320">
        <f t="shared" si="86"/>
        <v>1272658.3515705129</v>
      </c>
      <c r="L245" s="320">
        <f t="shared" si="84"/>
        <v>318164.58789262822</v>
      </c>
      <c r="M245" s="321">
        <f t="shared" si="85"/>
        <v>1590822.9394631411</v>
      </c>
      <c r="N245" s="320"/>
      <c r="O245" s="320">
        <f>NhanCong!R$78</f>
        <v>30043.75</v>
      </c>
    </row>
    <row r="246" spans="1:15">
      <c r="A246" s="1041"/>
      <c r="B246" s="1038"/>
      <c r="C246" s="1039"/>
      <c r="D246" s="319" t="s">
        <v>20</v>
      </c>
      <c r="E246" s="301">
        <f>NhanCong!Q$80</f>
        <v>1272551.1012500003</v>
      </c>
      <c r="F246" s="301">
        <f>NhanCong!Q$81</f>
        <v>43152.153846153851</v>
      </c>
      <c r="G246" s="320">
        <f>Dcu!O$104</f>
        <v>7668.9887820512804</v>
      </c>
      <c r="H246" s="320">
        <f>VLieu!M$69</f>
        <v>145663.5</v>
      </c>
      <c r="I246" s="320">
        <f>TBi!O$68</f>
        <v>27767.160000000003</v>
      </c>
      <c r="J246" s="320"/>
      <c r="K246" s="320">
        <f t="shared" si="86"/>
        <v>1496802.9038782052</v>
      </c>
      <c r="L246" s="320">
        <f t="shared" si="84"/>
        <v>374200.72596955131</v>
      </c>
      <c r="M246" s="321">
        <f t="shared" si="85"/>
        <v>1871003.6298477566</v>
      </c>
      <c r="N246" s="320"/>
      <c r="O246" s="320">
        <f>NhanCong!R$80</f>
        <v>36028.173076923078</v>
      </c>
    </row>
    <row r="247" spans="1:15">
      <c r="A247" s="1041"/>
      <c r="B247" s="1038"/>
      <c r="C247" s="1039"/>
      <c r="D247" s="319" t="s">
        <v>35</v>
      </c>
      <c r="E247" s="301">
        <f>NhanCong!Q$82</f>
        <v>1527748.7225000006</v>
      </c>
      <c r="F247" s="301">
        <f>NhanCong!Q$83</f>
        <v>51811.692307692312</v>
      </c>
      <c r="G247" s="320">
        <f>Dcu!O$105</f>
        <v>9022.3397435897423</v>
      </c>
      <c r="H247" s="320">
        <f>VLieu!M$69</f>
        <v>145663.5</v>
      </c>
      <c r="I247" s="320">
        <f>TBi!P$68</f>
        <v>32811.64</v>
      </c>
      <c r="J247" s="320"/>
      <c r="K247" s="320">
        <f t="shared" si="86"/>
        <v>1767057.8945512825</v>
      </c>
      <c r="L247" s="320">
        <f t="shared" si="84"/>
        <v>441764.47363782063</v>
      </c>
      <c r="M247" s="321">
        <f t="shared" si="85"/>
        <v>2208822.368189103</v>
      </c>
      <c r="N247" s="320"/>
      <c r="O247" s="320">
        <f>NhanCong!R$82</f>
        <v>43253.269230769227</v>
      </c>
    </row>
    <row r="248" spans="1:15">
      <c r="A248" s="1041"/>
      <c r="B248" s="1038"/>
      <c r="C248" s="1039"/>
      <c r="D248" s="319" t="s">
        <v>33</v>
      </c>
      <c r="E248" s="301">
        <f>NhanCong!Q$84</f>
        <v>1955655.8450000007</v>
      </c>
      <c r="F248" s="301">
        <f>NhanCong!Q$85</f>
        <v>82884.153846153858</v>
      </c>
      <c r="G248" s="320">
        <f>Dcu!O$106</f>
        <v>11277.924679487178</v>
      </c>
      <c r="H248" s="320">
        <f>VLieu!M$69</f>
        <v>145663.5</v>
      </c>
      <c r="I248" s="320">
        <f>TBi!Q$68</f>
        <v>41008.92</v>
      </c>
      <c r="J248" s="320"/>
      <c r="K248" s="320">
        <f t="shared" si="86"/>
        <v>2236490.3435256416</v>
      </c>
      <c r="L248" s="320">
        <f t="shared" si="84"/>
        <v>559122.5858814104</v>
      </c>
      <c r="M248" s="321">
        <f t="shared" si="85"/>
        <v>2795612.9294070518</v>
      </c>
      <c r="N248" s="320"/>
      <c r="O248" s="320">
        <f>NhanCong!R$84</f>
        <v>55368.076923076922</v>
      </c>
    </row>
    <row r="249" spans="1:15">
      <c r="A249" s="1041"/>
      <c r="B249" s="1038"/>
      <c r="C249" s="1039"/>
      <c r="D249" s="319" t="s">
        <v>13</v>
      </c>
      <c r="E249" s="301">
        <f>NhanCong!Q$86</f>
        <v>2347474.4150000005</v>
      </c>
      <c r="F249" s="301">
        <f>NhanCong!Q$87</f>
        <v>99402.769230769234</v>
      </c>
      <c r="G249" s="320">
        <f>Dcu!O$107</f>
        <v>14074.849999999999</v>
      </c>
      <c r="H249" s="320">
        <f>VLieu!M$69</f>
        <v>145663.5</v>
      </c>
      <c r="I249" s="320">
        <f>TBi!R$68</f>
        <v>51278.039999999994</v>
      </c>
      <c r="J249" s="320"/>
      <c r="K249" s="320">
        <f t="shared" si="86"/>
        <v>2657893.5742307696</v>
      </c>
      <c r="L249" s="320">
        <f t="shared" si="84"/>
        <v>664473.39355769241</v>
      </c>
      <c r="M249" s="321">
        <f t="shared" si="85"/>
        <v>3322366.9677884621</v>
      </c>
      <c r="N249" s="320"/>
      <c r="O249" s="320">
        <f>NhanCong!R$86</f>
        <v>66461.153846153844</v>
      </c>
    </row>
    <row r="250" spans="1:15">
      <c r="A250" s="1041" t="s">
        <v>363</v>
      </c>
      <c r="B250" s="1038" t="str">
        <f>NhanCong!B$88</f>
        <v>Đối soát, kiểm tra</v>
      </c>
      <c r="C250" s="1039" t="s">
        <v>317</v>
      </c>
      <c r="D250" s="319" t="s">
        <v>18</v>
      </c>
      <c r="E250" s="301">
        <f>NhanCong!Q$88</f>
        <v>98470.193250000026</v>
      </c>
      <c r="F250" s="301">
        <f>NhanCong!Q$89</f>
        <v>16736.923076923078</v>
      </c>
      <c r="G250" s="320">
        <f>Dcu!O$103*0.4</f>
        <v>2526.2551282051281</v>
      </c>
      <c r="H250" s="320">
        <f>VLieu!M$70</f>
        <v>75745.02</v>
      </c>
      <c r="I250" s="320"/>
      <c r="J250" s="320"/>
      <c r="K250" s="320">
        <f t="shared" si="86"/>
        <v>193478.39145512824</v>
      </c>
      <c r="L250" s="320">
        <f t="shared" si="84"/>
        <v>48369.597863782059</v>
      </c>
      <c r="M250" s="321">
        <f t="shared" si="85"/>
        <v>241847.98931891029</v>
      </c>
      <c r="N250" s="320"/>
      <c r="O250" s="320">
        <f>NhanCong!R$88</f>
        <v>2787.8653846153848</v>
      </c>
    </row>
    <row r="251" spans="1:15">
      <c r="A251" s="1041"/>
      <c r="B251" s="1038"/>
      <c r="C251" s="1039"/>
      <c r="D251" s="319" t="s">
        <v>20</v>
      </c>
      <c r="E251" s="301">
        <f>NhanCong!Q$90</f>
        <v>118404.82225000001</v>
      </c>
      <c r="F251" s="301">
        <f>NhanCong!Q$91</f>
        <v>20011.538461538461</v>
      </c>
      <c r="G251" s="320">
        <f>Dcu!O$104*0.4</f>
        <v>3067.5955128205123</v>
      </c>
      <c r="H251" s="320">
        <f>VLieu!M$70</f>
        <v>75745.02</v>
      </c>
      <c r="I251" s="320"/>
      <c r="J251" s="320"/>
      <c r="K251" s="320">
        <f t="shared" si="86"/>
        <v>217228.97622435901</v>
      </c>
      <c r="L251" s="320">
        <f t="shared" si="84"/>
        <v>54307.244056089752</v>
      </c>
      <c r="M251" s="321">
        <f t="shared" si="85"/>
        <v>271536.22028044879</v>
      </c>
      <c r="N251" s="320"/>
      <c r="O251" s="320">
        <f>NhanCong!R$90</f>
        <v>3352.25</v>
      </c>
    </row>
    <row r="252" spans="1:15">
      <c r="A252" s="1041"/>
      <c r="B252" s="1038"/>
      <c r="C252" s="1039"/>
      <c r="D252" s="319" t="s">
        <v>35</v>
      </c>
      <c r="E252" s="301">
        <f>NhanCong!Q$92</f>
        <v>141948.30650000004</v>
      </c>
      <c r="F252" s="301">
        <f>NhanCong!Q$93</f>
        <v>24013.846153846156</v>
      </c>
      <c r="G252" s="320">
        <f>Dcu!O$105*0.4</f>
        <v>3608.935897435897</v>
      </c>
      <c r="H252" s="320">
        <f>VLieu!M$70</f>
        <v>75745.02</v>
      </c>
      <c r="I252" s="320"/>
      <c r="J252" s="320"/>
      <c r="K252" s="320">
        <f t="shared" si="86"/>
        <v>245316.10855128209</v>
      </c>
      <c r="L252" s="320">
        <f t="shared" si="84"/>
        <v>61329.027137820522</v>
      </c>
      <c r="M252" s="321">
        <f t="shared" si="85"/>
        <v>306645.13568910258</v>
      </c>
      <c r="N252" s="320"/>
      <c r="O252" s="320">
        <f>NhanCong!R$92</f>
        <v>4018.8076923076924</v>
      </c>
    </row>
    <row r="253" spans="1:15">
      <c r="A253" s="1041"/>
      <c r="B253" s="1038"/>
      <c r="C253" s="1039"/>
      <c r="D253" s="319" t="s">
        <v>33</v>
      </c>
      <c r="E253" s="301">
        <f>NhanCong!Q$94</f>
        <v>214297.26175000003</v>
      </c>
      <c r="F253" s="301">
        <f>NhanCong!Q$95</f>
        <v>58943.076923076922</v>
      </c>
      <c r="G253" s="320">
        <f>Dcu!O$106*0.4</f>
        <v>4511.1698717948711</v>
      </c>
      <c r="H253" s="320">
        <f>VLieu!M$70</f>
        <v>75745.02</v>
      </c>
      <c r="I253" s="320"/>
      <c r="J253" s="320"/>
      <c r="K253" s="320">
        <f t="shared" si="86"/>
        <v>353496.52854487184</v>
      </c>
      <c r="L253" s="320">
        <f t="shared" si="84"/>
        <v>88374.132136217959</v>
      </c>
      <c r="M253" s="321">
        <f t="shared" si="85"/>
        <v>441870.66068108979</v>
      </c>
      <c r="N253" s="320"/>
      <c r="O253" s="320">
        <f>NhanCong!R$94</f>
        <v>6067.1346153846152</v>
      </c>
    </row>
    <row r="254" spans="1:15">
      <c r="A254" s="1041"/>
      <c r="B254" s="1038"/>
      <c r="C254" s="1039"/>
      <c r="D254" s="319" t="s">
        <v>13</v>
      </c>
      <c r="E254" s="301">
        <f>NhanCong!Q$96</f>
        <v>257087.97400000005</v>
      </c>
      <c r="F254" s="301">
        <f>NhanCong!Q$97</f>
        <v>70731.692307692312</v>
      </c>
      <c r="G254" s="320">
        <f>Dcu!O$107*0.4</f>
        <v>5629.94</v>
      </c>
      <c r="H254" s="320">
        <f>VLieu!M$70</f>
        <v>75745.02</v>
      </c>
      <c r="I254" s="320"/>
      <c r="J254" s="320"/>
      <c r="K254" s="320">
        <f t="shared" si="86"/>
        <v>409194.62630769238</v>
      </c>
      <c r="L254" s="320">
        <f t="shared" si="84"/>
        <v>102298.65657692309</v>
      </c>
      <c r="M254" s="321">
        <f t="shared" si="85"/>
        <v>511493.28288461547</v>
      </c>
      <c r="N254" s="320"/>
      <c r="O254" s="320">
        <f>NhanCong!R$96</f>
        <v>7278.6153846153848</v>
      </c>
    </row>
    <row r="255" spans="1:15" ht="12.75" customHeight="1">
      <c r="A255" s="1041" t="s">
        <v>364</v>
      </c>
      <c r="B255" s="1038" t="str">
        <f>NhanCong!B$98</f>
        <v>Giao nhận Phiếu kết quả đo đạc hiện trạng thửa đất</v>
      </c>
      <c r="C255" s="1039" t="s">
        <v>317</v>
      </c>
      <c r="D255" s="319" t="s">
        <v>18</v>
      </c>
      <c r="E255" s="301">
        <f>NhanCong!Q$98</f>
        <v>146244.56275000001</v>
      </c>
      <c r="F255" s="301">
        <f>NhanCong!Q$99</f>
        <v>61926.61538461539</v>
      </c>
      <c r="G255" s="320">
        <f>Dcu!O$103*0.4</f>
        <v>2526.2551282051281</v>
      </c>
      <c r="H255" s="320">
        <f>VLieu!M$71</f>
        <v>75745.02</v>
      </c>
      <c r="I255" s="320"/>
      <c r="J255" s="320"/>
      <c r="K255" s="320">
        <f t="shared" si="86"/>
        <v>286442.45326282055</v>
      </c>
      <c r="L255" s="320">
        <f t="shared" si="84"/>
        <v>71610.613315705137</v>
      </c>
      <c r="M255" s="321">
        <f t="shared" si="85"/>
        <v>358053.0665785257</v>
      </c>
      <c r="N255" s="320"/>
      <c r="O255" s="320">
        <f>NhanCong!R$98</f>
        <v>4140.4423076923076</v>
      </c>
    </row>
    <row r="256" spans="1:15">
      <c r="A256" s="1041"/>
      <c r="B256" s="1038"/>
      <c r="C256" s="1039"/>
      <c r="D256" s="319" t="s">
        <v>20</v>
      </c>
      <c r="E256" s="301">
        <f>NhanCong!Q$100</f>
        <v>172537.65100000001</v>
      </c>
      <c r="F256" s="301">
        <f>NhanCong!Q$101</f>
        <v>73060.307692307688</v>
      </c>
      <c r="G256" s="320">
        <f>Dcu!O$104*0.4</f>
        <v>3067.5955128205123</v>
      </c>
      <c r="H256" s="320">
        <f>VLieu!M$71</f>
        <v>75745.02</v>
      </c>
      <c r="I256" s="320"/>
      <c r="J256" s="320"/>
      <c r="K256" s="320">
        <f t="shared" si="86"/>
        <v>324410.57420512824</v>
      </c>
      <c r="L256" s="320">
        <f t="shared" si="84"/>
        <v>81102.643551282061</v>
      </c>
      <c r="M256" s="321">
        <f t="shared" si="85"/>
        <v>405513.2177564103</v>
      </c>
      <c r="N256" s="320"/>
      <c r="O256" s="320">
        <f>NhanCong!R$100</f>
        <v>4884.8461538461534</v>
      </c>
    </row>
    <row r="257" spans="1:15">
      <c r="A257" s="1041"/>
      <c r="B257" s="1038"/>
      <c r="C257" s="1039"/>
      <c r="D257" s="319" t="s">
        <v>35</v>
      </c>
      <c r="E257" s="301">
        <f>NhanCong!Q$102</f>
        <v>206907.701</v>
      </c>
      <c r="F257" s="301">
        <f>NhanCong!Q$103</f>
        <v>87614.153846153844</v>
      </c>
      <c r="G257" s="320">
        <f>Dcu!O$105*0.4</f>
        <v>3608.935897435897</v>
      </c>
      <c r="H257" s="320">
        <f>VLieu!M$71</f>
        <v>75745.02</v>
      </c>
      <c r="I257" s="320"/>
      <c r="J257" s="320"/>
      <c r="K257" s="320">
        <f t="shared" si="86"/>
        <v>373875.81074358977</v>
      </c>
      <c r="L257" s="320">
        <f t="shared" si="84"/>
        <v>93468.952685897442</v>
      </c>
      <c r="M257" s="321">
        <f t="shared" si="85"/>
        <v>467344.76342948724</v>
      </c>
      <c r="N257" s="320"/>
      <c r="O257" s="320">
        <f>NhanCong!R$102</f>
        <v>5857.9230769230762</v>
      </c>
    </row>
    <row r="258" spans="1:15">
      <c r="A258" s="1041"/>
      <c r="B258" s="1038"/>
      <c r="C258" s="1039"/>
      <c r="D258" s="319" t="s">
        <v>33</v>
      </c>
      <c r="E258" s="301">
        <f>NhanCong!Q$104</f>
        <v>312423.75450000004</v>
      </c>
      <c r="F258" s="301">
        <f>NhanCong!Q$105</f>
        <v>132294.46153846153</v>
      </c>
      <c r="G258" s="320">
        <f>Dcu!O$106*0.4</f>
        <v>4511.1698717948711</v>
      </c>
      <c r="H258" s="320">
        <f>VLieu!M$71</f>
        <v>75745.02</v>
      </c>
      <c r="I258" s="320"/>
      <c r="J258" s="320"/>
      <c r="K258" s="320">
        <f t="shared" si="86"/>
        <v>524974.40591025644</v>
      </c>
      <c r="L258" s="320">
        <f t="shared" si="84"/>
        <v>131243.60147756411</v>
      </c>
      <c r="M258" s="321">
        <f t="shared" si="85"/>
        <v>656218.00738782051</v>
      </c>
      <c r="N258" s="320"/>
      <c r="O258" s="320">
        <f>NhanCong!R$104</f>
        <v>8845.2692307692305</v>
      </c>
    </row>
    <row r="259" spans="1:15">
      <c r="A259" s="1041"/>
      <c r="B259" s="1038"/>
      <c r="C259" s="1039"/>
      <c r="D259" s="319" t="s">
        <v>13</v>
      </c>
      <c r="E259" s="301">
        <f>NhanCong!Q$106</f>
        <v>374977.24550000002</v>
      </c>
      <c r="F259" s="301">
        <f>NhanCong!Q$107</f>
        <v>158782.46153846156</v>
      </c>
      <c r="G259" s="320">
        <f>Dcu!O$107*0.4</f>
        <v>5629.94</v>
      </c>
      <c r="H259" s="320">
        <f>VLieu!M$71</f>
        <v>75745.02</v>
      </c>
      <c r="I259" s="320"/>
      <c r="J259" s="320"/>
      <c r="K259" s="320">
        <f t="shared" si="86"/>
        <v>615134.66703846154</v>
      </c>
      <c r="L259" s="320">
        <f t="shared" si="84"/>
        <v>153783.66675961539</v>
      </c>
      <c r="M259" s="321">
        <f t="shared" si="85"/>
        <v>768918.33379807696</v>
      </c>
      <c r="N259" s="320"/>
      <c r="O259" s="320">
        <f>NhanCong!R$106</f>
        <v>10616.26923076923</v>
      </c>
    </row>
    <row r="260" spans="1:15">
      <c r="A260" s="1041"/>
      <c r="B260" s="1038"/>
      <c r="C260" s="1039"/>
      <c r="D260" s="319"/>
      <c r="E260" s="301"/>
      <c r="F260" s="301"/>
      <c r="G260" s="320"/>
      <c r="H260" s="320"/>
      <c r="I260" s="320"/>
      <c r="J260" s="320"/>
      <c r="K260" s="320"/>
      <c r="L260" s="320"/>
      <c r="M260" s="321"/>
      <c r="N260" s="320"/>
      <c r="O260" s="320"/>
    </row>
    <row r="261" spans="1:15" ht="13.5" customHeight="1">
      <c r="A261" s="298">
        <v>2</v>
      </c>
      <c r="B261" s="316" t="s">
        <v>58</v>
      </c>
      <c r="C261" s="319" t="s">
        <v>43</v>
      </c>
      <c r="D261" s="319"/>
      <c r="E261" s="301">
        <f>NhanCong!Q$108</f>
        <v>0</v>
      </c>
      <c r="F261" s="301"/>
      <c r="G261" s="320"/>
      <c r="H261" s="320"/>
      <c r="I261" s="320"/>
      <c r="J261" s="320"/>
      <c r="K261" s="320">
        <f>E261+F261+G261+I261+J261</f>
        <v>0</v>
      </c>
      <c r="L261" s="320"/>
      <c r="M261" s="321"/>
      <c r="N261" s="320"/>
      <c r="O261" s="320"/>
    </row>
    <row r="262" spans="1:15">
      <c r="A262" s="1041" t="s">
        <v>268</v>
      </c>
      <c r="B262" s="1038" t="str">
        <f>NhanCong!B$109</f>
        <v>Biên tập bản đồ địa chính</v>
      </c>
      <c r="C262" s="1039" t="s">
        <v>317</v>
      </c>
      <c r="D262" s="319" t="s">
        <v>18</v>
      </c>
      <c r="E262" s="301">
        <f>NhanCong!Q$109</f>
        <v>218868.47840000002</v>
      </c>
      <c r="F262" s="301"/>
      <c r="G262" s="320">
        <f>Dcu!O$123</f>
        <v>1142.8892247521367</v>
      </c>
      <c r="H262" s="320">
        <f>VLieu!M$90</f>
        <v>57087.8</v>
      </c>
      <c r="I262" s="320">
        <f>TBi!N$101</f>
        <v>18169.093057142858</v>
      </c>
      <c r="J262" s="320">
        <f>TBi!N$107</f>
        <v>7817.7119999999995</v>
      </c>
      <c r="K262" s="320">
        <f>SUM(E262:J262)</f>
        <v>303085.97268189501</v>
      </c>
      <c r="L262" s="320">
        <f>K262*0.15</f>
        <v>45462.895902284254</v>
      </c>
      <c r="M262" s="321">
        <f>K262+L262</f>
        <v>348548.86858417926</v>
      </c>
      <c r="N262" s="320"/>
      <c r="O262" s="320">
        <f>NhanCong!R$109</f>
        <v>6196.5538461538463</v>
      </c>
    </row>
    <row r="263" spans="1:15">
      <c r="A263" s="1041"/>
      <c r="B263" s="1038"/>
      <c r="C263" s="1039"/>
      <c r="D263" s="319" t="s">
        <v>20</v>
      </c>
      <c r="E263" s="301">
        <f>NhanCong!Q$110</f>
        <v>273585.59800000006</v>
      </c>
      <c r="F263" s="301"/>
      <c r="G263" s="320">
        <f>Dcu!O$124</f>
        <v>1428.611530940171</v>
      </c>
      <c r="H263" s="320">
        <f>VLieu!M$90</f>
        <v>57087.8</v>
      </c>
      <c r="I263" s="320">
        <f>TBi!O$101</f>
        <v>21673.290514285716</v>
      </c>
      <c r="J263" s="320">
        <f>TBi!O$107</f>
        <v>9375.9120000000003</v>
      </c>
      <c r="K263" s="320">
        <f>SUM(E263:J263)</f>
        <v>363151.21204522596</v>
      </c>
      <c r="L263" s="320">
        <f>K263*0.15</f>
        <v>54472.68180678389</v>
      </c>
      <c r="M263" s="321">
        <f>K263+L263</f>
        <v>417623.89385200985</v>
      </c>
      <c r="N263" s="320"/>
      <c r="O263" s="320">
        <f>NhanCong!R$110</f>
        <v>7745.6923076923067</v>
      </c>
    </row>
    <row r="264" spans="1:15">
      <c r="A264" s="1041"/>
      <c r="B264" s="1038"/>
      <c r="C264" s="1039"/>
      <c r="D264" s="319" t="s">
        <v>35</v>
      </c>
      <c r="E264" s="301">
        <f>NhanCong!Q$111</f>
        <v>342050.73760000005</v>
      </c>
      <c r="F264" s="301"/>
      <c r="G264" s="320">
        <f>Dcu!O$125</f>
        <v>1785.7644136752135</v>
      </c>
      <c r="H264" s="320">
        <f>VLieu!M$90</f>
        <v>57087.8</v>
      </c>
      <c r="I264" s="320">
        <f>TBi!P$101</f>
        <v>28336.181657142854</v>
      </c>
      <c r="J264" s="320">
        <f>TBi!P$107</f>
        <v>12298.2048</v>
      </c>
      <c r="K264" s="320">
        <f>SUM(E264:J264)</f>
        <v>441558.68847081816</v>
      </c>
      <c r="L264" s="320">
        <f>K264*0.15</f>
        <v>66233.803270622724</v>
      </c>
      <c r="M264" s="321">
        <f>K264+L264</f>
        <v>507792.4917414409</v>
      </c>
      <c r="N264" s="320"/>
      <c r="O264" s="320">
        <f>NhanCong!R$111</f>
        <v>9684.0615384615376</v>
      </c>
    </row>
    <row r="265" spans="1:15">
      <c r="A265" s="1041"/>
      <c r="B265" s="1038"/>
      <c r="C265" s="1039"/>
      <c r="D265" s="319" t="s">
        <v>33</v>
      </c>
      <c r="E265" s="301">
        <f>NhanCong!Q$112</f>
        <v>427563.42200000008</v>
      </c>
      <c r="F265" s="301"/>
      <c r="G265" s="320">
        <f>Dcu!O$126</f>
        <v>2232.2055170940171</v>
      </c>
      <c r="H265" s="320">
        <f>VLieu!M$90</f>
        <v>57087.8</v>
      </c>
      <c r="I265" s="320">
        <f>TBi!Q$101</f>
        <v>35416.094400000002</v>
      </c>
      <c r="J265" s="320">
        <f>TBi!Q$107</f>
        <v>15397.6872</v>
      </c>
      <c r="K265" s="320">
        <f>SUM(E265:J265)</f>
        <v>537697.20911709405</v>
      </c>
      <c r="L265" s="320">
        <f>K265*0.15</f>
        <v>80654.581367564111</v>
      </c>
      <c r="M265" s="321">
        <f>K265+L265</f>
        <v>618351.79048465821</v>
      </c>
      <c r="N265" s="320"/>
      <c r="O265" s="320">
        <f>NhanCong!R$112</f>
        <v>12105.076923076922</v>
      </c>
    </row>
    <row r="266" spans="1:15">
      <c r="A266" s="1041"/>
      <c r="B266" s="1038"/>
      <c r="C266" s="1039"/>
      <c r="D266" s="319" t="s">
        <v>13</v>
      </c>
      <c r="E266" s="301">
        <f>NhanCong!Q$113</f>
        <v>534523.01760000014</v>
      </c>
      <c r="F266" s="301"/>
      <c r="G266" s="320">
        <f>Dcu!O$127</f>
        <v>2785.7924853333334</v>
      </c>
      <c r="H266" s="320">
        <f>VLieu!M$90</f>
        <v>57087.8</v>
      </c>
      <c r="I266" s="320">
        <f>TBi!R$101</f>
        <v>44252.788314285717</v>
      </c>
      <c r="J266" s="320">
        <f>TBi!R$107</f>
        <v>19240.653600000001</v>
      </c>
      <c r="K266" s="320">
        <f>SUM(E266:J266)</f>
        <v>657890.05199961911</v>
      </c>
      <c r="L266" s="320">
        <f>K266*0.15</f>
        <v>98683.507799942861</v>
      </c>
      <c r="M266" s="321">
        <f>K266+L266</f>
        <v>756573.55979956198</v>
      </c>
      <c r="N266" s="320"/>
      <c r="O266" s="320">
        <f>NhanCong!R$113</f>
        <v>15133.292307692307</v>
      </c>
    </row>
    <row r="267" spans="1:15" ht="26">
      <c r="A267" s="323">
        <v>2.2000000000000002</v>
      </c>
      <c r="B267" s="324" t="str">
        <f>NhanCong!B$114</f>
        <v>Lập Phiếu xác nhận kết quả đo đạc hiện trạng thửa đất</v>
      </c>
      <c r="C267" s="319" t="s">
        <v>317</v>
      </c>
      <c r="D267" s="319" t="s">
        <v>15</v>
      </c>
      <c r="E267" s="301">
        <f>NhanCong!Q$114</f>
        <v>206220.30000000005</v>
      </c>
      <c r="F267" s="301"/>
      <c r="G267" s="320">
        <f>Dcu!O$138</f>
        <v>1075.2020991452989</v>
      </c>
      <c r="H267" s="320">
        <f>VLieu!M$91</f>
        <v>46708.200000000004</v>
      </c>
      <c r="I267" s="320">
        <f>TBi!N$138</f>
        <v>5562.5571428571429</v>
      </c>
      <c r="J267" s="320">
        <f>TBi!N$141</f>
        <v>7292.3760000000011</v>
      </c>
      <c r="K267" s="320">
        <f t="shared" ref="K267:K272" si="87">SUM(E267:J267)</f>
        <v>266858.63524200249</v>
      </c>
      <c r="L267" s="320">
        <f t="shared" ref="L267:L272" si="88">K267*0.15</f>
        <v>40028.795286300374</v>
      </c>
      <c r="M267" s="321">
        <f t="shared" ref="M267:M272" si="89">K267+L267</f>
        <v>306887.43052830285</v>
      </c>
      <c r="N267" s="320"/>
      <c r="O267" s="320">
        <f>NhanCong!R$114</f>
        <v>5838.461538461539</v>
      </c>
    </row>
    <row r="268" spans="1:15" ht="26">
      <c r="A268" s="323" t="s">
        <v>246</v>
      </c>
      <c r="B268" s="324" t="str">
        <f>NhanCong!B$115</f>
        <v>Công khai bản đồ địa chính, Hoàn thiện bản đồ địa chính</v>
      </c>
      <c r="C268" s="319" t="s">
        <v>317</v>
      </c>
      <c r="D268" s="319" t="s">
        <v>15</v>
      </c>
      <c r="E268" s="301">
        <f>NhanCong!Q$115</f>
        <v>192472.28000000003</v>
      </c>
      <c r="F268" s="301"/>
      <c r="G268" s="320">
        <f>Dcu!O$130</f>
        <v>1017.8857157948717</v>
      </c>
      <c r="H268" s="320">
        <f>VLieu!M$94</f>
        <v>20759.2</v>
      </c>
      <c r="I268" s="320">
        <f>TBi!N$164</f>
        <v>5191.7200000000012</v>
      </c>
      <c r="J268" s="320">
        <f>TBi!N$167</f>
        <v>6806.2175999999999</v>
      </c>
      <c r="K268" s="320">
        <f t="shared" si="87"/>
        <v>226247.30331579491</v>
      </c>
      <c r="L268" s="320">
        <f t="shared" si="88"/>
        <v>33937.095497369235</v>
      </c>
      <c r="M268" s="321">
        <f t="shared" si="89"/>
        <v>260184.39881316415</v>
      </c>
      <c r="N268" s="320"/>
      <c r="O268" s="320">
        <f>NhanCong!R$115</f>
        <v>5449.2307692307686</v>
      </c>
    </row>
    <row r="269" spans="1:15">
      <c r="A269" s="323">
        <v>2.4</v>
      </c>
      <c r="B269" s="324" t="str">
        <f>NhanCong!B$116</f>
        <v>Lập sổ mục kê đất đai phạm vi khu đo</v>
      </c>
      <c r="C269" s="319" t="s">
        <v>317</v>
      </c>
      <c r="D269" s="319" t="s">
        <v>15</v>
      </c>
      <c r="E269" s="301">
        <f>NhanCong!Q$116</f>
        <v>22684.233000000004</v>
      </c>
      <c r="F269" s="301"/>
      <c r="G269" s="320">
        <f>Dcu!O$140</f>
        <v>535.72932410256408</v>
      </c>
      <c r="H269" s="320">
        <f>VLieu!M$94</f>
        <v>20759.2</v>
      </c>
      <c r="I269" s="320"/>
      <c r="J269" s="320"/>
      <c r="K269" s="320">
        <f t="shared" si="87"/>
        <v>43979.162324102566</v>
      </c>
      <c r="L269" s="320">
        <f t="shared" si="88"/>
        <v>6596.8743486153844</v>
      </c>
      <c r="M269" s="321">
        <f t="shared" si="89"/>
        <v>50576.03667271795</v>
      </c>
      <c r="N269" s="320"/>
      <c r="O269" s="320">
        <f>NhanCong!R$116</f>
        <v>642.23076923076917</v>
      </c>
    </row>
    <row r="270" spans="1:15" ht="39">
      <c r="A270" s="323">
        <v>2.5</v>
      </c>
      <c r="B270" s="324" t="str">
        <f>NhanCong!B$117</f>
        <v>In sản phẩm đo đạc lập bản đồ địa chính gồm sản phẩm chính và sản phẩm trung gian</v>
      </c>
      <c r="C270" s="319" t="s">
        <v>317</v>
      </c>
      <c r="D270" s="319" t="s">
        <v>15</v>
      </c>
      <c r="E270" s="301">
        <f>NhanCong!Q$117</f>
        <v>9348.6536000000015</v>
      </c>
      <c r="F270" s="301"/>
      <c r="G270" s="320">
        <f>Dcu!O$152</f>
        <v>555.88608205128207</v>
      </c>
      <c r="H270" s="320">
        <f>VLieu!M$102</f>
        <v>2647.2</v>
      </c>
      <c r="I270" s="320">
        <f>TBi!N$192</f>
        <v>345.3719142857143</v>
      </c>
      <c r="J270" s="320">
        <f>TBi!N$196</f>
        <v>364.17360000000002</v>
      </c>
      <c r="K270" s="320">
        <f t="shared" si="87"/>
        <v>13261.285196336998</v>
      </c>
      <c r="L270" s="320">
        <f t="shared" si="88"/>
        <v>1989.1927794505496</v>
      </c>
      <c r="M270" s="321">
        <f t="shared" si="89"/>
        <v>15250.477975787548</v>
      </c>
      <c r="N270" s="320"/>
      <c r="O270" s="320">
        <f>NhanCong!R$117</f>
        <v>264.67692307692306</v>
      </c>
    </row>
    <row r="271" spans="1:15">
      <c r="A271" s="300">
        <v>2.6</v>
      </c>
      <c r="B271" s="324" t="str">
        <f>NhanCong!B$118</f>
        <v>Trình ký xác nhận hồ sơ</v>
      </c>
      <c r="C271" s="319" t="s">
        <v>317</v>
      </c>
      <c r="D271" s="319" t="s">
        <v>15</v>
      </c>
      <c r="E271" s="301">
        <f>NhanCong!Q$118</f>
        <v>10998.416000000003</v>
      </c>
      <c r="F271" s="301"/>
      <c r="G271" s="320">
        <f>Dcu!O$140</f>
        <v>535.72932410256408</v>
      </c>
      <c r="H271" s="320">
        <f>VLieu!M$94</f>
        <v>20759.2</v>
      </c>
      <c r="I271" s="320"/>
      <c r="J271" s="320"/>
      <c r="K271" s="320">
        <f t="shared" si="87"/>
        <v>32293.345324102567</v>
      </c>
      <c r="L271" s="320">
        <f t="shared" si="88"/>
        <v>4844.0017986153853</v>
      </c>
      <c r="M271" s="321">
        <f t="shared" si="89"/>
        <v>37137.347122717954</v>
      </c>
      <c r="N271" s="320"/>
      <c r="O271" s="320">
        <f>NhanCong!R$118</f>
        <v>311.38461538461542</v>
      </c>
    </row>
    <row r="272" spans="1:15" ht="26">
      <c r="A272" s="300">
        <v>2.7</v>
      </c>
      <c r="B272" s="324" t="str">
        <f>NhanCong!B$119</f>
        <v>Giao nộp sản phẩm đo đạc lập bản đồ địa chính</v>
      </c>
      <c r="C272" s="319" t="s">
        <v>317</v>
      </c>
      <c r="D272" s="319" t="s">
        <v>15</v>
      </c>
      <c r="E272" s="301">
        <f>NhanCong!Q$119</f>
        <v>23371.634000000005</v>
      </c>
      <c r="F272" s="301"/>
      <c r="G272" s="320">
        <f>Dcu!O$154</f>
        <v>27.794304102564105</v>
      </c>
      <c r="H272" s="320">
        <f>VLieu!M$94</f>
        <v>20759.2</v>
      </c>
      <c r="I272" s="320"/>
      <c r="J272" s="320"/>
      <c r="K272" s="320">
        <f t="shared" si="87"/>
        <v>44158.628304102574</v>
      </c>
      <c r="L272" s="320">
        <f t="shared" si="88"/>
        <v>6623.794245615386</v>
      </c>
      <c r="M272" s="321">
        <f t="shared" si="89"/>
        <v>50782.422549717958</v>
      </c>
      <c r="N272" s="320"/>
      <c r="O272" s="320">
        <f>NhanCong!R$119</f>
        <v>661.69230769230762</v>
      </c>
    </row>
    <row r="273" spans="1:15">
      <c r="A273" s="298" t="s">
        <v>30</v>
      </c>
      <c r="B273" s="316" t="s">
        <v>47</v>
      </c>
      <c r="C273" s="300"/>
      <c r="D273" s="300"/>
      <c r="E273" s="301"/>
      <c r="F273" s="301"/>
      <c r="G273" s="301"/>
      <c r="H273" s="301"/>
      <c r="I273" s="301"/>
      <c r="J273" s="301"/>
      <c r="K273" s="301"/>
      <c r="L273" s="301"/>
      <c r="M273" s="809">
        <v>100</v>
      </c>
      <c r="N273" s="325" t="s">
        <v>21</v>
      </c>
      <c r="O273" s="301"/>
    </row>
    <row r="274" spans="1:15" s="308" customFormat="1" ht="13.5" customHeight="1">
      <c r="A274" s="1036"/>
      <c r="B274" s="1035" t="s">
        <v>190</v>
      </c>
      <c r="C274" s="1036" t="s">
        <v>21</v>
      </c>
      <c r="D274" s="298">
        <v>1</v>
      </c>
      <c r="E274" s="301">
        <f t="shared" ref="E274:J274" si="90">SUM(E$308,E309,E314,E319,E324,E329)</f>
        <v>1030883.9832500002</v>
      </c>
      <c r="F274" s="301">
        <f t="shared" si="90"/>
        <v>109754.1923076923</v>
      </c>
      <c r="G274" s="301">
        <f t="shared" si="90"/>
        <v>8279.0125747863221</v>
      </c>
      <c r="H274" s="301">
        <f t="shared" si="90"/>
        <v>17580.565000000002</v>
      </c>
      <c r="I274" s="301">
        <f t="shared" si="90"/>
        <v>9325.1257142857139</v>
      </c>
      <c r="J274" s="301">
        <f t="shared" si="90"/>
        <v>22.037399999999998</v>
      </c>
      <c r="K274" s="301">
        <f t="shared" ref="K274:K283" si="91">SUM(E274:J274)</f>
        <v>1175844.9162467646</v>
      </c>
      <c r="L274" s="301">
        <f>K274*0.25</f>
        <v>293961.22906169115</v>
      </c>
      <c r="M274" s="315">
        <f t="shared" ref="M274:M283" si="92">K274+L274</f>
        <v>1469806.1453084557</v>
      </c>
      <c r="N274" s="301">
        <f>M274+M279</f>
        <v>1911484.3722653082</v>
      </c>
      <c r="O274" s="301">
        <f>SUM(O$308,O309,O314,O319,O324,O329)</f>
        <v>29109.596153846152</v>
      </c>
    </row>
    <row r="275" spans="1:15" s="308" customFormat="1" ht="15" customHeight="1">
      <c r="A275" s="1036"/>
      <c r="B275" s="1035"/>
      <c r="C275" s="1036"/>
      <c r="D275" s="298">
        <v>2</v>
      </c>
      <c r="E275" s="301">
        <f t="shared" ref="E275:J278" si="93">SUM(E$308,E310,E315,E320,E325,E330)</f>
        <v>1208018.6284375002</v>
      </c>
      <c r="F275" s="301">
        <f t="shared" si="93"/>
        <v>129656.57692307692</v>
      </c>
      <c r="G275" s="301">
        <f t="shared" si="93"/>
        <v>9711.073488247861</v>
      </c>
      <c r="H275" s="301">
        <f t="shared" si="93"/>
        <v>17580.565000000002</v>
      </c>
      <c r="I275" s="301">
        <f t="shared" si="93"/>
        <v>10974.715714285714</v>
      </c>
      <c r="J275" s="301">
        <f>SUM(J$308,J310,J315,J320,J325,J330)</f>
        <v>22.037399999999998</v>
      </c>
      <c r="K275" s="301">
        <f t="shared" si="91"/>
        <v>1375963.5969631106</v>
      </c>
      <c r="L275" s="301">
        <f>K275*0.25</f>
        <v>343990.89924077765</v>
      </c>
      <c r="M275" s="315">
        <f t="shared" si="92"/>
        <v>1719954.4962038882</v>
      </c>
      <c r="N275" s="301">
        <f>M275+M280</f>
        <v>2194040.7357195537</v>
      </c>
      <c r="O275" s="301">
        <f t="shared" ref="O275:O278" si="94">SUM(O$308,O310,O315,O320,O325,O330)</f>
        <v>34124.591346153844</v>
      </c>
    </row>
    <row r="276" spans="1:15" s="308" customFormat="1" ht="15" customHeight="1">
      <c r="A276" s="1036"/>
      <c r="B276" s="1035"/>
      <c r="C276" s="1036"/>
      <c r="D276" s="298">
        <v>3</v>
      </c>
      <c r="E276" s="301">
        <f t="shared" si="93"/>
        <v>1437524.6373125003</v>
      </c>
      <c r="F276" s="301">
        <f t="shared" si="93"/>
        <v>160674.46153846153</v>
      </c>
      <c r="G276" s="301">
        <f t="shared" si="93"/>
        <v>11143.1344017094</v>
      </c>
      <c r="H276" s="301">
        <f t="shared" si="93"/>
        <v>17580.565000000002</v>
      </c>
      <c r="I276" s="301">
        <f t="shared" si="93"/>
        <v>12984.625714285716</v>
      </c>
      <c r="J276" s="301">
        <f t="shared" si="93"/>
        <v>22.037399999999998</v>
      </c>
      <c r="K276" s="301">
        <f t="shared" si="91"/>
        <v>1639929.4613669568</v>
      </c>
      <c r="L276" s="301">
        <f>K276*0.25</f>
        <v>409982.36534173921</v>
      </c>
      <c r="M276" s="315">
        <f t="shared" si="92"/>
        <v>2049911.8267086961</v>
      </c>
      <c r="N276" s="301">
        <f>M276+M281</f>
        <v>2563050.5188885746</v>
      </c>
      <c r="O276" s="301">
        <f t="shared" si="94"/>
        <v>40622.312499999993</v>
      </c>
    </row>
    <row r="277" spans="1:15" s="308" customFormat="1" ht="15" customHeight="1">
      <c r="A277" s="1036"/>
      <c r="B277" s="1035"/>
      <c r="C277" s="1036"/>
      <c r="D277" s="298">
        <v>4</v>
      </c>
      <c r="E277" s="301">
        <f t="shared" si="93"/>
        <v>1862811.0435000004</v>
      </c>
      <c r="F277" s="301">
        <f t="shared" si="93"/>
        <v>229896.19230769231</v>
      </c>
      <c r="G277" s="301">
        <f t="shared" si="93"/>
        <v>14007.256228632479</v>
      </c>
      <c r="H277" s="301">
        <f t="shared" si="93"/>
        <v>17580.565000000002</v>
      </c>
      <c r="I277" s="301">
        <f t="shared" si="93"/>
        <v>17285.945714285714</v>
      </c>
      <c r="J277" s="301">
        <f t="shared" si="93"/>
        <v>22.037399999999998</v>
      </c>
      <c r="K277" s="301">
        <f t="shared" si="91"/>
        <v>2141603.0401506103</v>
      </c>
      <c r="L277" s="301">
        <f>K277*0.25</f>
        <v>535400.76003765257</v>
      </c>
      <c r="M277" s="315">
        <f t="shared" si="92"/>
        <v>2677003.8001882629</v>
      </c>
      <c r="N277" s="301">
        <f>M277+M282</f>
        <v>3143814.6228049779</v>
      </c>
      <c r="O277" s="301">
        <f t="shared" si="94"/>
        <v>52662.923076923071</v>
      </c>
    </row>
    <row r="278" spans="1:15" s="308" customFormat="1" ht="15" customHeight="1">
      <c r="A278" s="1036"/>
      <c r="B278" s="1035"/>
      <c r="C278" s="1036"/>
      <c r="D278" s="298">
        <v>5</v>
      </c>
      <c r="E278" s="301">
        <f t="shared" si="93"/>
        <v>2434771.6380625004</v>
      </c>
      <c r="F278" s="301">
        <f t="shared" si="93"/>
        <v>309578.5</v>
      </c>
      <c r="G278" s="301">
        <f t="shared" si="93"/>
        <v>17826.085331196577</v>
      </c>
      <c r="H278" s="301">
        <f t="shared" si="93"/>
        <v>17580.565000000002</v>
      </c>
      <c r="I278" s="301">
        <f t="shared" si="93"/>
        <v>23462.055714285714</v>
      </c>
      <c r="J278" s="301">
        <f t="shared" si="93"/>
        <v>22.037399999999998</v>
      </c>
      <c r="K278" s="301">
        <f t="shared" si="91"/>
        <v>2803240.8815079825</v>
      </c>
      <c r="L278" s="301">
        <f>K278*0.25</f>
        <v>700810.22037699562</v>
      </c>
      <c r="M278" s="315">
        <f t="shared" si="92"/>
        <v>3504051.1018849779</v>
      </c>
      <c r="N278" s="301">
        <f>M278+M283</f>
        <v>4017760.2901802137</v>
      </c>
      <c r="O278" s="301">
        <f t="shared" si="94"/>
        <v>68856.139423076922</v>
      </c>
    </row>
    <row r="279" spans="1:15" s="308" customFormat="1" ht="13.5" customHeight="1">
      <c r="A279" s="1036"/>
      <c r="B279" s="1035" t="s">
        <v>192</v>
      </c>
      <c r="C279" s="1036" t="s">
        <v>21</v>
      </c>
      <c r="D279" s="298">
        <v>1</v>
      </c>
      <c r="E279" s="301">
        <f t="shared" ref="E279:J283" si="95">(E335+SUM(E$340:E$345))</f>
        <v>289842.63165000005</v>
      </c>
      <c r="F279" s="301">
        <f t="shared" si="95"/>
        <v>0</v>
      </c>
      <c r="G279" s="301">
        <f t="shared" si="95"/>
        <v>2349.9168335982904</v>
      </c>
      <c r="H279" s="301">
        <f t="shared" si="95"/>
        <v>68605</v>
      </c>
      <c r="I279" s="301">
        <f t="shared" si="95"/>
        <v>14077.317557142856</v>
      </c>
      <c r="J279" s="301">
        <f t="shared" si="95"/>
        <v>9193.1574000000001</v>
      </c>
      <c r="K279" s="301">
        <f t="shared" si="91"/>
        <v>384068.02344074124</v>
      </c>
      <c r="L279" s="301">
        <f>K279*0.15</f>
        <v>57610.203516111185</v>
      </c>
      <c r="M279" s="315">
        <f t="shared" si="92"/>
        <v>441678.22695685242</v>
      </c>
      <c r="N279" s="301"/>
      <c r="O279" s="301">
        <f>(O335+SUM(O$340:O$345))</f>
        <v>8205.9576923076929</v>
      </c>
    </row>
    <row r="280" spans="1:15" s="308" customFormat="1" ht="15" customHeight="1">
      <c r="A280" s="1036"/>
      <c r="B280" s="1035"/>
      <c r="C280" s="1036"/>
      <c r="D280" s="298">
        <v>2</v>
      </c>
      <c r="E280" s="301">
        <f t="shared" si="95"/>
        <v>314657.80775000004</v>
      </c>
      <c r="F280" s="301">
        <f t="shared" si="95"/>
        <v>0</v>
      </c>
      <c r="G280" s="301">
        <f t="shared" si="95"/>
        <v>2505.780598094017</v>
      </c>
      <c r="H280" s="301">
        <f t="shared" si="95"/>
        <v>68605</v>
      </c>
      <c r="I280" s="301">
        <f t="shared" si="95"/>
        <v>16146.11057857143</v>
      </c>
      <c r="J280" s="301">
        <f t="shared" si="95"/>
        <v>10334.205</v>
      </c>
      <c r="K280" s="301">
        <f t="shared" si="91"/>
        <v>412248.90392666549</v>
      </c>
      <c r="L280" s="301">
        <f>K280*0.15</f>
        <v>61837.33558899982</v>
      </c>
      <c r="M280" s="315">
        <f t="shared" si="92"/>
        <v>474086.23951566534</v>
      </c>
      <c r="N280" s="301"/>
      <c r="O280" s="301">
        <f>(O336+SUM(O$340:O$345))</f>
        <v>8908.5192307692305</v>
      </c>
    </row>
    <row r="281" spans="1:15" s="308" customFormat="1" ht="15" customHeight="1">
      <c r="A281" s="1036"/>
      <c r="B281" s="1035"/>
      <c r="C281" s="1036"/>
      <c r="D281" s="298">
        <v>3</v>
      </c>
      <c r="E281" s="301">
        <f t="shared" si="95"/>
        <v>344491.01115000003</v>
      </c>
      <c r="F281" s="301">
        <f t="shared" si="95"/>
        <v>0</v>
      </c>
      <c r="G281" s="301">
        <f t="shared" si="95"/>
        <v>2716.6551030000001</v>
      </c>
      <c r="H281" s="301">
        <f t="shared" si="95"/>
        <v>68605</v>
      </c>
      <c r="I281" s="301">
        <f t="shared" si="95"/>
        <v>18628.478764285715</v>
      </c>
      <c r="J281" s="301">
        <f t="shared" si="95"/>
        <v>11766.413400000001</v>
      </c>
      <c r="K281" s="301">
        <f t="shared" si="91"/>
        <v>446207.55841728579</v>
      </c>
      <c r="L281" s="301">
        <f>K281*0.15</f>
        <v>66931.133762592872</v>
      </c>
      <c r="M281" s="315">
        <f t="shared" si="92"/>
        <v>513138.69217987865</v>
      </c>
      <c r="N281" s="301"/>
      <c r="O281" s="301">
        <f>(O337+SUM(O$340:O$345))</f>
        <v>9753.1500000000015</v>
      </c>
    </row>
    <row r="282" spans="1:15" s="308" customFormat="1" ht="15" customHeight="1">
      <c r="A282" s="1036"/>
      <c r="B282" s="1035"/>
      <c r="C282" s="1036"/>
      <c r="D282" s="298">
        <v>4</v>
      </c>
      <c r="E282" s="301">
        <f t="shared" si="95"/>
        <v>308952.37945000001</v>
      </c>
      <c r="F282" s="301">
        <f t="shared" si="95"/>
        <v>0</v>
      </c>
      <c r="G282" s="301">
        <f t="shared" si="95"/>
        <v>2478.2752278888888</v>
      </c>
      <c r="H282" s="301">
        <f t="shared" si="95"/>
        <v>68605</v>
      </c>
      <c r="I282" s="301">
        <f t="shared" si="95"/>
        <v>15681.034971428571</v>
      </c>
      <c r="J282" s="301">
        <f t="shared" si="95"/>
        <v>10205.764800000001</v>
      </c>
      <c r="K282" s="301">
        <f t="shared" si="91"/>
        <v>405922.45444931748</v>
      </c>
      <c r="L282" s="301">
        <f>K282*0.15</f>
        <v>60888.368167397617</v>
      </c>
      <c r="M282" s="315">
        <f t="shared" si="92"/>
        <v>466810.8226167151</v>
      </c>
      <c r="N282" s="301"/>
      <c r="O282" s="301">
        <f>(O338+SUM(O$340:O$345))</f>
        <v>8746.9884615384617</v>
      </c>
    </row>
    <row r="283" spans="1:15" s="308" customFormat="1" ht="15" customHeight="1">
      <c r="A283" s="1036"/>
      <c r="B283" s="1035"/>
      <c r="C283" s="1036"/>
      <c r="D283" s="298">
        <v>5</v>
      </c>
      <c r="E283" s="301">
        <f t="shared" si="95"/>
        <v>344834.71165000007</v>
      </c>
      <c r="F283" s="301">
        <f t="shared" si="95"/>
        <v>0</v>
      </c>
      <c r="G283" s="301">
        <f t="shared" si="95"/>
        <v>2716.6551030000001</v>
      </c>
      <c r="H283" s="301">
        <f t="shared" si="95"/>
        <v>68605</v>
      </c>
      <c r="I283" s="301">
        <f t="shared" si="95"/>
        <v>18667.558442857146</v>
      </c>
      <c r="J283" s="301">
        <f t="shared" si="95"/>
        <v>11879.716799999998</v>
      </c>
      <c r="K283" s="301">
        <f t="shared" si="91"/>
        <v>446703.64199585718</v>
      </c>
      <c r="L283" s="301">
        <f>K283*0.15</f>
        <v>67005.546299378577</v>
      </c>
      <c r="M283" s="315">
        <f t="shared" si="92"/>
        <v>513709.18829523574</v>
      </c>
      <c r="N283" s="301"/>
      <c r="O283" s="301">
        <f>(O339+SUM(O$340:O$345))</f>
        <v>9762.880769230771</v>
      </c>
    </row>
    <row r="284" spans="1:15">
      <c r="A284" s="298"/>
      <c r="B284" s="314" t="s">
        <v>322</v>
      </c>
      <c r="C284" s="300"/>
      <c r="D284" s="300"/>
      <c r="E284" s="301"/>
      <c r="F284" s="301"/>
      <c r="G284" s="301"/>
      <c r="H284" s="301"/>
      <c r="I284" s="301"/>
      <c r="J284" s="301"/>
      <c r="K284" s="301"/>
      <c r="L284" s="301"/>
      <c r="M284" s="315"/>
      <c r="N284" s="301"/>
      <c r="O284" s="301"/>
    </row>
    <row r="285" spans="1:15">
      <c r="A285" s="298" t="s">
        <v>323</v>
      </c>
      <c r="B285" s="314" t="s">
        <v>324</v>
      </c>
      <c r="C285" s="300"/>
      <c r="D285" s="300"/>
      <c r="E285" s="301"/>
      <c r="F285" s="301"/>
      <c r="G285" s="301"/>
      <c r="H285" s="301"/>
      <c r="I285" s="301"/>
      <c r="J285" s="301"/>
      <c r="K285" s="301"/>
      <c r="L285" s="301"/>
      <c r="M285" s="315"/>
      <c r="N285" s="301"/>
      <c r="O285" s="301"/>
    </row>
    <row r="286" spans="1:15" s="308" customFormat="1" ht="13.5" customHeight="1">
      <c r="A286" s="1036"/>
      <c r="B286" s="1035" t="s">
        <v>190</v>
      </c>
      <c r="C286" s="1036" t="s">
        <v>21</v>
      </c>
      <c r="D286" s="298">
        <v>1</v>
      </c>
      <c r="E286" s="301">
        <f t="shared" ref="E286:F295" si="96">E274*0.1</f>
        <v>103088.39832500002</v>
      </c>
      <c r="F286" s="301">
        <f t="shared" si="96"/>
        <v>10975.41923076923</v>
      </c>
      <c r="G286" s="301">
        <f>G319*0.1/$M$273</f>
        <v>2.7931078792735038</v>
      </c>
      <c r="H286" s="301">
        <f t="shared" ref="H286:I290" si="97">H274*0.1</f>
        <v>1758.0565000000004</v>
      </c>
      <c r="I286" s="301">
        <f t="shared" si="97"/>
        <v>932.51257142857139</v>
      </c>
      <c r="J286" s="301">
        <f>J319*0.1/$M$273</f>
        <v>0</v>
      </c>
      <c r="K286" s="301">
        <f t="shared" ref="K286:K295" si="98">SUM(E286:J286)</f>
        <v>116757.17973507709</v>
      </c>
      <c r="L286" s="301">
        <f>K286*0.25</f>
        <v>29189.294933769273</v>
      </c>
      <c r="M286" s="315">
        <f t="shared" ref="M286:M295" si="99">K286+L286</f>
        <v>145946.47466884638</v>
      </c>
      <c r="N286" s="301">
        <f>M286+M291</f>
        <v>179302.8804821111</v>
      </c>
      <c r="O286" s="301">
        <f t="shared" ref="O286:O295" si="100">O274*0.1</f>
        <v>2910.9596153846155</v>
      </c>
    </row>
    <row r="287" spans="1:15" s="308" customFormat="1" ht="15" customHeight="1">
      <c r="A287" s="1036"/>
      <c r="B287" s="1035"/>
      <c r="C287" s="1036"/>
      <c r="D287" s="298">
        <v>2</v>
      </c>
      <c r="E287" s="301">
        <f t="shared" si="96"/>
        <v>120801.86284375003</v>
      </c>
      <c r="F287" s="301">
        <f t="shared" si="96"/>
        <v>12965.657692307694</v>
      </c>
      <c r="G287" s="301">
        <f>G320*0.1/$M$273</f>
        <v>3.391630996260683</v>
      </c>
      <c r="H287" s="301">
        <f t="shared" si="97"/>
        <v>1758.0565000000004</v>
      </c>
      <c r="I287" s="301">
        <f t="shared" si="97"/>
        <v>1097.4715714285715</v>
      </c>
      <c r="J287" s="301">
        <f>J320*0.1/$M$273</f>
        <v>0</v>
      </c>
      <c r="K287" s="301">
        <f t="shared" si="98"/>
        <v>136626.44023848255</v>
      </c>
      <c r="L287" s="301">
        <f>K287*0.25</f>
        <v>34156.610059620638</v>
      </c>
      <c r="M287" s="315">
        <f t="shared" si="99"/>
        <v>170783.05029810319</v>
      </c>
      <c r="N287" s="301">
        <f>M287+M292</f>
        <v>206993.38060619708</v>
      </c>
      <c r="O287" s="301">
        <f t="shared" si="100"/>
        <v>3412.4591346153848</v>
      </c>
    </row>
    <row r="288" spans="1:15" s="308" customFormat="1" ht="15" customHeight="1">
      <c r="A288" s="1036"/>
      <c r="B288" s="1035"/>
      <c r="C288" s="1036"/>
      <c r="D288" s="298">
        <v>3</v>
      </c>
      <c r="E288" s="301">
        <f t="shared" si="96"/>
        <v>143752.46373125003</v>
      </c>
      <c r="F288" s="301">
        <f t="shared" si="96"/>
        <v>16067.446153846155</v>
      </c>
      <c r="G288" s="301">
        <f>G321*0.1/$M$273</f>
        <v>3.9901541132478626</v>
      </c>
      <c r="H288" s="301">
        <f t="shared" si="97"/>
        <v>1758.0565000000004</v>
      </c>
      <c r="I288" s="301">
        <f t="shared" si="97"/>
        <v>1298.4625714285717</v>
      </c>
      <c r="J288" s="301">
        <f>J321*0.1/$M$273</f>
        <v>0</v>
      </c>
      <c r="K288" s="301">
        <f t="shared" si="98"/>
        <v>162880.419110638</v>
      </c>
      <c r="L288" s="301">
        <f>K288*0.25</f>
        <v>40720.104777659501</v>
      </c>
      <c r="M288" s="315">
        <f t="shared" si="99"/>
        <v>203600.5238882975</v>
      </c>
      <c r="N288" s="301">
        <f>M288+M293</f>
        <v>243241.91509307202</v>
      </c>
      <c r="O288" s="301">
        <f t="shared" si="100"/>
        <v>4062.2312499999994</v>
      </c>
    </row>
    <row r="289" spans="1:15" s="308" customFormat="1" ht="15" customHeight="1">
      <c r="A289" s="1036"/>
      <c r="B289" s="1035"/>
      <c r="C289" s="1036"/>
      <c r="D289" s="298">
        <v>4</v>
      </c>
      <c r="E289" s="301">
        <f t="shared" si="96"/>
        <v>186281.10435000004</v>
      </c>
      <c r="F289" s="301">
        <f t="shared" si="96"/>
        <v>22989.619230769233</v>
      </c>
      <c r="G289" s="301">
        <f>G322*0.1/$M$273</f>
        <v>5.1872003472222215</v>
      </c>
      <c r="H289" s="301">
        <f t="shared" si="97"/>
        <v>1758.0565000000004</v>
      </c>
      <c r="I289" s="301">
        <f t="shared" si="97"/>
        <v>1728.5945714285715</v>
      </c>
      <c r="J289" s="301">
        <f>J322*0.1/$M$273</f>
        <v>0</v>
      </c>
      <c r="K289" s="301">
        <f t="shared" si="98"/>
        <v>212762.56185254507</v>
      </c>
      <c r="L289" s="301">
        <f>K289*0.25</f>
        <v>53190.640463136267</v>
      </c>
      <c r="M289" s="315">
        <f t="shared" si="99"/>
        <v>265953.20231568132</v>
      </c>
      <c r="N289" s="301">
        <f>M289+M294</f>
        <v>301507.3767380995</v>
      </c>
      <c r="O289" s="301">
        <f t="shared" si="100"/>
        <v>5266.2923076923071</v>
      </c>
    </row>
    <row r="290" spans="1:15" s="308" customFormat="1" ht="15" customHeight="1">
      <c r="A290" s="1036"/>
      <c r="B290" s="1035"/>
      <c r="C290" s="1036"/>
      <c r="D290" s="298">
        <v>5</v>
      </c>
      <c r="E290" s="301">
        <f t="shared" si="96"/>
        <v>243477.16380625006</v>
      </c>
      <c r="F290" s="301">
        <f t="shared" si="96"/>
        <v>30957.850000000002</v>
      </c>
      <c r="G290" s="301">
        <f>G323*0.1/$M$273</f>
        <v>6.783261992521366</v>
      </c>
      <c r="H290" s="301">
        <f t="shared" si="97"/>
        <v>1758.0565000000004</v>
      </c>
      <c r="I290" s="301">
        <f t="shared" si="97"/>
        <v>2346.2055714285716</v>
      </c>
      <c r="J290" s="301">
        <f>J323*0.1/$M$273</f>
        <v>0</v>
      </c>
      <c r="K290" s="301">
        <f t="shared" si="98"/>
        <v>278546.05913967115</v>
      </c>
      <c r="L290" s="301">
        <f>K290*0.25</f>
        <v>69636.514784917788</v>
      </c>
      <c r="M290" s="315">
        <f t="shared" si="99"/>
        <v>348182.57392458897</v>
      </c>
      <c r="N290" s="301">
        <f>M290+M295</f>
        <v>387863.49068686354</v>
      </c>
      <c r="O290" s="301">
        <f t="shared" si="100"/>
        <v>6885.6139423076929</v>
      </c>
    </row>
    <row r="291" spans="1:15" s="308" customFormat="1" ht="13.5" customHeight="1">
      <c r="A291" s="1036"/>
      <c r="B291" s="1035" t="s">
        <v>192</v>
      </c>
      <c r="C291" s="1036" t="s">
        <v>21</v>
      </c>
      <c r="D291" s="298">
        <v>1</v>
      </c>
      <c r="E291" s="301">
        <f t="shared" si="96"/>
        <v>28984.263165000008</v>
      </c>
      <c r="F291" s="301">
        <f t="shared" si="96"/>
        <v>0</v>
      </c>
      <c r="G291" s="329">
        <f t="shared" ref="G291:H295" si="101">G335*0.1/$M$273</f>
        <v>0.55010740410256398</v>
      </c>
      <c r="H291" s="329">
        <f t="shared" si="101"/>
        <v>20.757000000000001</v>
      </c>
      <c r="I291" s="301"/>
      <c r="J291" s="301"/>
      <c r="K291" s="301">
        <f t="shared" si="98"/>
        <v>29005.570272404111</v>
      </c>
      <c r="L291" s="301">
        <f>K291*0.15</f>
        <v>4350.8355408606167</v>
      </c>
      <c r="M291" s="315">
        <f t="shared" si="99"/>
        <v>33356.405813264726</v>
      </c>
      <c r="N291" s="301"/>
      <c r="O291" s="301">
        <f t="shared" si="100"/>
        <v>820.59576923076929</v>
      </c>
    </row>
    <row r="292" spans="1:15" s="308" customFormat="1" ht="15" customHeight="1">
      <c r="A292" s="1036"/>
      <c r="B292" s="1035"/>
      <c r="C292" s="1036"/>
      <c r="D292" s="298">
        <v>2</v>
      </c>
      <c r="E292" s="301">
        <f t="shared" si="96"/>
        <v>31465.780775000007</v>
      </c>
      <c r="F292" s="301">
        <f t="shared" si="96"/>
        <v>0</v>
      </c>
      <c r="G292" s="329">
        <f t="shared" si="101"/>
        <v>0.70597116859829057</v>
      </c>
      <c r="H292" s="329">
        <f t="shared" si="101"/>
        <v>20.757000000000001</v>
      </c>
      <c r="I292" s="301"/>
      <c r="J292" s="301"/>
      <c r="K292" s="301">
        <f t="shared" si="98"/>
        <v>31487.243746168606</v>
      </c>
      <c r="L292" s="301">
        <f>K292*0.15</f>
        <v>4723.0865619252909</v>
      </c>
      <c r="M292" s="315">
        <f t="shared" si="99"/>
        <v>36210.330308093893</v>
      </c>
      <c r="N292" s="301"/>
      <c r="O292" s="301">
        <f t="shared" si="100"/>
        <v>890.85192307692307</v>
      </c>
    </row>
    <row r="293" spans="1:15" s="308" customFormat="1" ht="15" customHeight="1">
      <c r="A293" s="1036"/>
      <c r="B293" s="1035"/>
      <c r="C293" s="1036"/>
      <c r="D293" s="298">
        <v>3</v>
      </c>
      <c r="E293" s="301">
        <f t="shared" si="96"/>
        <v>34449.101115000005</v>
      </c>
      <c r="F293" s="301">
        <f t="shared" si="96"/>
        <v>0</v>
      </c>
      <c r="G293" s="329">
        <f t="shared" si="101"/>
        <v>0.9168456735042736</v>
      </c>
      <c r="H293" s="329">
        <f t="shared" si="101"/>
        <v>20.757000000000001</v>
      </c>
      <c r="I293" s="301"/>
      <c r="J293" s="301"/>
      <c r="K293" s="301">
        <f t="shared" si="98"/>
        <v>34470.774960673509</v>
      </c>
      <c r="L293" s="301">
        <f>K293*0.15</f>
        <v>5170.6162441010265</v>
      </c>
      <c r="M293" s="315">
        <f t="shared" si="99"/>
        <v>39641.391204774533</v>
      </c>
      <c r="N293" s="301"/>
      <c r="O293" s="301">
        <f t="shared" si="100"/>
        <v>975.31500000000017</v>
      </c>
    </row>
    <row r="294" spans="1:15" s="308" customFormat="1" ht="15" customHeight="1">
      <c r="A294" s="1036"/>
      <c r="B294" s="1035"/>
      <c r="C294" s="1036"/>
      <c r="D294" s="298">
        <v>4</v>
      </c>
      <c r="E294" s="301">
        <f t="shared" si="96"/>
        <v>30895.237945000001</v>
      </c>
      <c r="F294" s="301">
        <f t="shared" si="96"/>
        <v>0</v>
      </c>
      <c r="G294" s="329">
        <f t="shared" si="101"/>
        <v>0.67846579839316234</v>
      </c>
      <c r="H294" s="329">
        <f t="shared" si="101"/>
        <v>20.757000000000001</v>
      </c>
      <c r="I294" s="301"/>
      <c r="J294" s="301"/>
      <c r="K294" s="301">
        <f t="shared" si="98"/>
        <v>30916.673410798394</v>
      </c>
      <c r="L294" s="301">
        <f>K294*0.15</f>
        <v>4637.5010116197591</v>
      </c>
      <c r="M294" s="315">
        <f t="shared" si="99"/>
        <v>35554.174422418153</v>
      </c>
      <c r="N294" s="301"/>
      <c r="O294" s="301">
        <f t="shared" si="100"/>
        <v>874.69884615384626</v>
      </c>
    </row>
    <row r="295" spans="1:15" s="308" customFormat="1" ht="15" customHeight="1">
      <c r="A295" s="1036"/>
      <c r="B295" s="1035"/>
      <c r="C295" s="1036"/>
      <c r="D295" s="298">
        <v>5</v>
      </c>
      <c r="E295" s="301">
        <f t="shared" si="96"/>
        <v>34483.47116500001</v>
      </c>
      <c r="F295" s="301">
        <f t="shared" si="96"/>
        <v>0</v>
      </c>
      <c r="G295" s="329">
        <f t="shared" si="101"/>
        <v>0.9168456735042736</v>
      </c>
      <c r="H295" s="329">
        <f t="shared" si="101"/>
        <v>20.757000000000001</v>
      </c>
      <c r="I295" s="301"/>
      <c r="J295" s="301"/>
      <c r="K295" s="301">
        <f t="shared" si="98"/>
        <v>34505.145010673514</v>
      </c>
      <c r="L295" s="301">
        <f>K295*0.15</f>
        <v>5175.7717516010271</v>
      </c>
      <c r="M295" s="315">
        <f t="shared" si="99"/>
        <v>39680.916762274544</v>
      </c>
      <c r="N295" s="301"/>
      <c r="O295" s="301">
        <f t="shared" si="100"/>
        <v>976.28807692307714</v>
      </c>
    </row>
    <row r="296" spans="1:15">
      <c r="A296" s="298" t="s">
        <v>494</v>
      </c>
      <c r="B296" s="314" t="s">
        <v>326</v>
      </c>
      <c r="C296" s="300"/>
      <c r="D296" s="300"/>
      <c r="E296" s="301"/>
      <c r="F296" s="301"/>
      <c r="G296" s="301"/>
      <c r="H296" s="301"/>
      <c r="I296" s="301"/>
      <c r="J296" s="301"/>
      <c r="K296" s="301"/>
      <c r="L296" s="301"/>
      <c r="M296" s="315"/>
      <c r="N296" s="301"/>
      <c r="O296" s="301"/>
    </row>
    <row r="297" spans="1:15" s="308" customFormat="1" ht="13.5" customHeight="1">
      <c r="A297" s="1036"/>
      <c r="B297" s="1035" t="s">
        <v>190</v>
      </c>
      <c r="C297" s="1036" t="s">
        <v>21</v>
      </c>
      <c r="D297" s="298">
        <v>1</v>
      </c>
      <c r="E297" s="301">
        <f t="shared" ref="E297:F301" si="102">E274*1.15</f>
        <v>1185516.5807375</v>
      </c>
      <c r="F297" s="301">
        <f t="shared" si="102"/>
        <v>126217.32115384613</v>
      </c>
      <c r="G297" s="301">
        <f t="shared" ref="G297:J306" si="103">G274</f>
        <v>8279.0125747863221</v>
      </c>
      <c r="H297" s="301">
        <f t="shared" si="103"/>
        <v>17580.565000000002</v>
      </c>
      <c r="I297" s="301">
        <f t="shared" si="103"/>
        <v>9325.1257142857139</v>
      </c>
      <c r="J297" s="301">
        <f t="shared" si="103"/>
        <v>22.037399999999998</v>
      </c>
      <c r="K297" s="301">
        <f t="shared" ref="K297:K306" si="104">SUM(E297:J297)</f>
        <v>1346940.6425804181</v>
      </c>
      <c r="L297" s="301">
        <f>K297*0.25</f>
        <v>336735.16064510454</v>
      </c>
      <c r="M297" s="315">
        <f t="shared" ref="M297:M306" si="105">K297+L297</f>
        <v>1683675.8032255226</v>
      </c>
      <c r="N297" s="301">
        <f>M297+M302</f>
        <v>2158685.932822125</v>
      </c>
      <c r="O297" s="301">
        <f>O274*1.15</f>
        <v>33476.035576923074</v>
      </c>
    </row>
    <row r="298" spans="1:15" s="308" customFormat="1" ht="15" customHeight="1">
      <c r="A298" s="1036"/>
      <c r="B298" s="1035"/>
      <c r="C298" s="1036"/>
      <c r="D298" s="298">
        <v>2</v>
      </c>
      <c r="E298" s="301">
        <f t="shared" si="102"/>
        <v>1389221.422703125</v>
      </c>
      <c r="F298" s="301">
        <f t="shared" si="102"/>
        <v>149105.06346153846</v>
      </c>
      <c r="G298" s="301">
        <f t="shared" si="103"/>
        <v>9711.073488247861</v>
      </c>
      <c r="H298" s="301">
        <f t="shared" si="103"/>
        <v>17580.565000000002</v>
      </c>
      <c r="I298" s="301">
        <f t="shared" si="103"/>
        <v>10974.715714285714</v>
      </c>
      <c r="J298" s="301">
        <f t="shared" si="103"/>
        <v>22.037399999999998</v>
      </c>
      <c r="K298" s="301">
        <f t="shared" si="104"/>
        <v>1576614.8777671969</v>
      </c>
      <c r="L298" s="301">
        <f>K298*0.25</f>
        <v>394153.71944179921</v>
      </c>
      <c r="M298" s="315">
        <f t="shared" si="105"/>
        <v>1970768.5972089961</v>
      </c>
      <c r="N298" s="301">
        <f>M298+M303</f>
        <v>2481040.4846159113</v>
      </c>
      <c r="O298" s="301">
        <f>O275*1.15</f>
        <v>39243.280048076915</v>
      </c>
    </row>
    <row r="299" spans="1:15" s="308" customFormat="1" ht="15" customHeight="1">
      <c r="A299" s="1036"/>
      <c r="B299" s="1035"/>
      <c r="C299" s="1036"/>
      <c r="D299" s="298">
        <v>3</v>
      </c>
      <c r="E299" s="301">
        <f t="shared" si="102"/>
        <v>1653153.3329093752</v>
      </c>
      <c r="F299" s="301">
        <f t="shared" si="102"/>
        <v>184775.63076923075</v>
      </c>
      <c r="G299" s="301">
        <f t="shared" si="103"/>
        <v>11143.1344017094</v>
      </c>
      <c r="H299" s="301">
        <f t="shared" si="103"/>
        <v>17580.565000000002</v>
      </c>
      <c r="I299" s="301">
        <f t="shared" si="103"/>
        <v>12984.625714285716</v>
      </c>
      <c r="J299" s="301">
        <f t="shared" si="103"/>
        <v>22.037399999999998</v>
      </c>
      <c r="K299" s="301">
        <f t="shared" si="104"/>
        <v>1879659.3261946009</v>
      </c>
      <c r="L299" s="301">
        <f>K299*0.25</f>
        <v>469914.83154865023</v>
      </c>
      <c r="M299" s="315">
        <f t="shared" si="105"/>
        <v>2349574.157743251</v>
      </c>
      <c r="N299" s="301">
        <f>M299+M304</f>
        <v>2902329.3162053796</v>
      </c>
      <c r="O299" s="301">
        <f>O276*1.15</f>
        <v>46715.659374999988</v>
      </c>
    </row>
    <row r="300" spans="1:15" s="308" customFormat="1" ht="15" customHeight="1">
      <c r="A300" s="1036"/>
      <c r="B300" s="1035"/>
      <c r="C300" s="1036"/>
      <c r="D300" s="298">
        <v>4</v>
      </c>
      <c r="E300" s="301">
        <f t="shared" si="102"/>
        <v>2142232.7000250001</v>
      </c>
      <c r="F300" s="301">
        <f t="shared" si="102"/>
        <v>264380.62115384615</v>
      </c>
      <c r="G300" s="301">
        <f t="shared" si="103"/>
        <v>14007.256228632479</v>
      </c>
      <c r="H300" s="301">
        <f t="shared" si="103"/>
        <v>17580.565000000002</v>
      </c>
      <c r="I300" s="301">
        <f t="shared" si="103"/>
        <v>17285.945714285714</v>
      </c>
      <c r="J300" s="301">
        <f t="shared" si="103"/>
        <v>22.037399999999998</v>
      </c>
      <c r="K300" s="301">
        <f t="shared" si="104"/>
        <v>2455509.1255217637</v>
      </c>
      <c r="L300" s="301">
        <f>K300*0.25</f>
        <v>613877.28138044092</v>
      </c>
      <c r="M300" s="315">
        <f t="shared" si="105"/>
        <v>3069386.4069022047</v>
      </c>
      <c r="N300" s="301">
        <f>M300+M305</f>
        <v>3571726.7531556697</v>
      </c>
      <c r="O300" s="301">
        <f>O277*1.15</f>
        <v>60562.361538461526</v>
      </c>
    </row>
    <row r="301" spans="1:15" s="308" customFormat="1" ht="15" customHeight="1">
      <c r="A301" s="1036"/>
      <c r="B301" s="1035"/>
      <c r="C301" s="1036"/>
      <c r="D301" s="298">
        <v>5</v>
      </c>
      <c r="E301" s="301">
        <f t="shared" si="102"/>
        <v>2799987.3837718754</v>
      </c>
      <c r="F301" s="301">
        <f t="shared" si="102"/>
        <v>356015.27499999997</v>
      </c>
      <c r="G301" s="301">
        <f t="shared" si="103"/>
        <v>17826.085331196577</v>
      </c>
      <c r="H301" s="301">
        <f t="shared" si="103"/>
        <v>17580.565000000002</v>
      </c>
      <c r="I301" s="301">
        <f t="shared" si="103"/>
        <v>23462.055714285714</v>
      </c>
      <c r="J301" s="301">
        <f t="shared" si="103"/>
        <v>22.037399999999998</v>
      </c>
      <c r="K301" s="301">
        <f t="shared" si="104"/>
        <v>3214893.4022173574</v>
      </c>
      <c r="L301" s="301">
        <f>K301*0.25</f>
        <v>803723.35055433935</v>
      </c>
      <c r="M301" s="315">
        <f t="shared" si="105"/>
        <v>4018616.752771697</v>
      </c>
      <c r="N301" s="301">
        <f>M301+M306</f>
        <v>4571981.9329066826</v>
      </c>
      <c r="O301" s="301">
        <f>O278*1.15</f>
        <v>79184.56033653846</v>
      </c>
    </row>
    <row r="302" spans="1:15" s="308" customFormat="1" ht="13.5" customHeight="1">
      <c r="A302" s="1036"/>
      <c r="B302" s="1035" t="s">
        <v>192</v>
      </c>
      <c r="C302" s="1036" t="s">
        <v>21</v>
      </c>
      <c r="D302" s="298">
        <v>1</v>
      </c>
      <c r="E302" s="301">
        <f t="shared" ref="E302:F306" si="106">E279*1.1</f>
        <v>318826.89481500007</v>
      </c>
      <c r="F302" s="301">
        <f t="shared" si="106"/>
        <v>0</v>
      </c>
      <c r="G302" s="301">
        <f t="shared" si="103"/>
        <v>2349.9168335982904</v>
      </c>
      <c r="H302" s="301">
        <f t="shared" si="103"/>
        <v>68605</v>
      </c>
      <c r="I302" s="301">
        <f t="shared" si="103"/>
        <v>14077.317557142856</v>
      </c>
      <c r="J302" s="301">
        <f t="shared" si="103"/>
        <v>9193.1574000000001</v>
      </c>
      <c r="K302" s="301">
        <f t="shared" si="104"/>
        <v>413052.28660574125</v>
      </c>
      <c r="L302" s="301">
        <f>K302*0.15</f>
        <v>61957.842990861187</v>
      </c>
      <c r="M302" s="315">
        <f t="shared" si="105"/>
        <v>475010.1295966024</v>
      </c>
      <c r="N302" s="301"/>
      <c r="O302" s="301">
        <f>O279*1.1</f>
        <v>9026.5534615384622</v>
      </c>
    </row>
    <row r="303" spans="1:15" s="308" customFormat="1" ht="15" customHeight="1">
      <c r="A303" s="1036"/>
      <c r="B303" s="1035"/>
      <c r="C303" s="1036"/>
      <c r="D303" s="298">
        <v>2</v>
      </c>
      <c r="E303" s="301">
        <f t="shared" si="106"/>
        <v>346123.58852500009</v>
      </c>
      <c r="F303" s="301">
        <f t="shared" si="106"/>
        <v>0</v>
      </c>
      <c r="G303" s="301">
        <f t="shared" si="103"/>
        <v>2505.780598094017</v>
      </c>
      <c r="H303" s="301">
        <f t="shared" si="103"/>
        <v>68605</v>
      </c>
      <c r="I303" s="301">
        <f t="shared" si="103"/>
        <v>16146.11057857143</v>
      </c>
      <c r="J303" s="301">
        <f t="shared" si="103"/>
        <v>10334.205</v>
      </c>
      <c r="K303" s="301">
        <f t="shared" si="104"/>
        <v>443714.68470166554</v>
      </c>
      <c r="L303" s="301">
        <f>K303*0.15</f>
        <v>66557.202705249831</v>
      </c>
      <c r="M303" s="315">
        <f t="shared" si="105"/>
        <v>510271.88740691537</v>
      </c>
      <c r="N303" s="301"/>
      <c r="O303" s="301">
        <f>O280*1.1</f>
        <v>9799.3711538461539</v>
      </c>
    </row>
    <row r="304" spans="1:15" s="308" customFormat="1" ht="15" customHeight="1">
      <c r="A304" s="1036"/>
      <c r="B304" s="1035"/>
      <c r="C304" s="1036"/>
      <c r="D304" s="298">
        <v>3</v>
      </c>
      <c r="E304" s="301">
        <f t="shared" si="106"/>
        <v>378940.11226500006</v>
      </c>
      <c r="F304" s="301">
        <f t="shared" si="106"/>
        <v>0</v>
      </c>
      <c r="G304" s="301">
        <f t="shared" si="103"/>
        <v>2716.6551030000001</v>
      </c>
      <c r="H304" s="301">
        <f t="shared" si="103"/>
        <v>68605</v>
      </c>
      <c r="I304" s="301">
        <f t="shared" si="103"/>
        <v>18628.478764285715</v>
      </c>
      <c r="J304" s="301">
        <f t="shared" si="103"/>
        <v>11766.413400000001</v>
      </c>
      <c r="K304" s="301">
        <f t="shared" si="104"/>
        <v>480656.65953228582</v>
      </c>
      <c r="L304" s="301">
        <f>K304*0.15</f>
        <v>72098.49892984287</v>
      </c>
      <c r="M304" s="315">
        <f t="shared" si="105"/>
        <v>552755.15846212872</v>
      </c>
      <c r="N304" s="301"/>
      <c r="O304" s="301">
        <f>O281*1.1</f>
        <v>10728.465000000002</v>
      </c>
    </row>
    <row r="305" spans="1:15" s="308" customFormat="1" ht="15" customHeight="1">
      <c r="A305" s="1036"/>
      <c r="B305" s="1035"/>
      <c r="C305" s="1036"/>
      <c r="D305" s="298">
        <v>4</v>
      </c>
      <c r="E305" s="301">
        <f t="shared" si="106"/>
        <v>339847.61739500001</v>
      </c>
      <c r="F305" s="301">
        <f t="shared" si="106"/>
        <v>0</v>
      </c>
      <c r="G305" s="301">
        <f t="shared" si="103"/>
        <v>2478.2752278888888</v>
      </c>
      <c r="H305" s="301">
        <f t="shared" si="103"/>
        <v>68605</v>
      </c>
      <c r="I305" s="301">
        <f t="shared" si="103"/>
        <v>15681.034971428571</v>
      </c>
      <c r="J305" s="301">
        <f t="shared" si="103"/>
        <v>10205.764800000001</v>
      </c>
      <c r="K305" s="301">
        <f t="shared" si="104"/>
        <v>436817.69239431748</v>
      </c>
      <c r="L305" s="301">
        <f>K305*0.15</f>
        <v>65522.65385914762</v>
      </c>
      <c r="M305" s="315">
        <f t="shared" si="105"/>
        <v>502340.3462534651</v>
      </c>
      <c r="N305" s="301"/>
      <c r="O305" s="301">
        <f>O282*1.1</f>
        <v>9621.6873076923093</v>
      </c>
    </row>
    <row r="306" spans="1:15" s="308" customFormat="1" ht="15" customHeight="1">
      <c r="A306" s="1036"/>
      <c r="B306" s="1035"/>
      <c r="C306" s="1036"/>
      <c r="D306" s="298">
        <v>5</v>
      </c>
      <c r="E306" s="301">
        <f t="shared" si="106"/>
        <v>379318.18281500012</v>
      </c>
      <c r="F306" s="301">
        <f t="shared" si="106"/>
        <v>0</v>
      </c>
      <c r="G306" s="301">
        <f t="shared" si="103"/>
        <v>2716.6551030000001</v>
      </c>
      <c r="H306" s="301">
        <f t="shared" si="103"/>
        <v>68605</v>
      </c>
      <c r="I306" s="301">
        <f t="shared" si="103"/>
        <v>18667.558442857146</v>
      </c>
      <c r="J306" s="301">
        <f t="shared" si="103"/>
        <v>11879.716799999998</v>
      </c>
      <c r="K306" s="301">
        <f t="shared" si="104"/>
        <v>481187.11316085729</v>
      </c>
      <c r="L306" s="301">
        <f>K306*0.15</f>
        <v>72178.066974128596</v>
      </c>
      <c r="M306" s="315">
        <f t="shared" si="105"/>
        <v>553365.18013498583</v>
      </c>
      <c r="N306" s="301"/>
      <c r="O306" s="301">
        <f>O283*1.1</f>
        <v>10739.168846153849</v>
      </c>
    </row>
    <row r="307" spans="1:15">
      <c r="A307" s="298">
        <v>1</v>
      </c>
      <c r="B307" s="316" t="s">
        <v>57</v>
      </c>
      <c r="C307" s="300"/>
      <c r="D307" s="300"/>
      <c r="E307" s="301"/>
      <c r="F307" s="301"/>
      <c r="G307" s="301"/>
      <c r="H307" s="301"/>
      <c r="I307" s="301"/>
      <c r="J307" s="301"/>
      <c r="K307" s="301"/>
      <c r="L307" s="301"/>
      <c r="M307" s="315">
        <v>100</v>
      </c>
      <c r="N307" s="327" t="s">
        <v>21</v>
      </c>
      <c r="O307" s="301"/>
    </row>
    <row r="308" spans="1:15">
      <c r="A308" s="323" t="s">
        <v>359</v>
      </c>
      <c r="B308" s="324" t="str">
        <f>NhanCong!B$61</f>
        <v>Công tác chuẩn bị</v>
      </c>
      <c r="C308" s="319" t="s">
        <v>317</v>
      </c>
      <c r="D308" s="319" t="s">
        <v>622</v>
      </c>
      <c r="E308" s="301">
        <f>NhanCong!U$61</f>
        <v>80036.550000000017</v>
      </c>
      <c r="F308" s="301">
        <f>NhanCong!U$62</f>
        <v>5002.8846153846152</v>
      </c>
      <c r="G308" s="320">
        <f>Dcu!P$102*0.4</f>
        <v>1596.0616452991451</v>
      </c>
      <c r="H308" s="320">
        <f>VLieu!N$66</f>
        <v>2610.9749999999999</v>
      </c>
      <c r="I308" s="320"/>
      <c r="J308" s="320"/>
      <c r="K308" s="320">
        <f>SUM(E308:J308)</f>
        <v>89246.471260683771</v>
      </c>
      <c r="L308" s="320">
        <f>K308*0.25</f>
        <v>22311.617815170943</v>
      </c>
      <c r="M308" s="321">
        <f>K308+L308</f>
        <v>111558.08907585472</v>
      </c>
      <c r="N308" s="320"/>
      <c r="O308" s="320">
        <f>NhanCong!V$61</f>
        <v>2189.4230769230767</v>
      </c>
    </row>
    <row r="309" spans="1:15">
      <c r="A309" s="1041" t="s">
        <v>269</v>
      </c>
      <c r="B309" s="1038" t="str">
        <f>NhanCong!B$63</f>
        <v>Lập lưới khống chế đo vẽ</v>
      </c>
      <c r="C309" s="1039" t="s">
        <v>317</v>
      </c>
      <c r="D309" s="319">
        <v>1</v>
      </c>
      <c r="E309" s="301">
        <f>NhanCong!U$63</f>
        <v>80125.179062500029</v>
      </c>
      <c r="F309" s="301"/>
      <c r="G309" s="320">
        <f>Dcu!P$82</f>
        <v>538.11359508547014</v>
      </c>
      <c r="H309" s="320">
        <f>VLieu!N$67</f>
        <v>1740.65</v>
      </c>
      <c r="I309" s="320">
        <f>TBi!N$45</f>
        <v>1302.3757142857144</v>
      </c>
      <c r="J309" s="320">
        <f>TBi!N$49</f>
        <v>22.037399999999998</v>
      </c>
      <c r="K309" s="320">
        <f t="shared" ref="K309:K313" si="107">SUM(E309:J309)</f>
        <v>83728.355771871211</v>
      </c>
      <c r="L309" s="320">
        <f t="shared" ref="L309:L333" si="108">K309*0.25</f>
        <v>20932.088942967803</v>
      </c>
      <c r="M309" s="321">
        <f t="shared" ref="M309:M333" si="109">K309+L309</f>
        <v>104660.44471483902</v>
      </c>
      <c r="N309" s="320"/>
      <c r="O309" s="320">
        <f>NhanCong!V$63</f>
        <v>2268.4855769230767</v>
      </c>
    </row>
    <row r="310" spans="1:15">
      <c r="A310" s="1041"/>
      <c r="B310" s="1038"/>
      <c r="C310" s="1039"/>
      <c r="D310" s="319">
        <v>2</v>
      </c>
      <c r="E310" s="301">
        <f>NhanCong!U$64</f>
        <v>96236.140000000043</v>
      </c>
      <c r="F310" s="301"/>
      <c r="G310" s="320">
        <f>Dcu!P$83</f>
        <v>653.42365117521376</v>
      </c>
      <c r="H310" s="320">
        <f>VLieu!N$67</f>
        <v>1740.65</v>
      </c>
      <c r="I310" s="320">
        <f>TBi!O$45</f>
        <v>1521.9457142857145</v>
      </c>
      <c r="J310" s="320">
        <f>TBi!O$49</f>
        <v>22.037399999999998</v>
      </c>
      <c r="K310" s="320">
        <f t="shared" si="107"/>
        <v>100174.19676546096</v>
      </c>
      <c r="L310" s="320">
        <f t="shared" si="108"/>
        <v>25043.54919136524</v>
      </c>
      <c r="M310" s="321">
        <f t="shared" si="109"/>
        <v>125217.7459568262</v>
      </c>
      <c r="N310" s="320"/>
      <c r="O310" s="320">
        <f>NhanCong!V$64</f>
        <v>2724.6153846153848</v>
      </c>
    </row>
    <row r="311" spans="1:15">
      <c r="A311" s="1041"/>
      <c r="B311" s="1038"/>
      <c r="C311" s="1039"/>
      <c r="D311" s="319">
        <v>3</v>
      </c>
      <c r="E311" s="301">
        <f>NhanCong!U$65</f>
        <v>115569.29312500004</v>
      </c>
      <c r="F311" s="301"/>
      <c r="G311" s="320">
        <f>Dcu!P$84</f>
        <v>768.73370726495739</v>
      </c>
      <c r="H311" s="320">
        <f>VLieu!N$67</f>
        <v>1740.65</v>
      </c>
      <c r="I311" s="320">
        <f>TBi!P$45</f>
        <v>1809.0757142857142</v>
      </c>
      <c r="J311" s="320">
        <f>TBi!P$49</f>
        <v>22.037399999999998</v>
      </c>
      <c r="K311" s="320">
        <f t="shared" si="107"/>
        <v>119909.78994655071</v>
      </c>
      <c r="L311" s="320">
        <f t="shared" si="108"/>
        <v>29977.447486637677</v>
      </c>
      <c r="M311" s="321">
        <f t="shared" si="109"/>
        <v>149887.23743318839</v>
      </c>
      <c r="N311" s="320"/>
      <c r="O311" s="320">
        <f>NhanCong!V$65</f>
        <v>3271.9711538461538</v>
      </c>
    </row>
    <row r="312" spans="1:15">
      <c r="A312" s="1041"/>
      <c r="B312" s="1038"/>
      <c r="C312" s="1039"/>
      <c r="D312" s="319">
        <v>4</v>
      </c>
      <c r="E312" s="301">
        <f>NhanCong!U$66</f>
        <v>138554.26406250003</v>
      </c>
      <c r="F312" s="301"/>
      <c r="G312" s="320">
        <f>Dcu!P$85</f>
        <v>999.35381944444464</v>
      </c>
      <c r="H312" s="320">
        <f>VLieu!N$67</f>
        <v>1740.65</v>
      </c>
      <c r="I312" s="320">
        <f>TBi!Q$45</f>
        <v>2760.545714285714</v>
      </c>
      <c r="J312" s="320">
        <f>TBi!Q$49</f>
        <v>22.037399999999998</v>
      </c>
      <c r="K312" s="320">
        <f t="shared" si="107"/>
        <v>144076.85099623021</v>
      </c>
      <c r="L312" s="320">
        <f t="shared" si="108"/>
        <v>36019.212749057551</v>
      </c>
      <c r="M312" s="321">
        <f t="shared" si="109"/>
        <v>180096.06374528777</v>
      </c>
      <c r="N312" s="320"/>
      <c r="O312" s="320">
        <f>NhanCong!V$66</f>
        <v>3922.7163461538462</v>
      </c>
    </row>
    <row r="313" spans="1:15">
      <c r="A313" s="1041"/>
      <c r="B313" s="1038"/>
      <c r="C313" s="1039"/>
      <c r="D313" s="319">
        <v>5</v>
      </c>
      <c r="E313" s="301">
        <f>NhanCong!U$67</f>
        <v>166479.92968750003</v>
      </c>
      <c r="F313" s="301"/>
      <c r="G313" s="320">
        <f>Dcu!P$86</f>
        <v>1306.8473023504275</v>
      </c>
      <c r="H313" s="320">
        <f>VLieu!N$67</f>
        <v>1740.65</v>
      </c>
      <c r="I313" s="320">
        <f>TBi!R$45</f>
        <v>4410.1357142857141</v>
      </c>
      <c r="J313" s="320">
        <f>TBi!R$49</f>
        <v>22.037399999999998</v>
      </c>
      <c r="K313" s="320">
        <f t="shared" si="107"/>
        <v>173959.60010413616</v>
      </c>
      <c r="L313" s="320">
        <f t="shared" si="108"/>
        <v>43489.90002603404</v>
      </c>
      <c r="M313" s="321">
        <f t="shared" si="109"/>
        <v>217449.5001301702</v>
      </c>
      <c r="N313" s="320"/>
      <c r="O313" s="320">
        <f>NhanCong!V$67</f>
        <v>4713.3413461538466</v>
      </c>
    </row>
    <row r="314" spans="1:15">
      <c r="A314" s="1041" t="s">
        <v>36</v>
      </c>
      <c r="B314" s="1038" t="str">
        <f>NhanCong!B$68</f>
        <v>Xác định ranh giới thửa đất trên thực địa</v>
      </c>
      <c r="C314" s="1039" t="s">
        <v>317</v>
      </c>
      <c r="D314" s="319">
        <v>1</v>
      </c>
      <c r="E314" s="301">
        <f>NhanCong!U$68</f>
        <v>257775.37500000003</v>
      </c>
      <c r="F314" s="301">
        <f>NhanCong!U$69</f>
        <v>54576.923076923078</v>
      </c>
      <c r="G314" s="320">
        <f>Dcu!P$103*0.4</f>
        <v>1117.2431517094014</v>
      </c>
      <c r="H314" s="320">
        <f>VLieu!N$68</f>
        <v>4351.625</v>
      </c>
      <c r="I314" s="320"/>
      <c r="J314" s="320"/>
      <c r="K314" s="320">
        <f>SUM(E314:J314)</f>
        <v>317821.1662286325</v>
      </c>
      <c r="L314" s="320">
        <f t="shared" si="108"/>
        <v>79455.291557158125</v>
      </c>
      <c r="M314" s="321">
        <f t="shared" si="109"/>
        <v>397276.45778579061</v>
      </c>
      <c r="N314" s="320"/>
      <c r="O314" s="320">
        <f>NhanCong!V$68</f>
        <v>7298.0769230769238</v>
      </c>
    </row>
    <row r="315" spans="1:15">
      <c r="A315" s="1041"/>
      <c r="B315" s="1038"/>
      <c r="C315" s="1039"/>
      <c r="D315" s="319">
        <v>2</v>
      </c>
      <c r="E315" s="301">
        <f>NhanCong!U$70</f>
        <v>309330.45</v>
      </c>
      <c r="F315" s="301">
        <f>NhanCong!U$71</f>
        <v>65492.307692307702</v>
      </c>
      <c r="G315" s="320">
        <f>Dcu!P$104*0.4</f>
        <v>1356.6523985042732</v>
      </c>
      <c r="H315" s="320">
        <f>VLieu!N$68</f>
        <v>4351.625</v>
      </c>
      <c r="I315" s="320"/>
      <c r="J315" s="320"/>
      <c r="K315" s="320">
        <f t="shared" ref="K315:K333" si="110">SUM(E315:J315)</f>
        <v>380531.03509081196</v>
      </c>
      <c r="L315" s="320">
        <f t="shared" si="108"/>
        <v>95132.75877270299</v>
      </c>
      <c r="M315" s="321">
        <f t="shared" si="109"/>
        <v>475663.79386351496</v>
      </c>
      <c r="N315" s="320"/>
      <c r="O315" s="320">
        <f>NhanCong!V$70</f>
        <v>8757.6923076923067</v>
      </c>
    </row>
    <row r="316" spans="1:15">
      <c r="A316" s="1041"/>
      <c r="B316" s="1038"/>
      <c r="C316" s="1039"/>
      <c r="D316" s="319">
        <v>3</v>
      </c>
      <c r="E316" s="301">
        <f>NhanCong!U$72</f>
        <v>371196.5400000001</v>
      </c>
      <c r="F316" s="301">
        <f>NhanCong!U$73</f>
        <v>78590.769230769234</v>
      </c>
      <c r="G316" s="320">
        <f>Dcu!P$105*0.4</f>
        <v>1596.0616452991451</v>
      </c>
      <c r="H316" s="320">
        <f>VLieu!N$68</f>
        <v>4351.625</v>
      </c>
      <c r="I316" s="320"/>
      <c r="J316" s="320"/>
      <c r="K316" s="320">
        <f t="shared" si="110"/>
        <v>455734.99587606848</v>
      </c>
      <c r="L316" s="320">
        <f t="shared" si="108"/>
        <v>113933.74896901712</v>
      </c>
      <c r="M316" s="321">
        <f t="shared" si="109"/>
        <v>569668.74484508554</v>
      </c>
      <c r="N316" s="320"/>
      <c r="O316" s="320">
        <f>NhanCong!V$72</f>
        <v>10509.23076923077</v>
      </c>
    </row>
    <row r="317" spans="1:15">
      <c r="A317" s="1041"/>
      <c r="B317" s="1038"/>
      <c r="C317" s="1039"/>
      <c r="D317" s="319">
        <v>4</v>
      </c>
      <c r="E317" s="301">
        <f>NhanCong!U$74</f>
        <v>501115.32900000009</v>
      </c>
      <c r="F317" s="301">
        <f>NhanCong!U$75</f>
        <v>106097.53846153848</v>
      </c>
      <c r="G317" s="320">
        <f>Dcu!P$106*0.4</f>
        <v>2074.8801388888887</v>
      </c>
      <c r="H317" s="320">
        <f>VLieu!N$68</f>
        <v>4351.625</v>
      </c>
      <c r="I317" s="320"/>
      <c r="J317" s="320"/>
      <c r="K317" s="320">
        <f t="shared" si="110"/>
        <v>613639.37260042736</v>
      </c>
      <c r="L317" s="320">
        <f t="shared" si="108"/>
        <v>153409.84315010684</v>
      </c>
      <c r="M317" s="321">
        <f t="shared" si="109"/>
        <v>767049.2157505342</v>
      </c>
      <c r="N317" s="320"/>
      <c r="O317" s="320">
        <f>NhanCong!V$74</f>
        <v>14187.461538461537</v>
      </c>
    </row>
    <row r="318" spans="1:15">
      <c r="A318" s="1041"/>
      <c r="B318" s="1038"/>
      <c r="C318" s="1039"/>
      <c r="D318" s="319">
        <v>5</v>
      </c>
      <c r="E318" s="301">
        <f>NhanCong!U$76</f>
        <v>676488.5091250001</v>
      </c>
      <c r="F318" s="301">
        <f>NhanCong!U$77</f>
        <v>143228.03846153847</v>
      </c>
      <c r="G318" s="320">
        <f>Dcu!P$107*0.4</f>
        <v>2713.3047970085463</v>
      </c>
      <c r="H318" s="320">
        <f>VLieu!N$68</f>
        <v>4351.625</v>
      </c>
      <c r="I318" s="320"/>
      <c r="J318" s="320"/>
      <c r="K318" s="320">
        <f t="shared" si="110"/>
        <v>826781.47738354711</v>
      </c>
      <c r="L318" s="320">
        <f t="shared" si="108"/>
        <v>206695.36934588678</v>
      </c>
      <c r="M318" s="321">
        <f t="shared" si="109"/>
        <v>1033476.8467294339</v>
      </c>
      <c r="N318" s="320"/>
      <c r="O318" s="320">
        <f>NhanCong!V$76</f>
        <v>19152.586538461539</v>
      </c>
    </row>
    <row r="319" spans="1:15">
      <c r="A319" s="1041" t="s">
        <v>270</v>
      </c>
      <c r="B319" s="1038" t="str">
        <f>NhanCong!B$78</f>
        <v>Đo đạc ranh giới thửa đất và các đối tượng địa lý có liên quan</v>
      </c>
      <c r="C319" s="1039" t="s">
        <v>317</v>
      </c>
      <c r="D319" s="319" t="s">
        <v>18</v>
      </c>
      <c r="E319" s="301">
        <f>NhanCong!U$78</f>
        <v>510180.42968750006</v>
      </c>
      <c r="F319" s="301">
        <f>NhanCong!U$79</f>
        <v>17282.692307692309</v>
      </c>
      <c r="G319" s="320">
        <f>Dcu!P$103</f>
        <v>2793.1078792735034</v>
      </c>
      <c r="H319" s="320">
        <f>VLieu!N$69</f>
        <v>4351.625</v>
      </c>
      <c r="I319" s="320">
        <f>TBi!N$71</f>
        <v>8022.75</v>
      </c>
      <c r="J319" s="320"/>
      <c r="K319" s="320">
        <f t="shared" si="110"/>
        <v>542630.60487446585</v>
      </c>
      <c r="L319" s="320">
        <f t="shared" si="108"/>
        <v>135657.65121861646</v>
      </c>
      <c r="M319" s="321">
        <f t="shared" si="109"/>
        <v>678288.25609308225</v>
      </c>
      <c r="N319" s="320"/>
      <c r="O319" s="320">
        <f>NhanCong!V$78</f>
        <v>14444.110576923074</v>
      </c>
    </row>
    <row r="320" spans="1:15">
      <c r="A320" s="1041"/>
      <c r="B320" s="1038"/>
      <c r="C320" s="1039"/>
      <c r="D320" s="319" t="s">
        <v>20</v>
      </c>
      <c r="E320" s="301">
        <f>NhanCong!U$80</f>
        <v>601261.06218750018</v>
      </c>
      <c r="F320" s="301">
        <f>NhanCong!U$81</f>
        <v>20375.384615384613</v>
      </c>
      <c r="G320" s="320">
        <f>Dcu!P$104</f>
        <v>3391.6309962606829</v>
      </c>
      <c r="H320" s="320">
        <f>VLieu!N$69</f>
        <v>4351.625</v>
      </c>
      <c r="I320" s="320">
        <f>TBi!O$71</f>
        <v>9452.77</v>
      </c>
      <c r="J320" s="320"/>
      <c r="K320" s="320">
        <f t="shared" si="110"/>
        <v>638832.4727991455</v>
      </c>
      <c r="L320" s="320">
        <f t="shared" si="108"/>
        <v>159708.11819978638</v>
      </c>
      <c r="M320" s="321">
        <f t="shared" si="109"/>
        <v>798540.5909989319</v>
      </c>
      <c r="N320" s="320"/>
      <c r="O320" s="320">
        <f>NhanCong!V$80</f>
        <v>17022.764423076922</v>
      </c>
    </row>
    <row r="321" spans="1:15">
      <c r="A321" s="1041"/>
      <c r="B321" s="1038"/>
      <c r="C321" s="1039"/>
      <c r="D321" s="319" t="s">
        <v>35</v>
      </c>
      <c r="E321" s="301">
        <f>NhanCong!U$82</f>
        <v>710600.78375000018</v>
      </c>
      <c r="F321" s="301">
        <f>NhanCong!U$83</f>
        <v>24068.423076923078</v>
      </c>
      <c r="G321" s="320">
        <f>Dcu!P$105</f>
        <v>3990.1541132478624</v>
      </c>
      <c r="H321" s="320">
        <f>VLieu!N$69</f>
        <v>4351.625</v>
      </c>
      <c r="I321" s="320">
        <f>TBi!P$71</f>
        <v>11175.550000000001</v>
      </c>
      <c r="J321" s="320"/>
      <c r="K321" s="320">
        <f t="shared" si="110"/>
        <v>754186.53594017122</v>
      </c>
      <c r="L321" s="320">
        <f t="shared" si="108"/>
        <v>188546.6339850428</v>
      </c>
      <c r="M321" s="321">
        <f t="shared" si="109"/>
        <v>942733.16992521402</v>
      </c>
      <c r="N321" s="320"/>
      <c r="O321" s="320">
        <f>NhanCong!V$82</f>
        <v>20118.365384615379</v>
      </c>
    </row>
    <row r="322" spans="1:15">
      <c r="A322" s="1041"/>
      <c r="B322" s="1038"/>
      <c r="C322" s="1039"/>
      <c r="D322" s="319" t="s">
        <v>33</v>
      </c>
      <c r="E322" s="301">
        <f>NhanCong!U$84</f>
        <v>923695.09375000012</v>
      </c>
      <c r="F322" s="301">
        <f>NhanCong!U$85</f>
        <v>39113.461538461539</v>
      </c>
      <c r="G322" s="320">
        <f>Dcu!P$106</f>
        <v>5187.2003472222214</v>
      </c>
      <c r="H322" s="320">
        <f>VLieu!N$69</f>
        <v>4351.625</v>
      </c>
      <c r="I322" s="320">
        <f>TBi!Q$71</f>
        <v>14525.400000000001</v>
      </c>
      <c r="J322" s="320"/>
      <c r="K322" s="320">
        <f t="shared" si="110"/>
        <v>986872.78063568391</v>
      </c>
      <c r="L322" s="320">
        <f t="shared" si="108"/>
        <v>246718.19515892098</v>
      </c>
      <c r="M322" s="321">
        <f t="shared" si="109"/>
        <v>1233590.975794605</v>
      </c>
      <c r="N322" s="320"/>
      <c r="O322" s="320">
        <f>NhanCong!V$84</f>
        <v>26151.442307692305</v>
      </c>
    </row>
    <row r="323" spans="1:15">
      <c r="A323" s="1041"/>
      <c r="B323" s="1038"/>
      <c r="C323" s="1039"/>
      <c r="D323" s="319" t="s">
        <v>13</v>
      </c>
      <c r="E323" s="301">
        <f>NhanCong!U$86</f>
        <v>1200803.6218750002</v>
      </c>
      <c r="F323" s="301">
        <f>NhanCong!U$87</f>
        <v>50847.5</v>
      </c>
      <c r="G323" s="320">
        <f>Dcu!P$107</f>
        <v>6783.2619925213658</v>
      </c>
      <c r="H323" s="320">
        <f>VLieu!N$69</f>
        <v>4351.625</v>
      </c>
      <c r="I323" s="320">
        <f>TBi!R$71</f>
        <v>19051.920000000002</v>
      </c>
      <c r="J323" s="320"/>
      <c r="K323" s="320">
        <f t="shared" si="110"/>
        <v>1281837.9288675215</v>
      </c>
      <c r="L323" s="320">
        <f t="shared" si="108"/>
        <v>320459.48221688037</v>
      </c>
      <c r="M323" s="321">
        <f t="shared" si="109"/>
        <v>1602297.4110844019</v>
      </c>
      <c r="N323" s="320"/>
      <c r="O323" s="320">
        <f>NhanCong!V$86</f>
        <v>33996.875</v>
      </c>
    </row>
    <row r="324" spans="1:15">
      <c r="A324" s="1041" t="s">
        <v>363</v>
      </c>
      <c r="B324" s="1038" t="str">
        <f>NhanCong!B$88</f>
        <v>Đối soát, kiểm tra</v>
      </c>
      <c r="C324" s="1039" t="s">
        <v>317</v>
      </c>
      <c r="D324" s="319" t="s">
        <v>18</v>
      </c>
      <c r="E324" s="301">
        <f>NhanCong!U$88</f>
        <v>41802.573312500004</v>
      </c>
      <c r="F324" s="301">
        <f>NhanCong!U$89</f>
        <v>7076.8076923076924</v>
      </c>
      <c r="G324" s="320">
        <f>Dcu!P$103*0.4</f>
        <v>1117.2431517094014</v>
      </c>
      <c r="H324" s="320">
        <f>VLieu!N$70</f>
        <v>2262.8450000000003</v>
      </c>
      <c r="I324" s="320"/>
      <c r="J324" s="320"/>
      <c r="K324" s="320">
        <f t="shared" si="110"/>
        <v>52259.469156517102</v>
      </c>
      <c r="L324" s="320">
        <f t="shared" si="108"/>
        <v>13064.867289129275</v>
      </c>
      <c r="M324" s="321">
        <f t="shared" si="109"/>
        <v>65324.336445646375</v>
      </c>
      <c r="N324" s="320"/>
      <c r="O324" s="320">
        <f>NhanCong!V$88</f>
        <v>1183.5048076923076</v>
      </c>
    </row>
    <row r="325" spans="1:15">
      <c r="A325" s="1041"/>
      <c r="B325" s="1038"/>
      <c r="C325" s="1039"/>
      <c r="D325" s="319" t="s">
        <v>20</v>
      </c>
      <c r="E325" s="301">
        <f>NhanCong!U$90</f>
        <v>49278.05918750001</v>
      </c>
      <c r="F325" s="301">
        <f>NhanCong!U$91</f>
        <v>8350.2692307692305</v>
      </c>
      <c r="G325" s="320">
        <f>Dcu!P$104*0.4</f>
        <v>1356.6523985042732</v>
      </c>
      <c r="H325" s="320">
        <f>VLieu!N$70</f>
        <v>2262.8450000000003</v>
      </c>
      <c r="I325" s="320"/>
      <c r="J325" s="320"/>
      <c r="K325" s="320">
        <f t="shared" si="110"/>
        <v>61247.825816773518</v>
      </c>
      <c r="L325" s="320">
        <f t="shared" si="108"/>
        <v>15311.95645419338</v>
      </c>
      <c r="M325" s="321">
        <f t="shared" si="109"/>
        <v>76559.782270966898</v>
      </c>
      <c r="N325" s="320"/>
      <c r="O325" s="320">
        <f>NhanCong!V$90</f>
        <v>1395.1490384615383</v>
      </c>
    </row>
    <row r="326" spans="1:15">
      <c r="A326" s="1041"/>
      <c r="B326" s="1038"/>
      <c r="C326" s="1039"/>
      <c r="D326" s="319" t="s">
        <v>35</v>
      </c>
      <c r="E326" s="301">
        <f>NhanCong!U$92</f>
        <v>58214.272187500021</v>
      </c>
      <c r="F326" s="301">
        <f>NhanCong!U$93</f>
        <v>9860.2307692307695</v>
      </c>
      <c r="G326" s="320">
        <f>Dcu!P$105*0.4</f>
        <v>1596.0616452991451</v>
      </c>
      <c r="H326" s="320">
        <f>VLieu!N$70</f>
        <v>2262.8450000000003</v>
      </c>
      <c r="I326" s="320"/>
      <c r="J326" s="320"/>
      <c r="K326" s="320">
        <f t="shared" si="110"/>
        <v>71933.409602029933</v>
      </c>
      <c r="L326" s="320">
        <f t="shared" si="108"/>
        <v>17983.352400507483</v>
      </c>
      <c r="M326" s="321">
        <f t="shared" si="109"/>
        <v>89916.76200253742</v>
      </c>
      <c r="N326" s="320"/>
      <c r="O326" s="320">
        <f>NhanCong!V$92</f>
        <v>1648.1490384615388</v>
      </c>
    </row>
    <row r="327" spans="1:15">
      <c r="A327" s="1041"/>
      <c r="B327" s="1038"/>
      <c r="C327" s="1039"/>
      <c r="D327" s="319" t="s">
        <v>33</v>
      </c>
      <c r="E327" s="301">
        <f>NhanCong!U$94</f>
        <v>89233.242312500006</v>
      </c>
      <c r="F327" s="301">
        <f>NhanCong!U$95</f>
        <v>24559.615384615387</v>
      </c>
      <c r="G327" s="320">
        <f>Dcu!P$106*0.4</f>
        <v>2074.8801388888887</v>
      </c>
      <c r="H327" s="320">
        <f>VLieu!N$70</f>
        <v>2262.8450000000003</v>
      </c>
      <c r="I327" s="320"/>
      <c r="J327" s="320"/>
      <c r="K327" s="320">
        <f t="shared" si="110"/>
        <v>118130.58283600428</v>
      </c>
      <c r="L327" s="320">
        <f t="shared" si="108"/>
        <v>29532.64570900107</v>
      </c>
      <c r="M327" s="321">
        <f t="shared" si="109"/>
        <v>147663.22854500535</v>
      </c>
      <c r="N327" s="320"/>
      <c r="O327" s="320">
        <f>NhanCong!V$94</f>
        <v>2526.3509615384614</v>
      </c>
    </row>
    <row r="328" spans="1:15">
      <c r="A328" s="1041"/>
      <c r="B328" s="1038"/>
      <c r="C328" s="1039"/>
      <c r="D328" s="319" t="s">
        <v>13</v>
      </c>
      <c r="E328" s="301">
        <f>NhanCong!U$96</f>
        <v>142807.55775000004</v>
      </c>
      <c r="F328" s="301">
        <f>NhanCong!U$97</f>
        <v>39295.384615384617</v>
      </c>
      <c r="G328" s="320">
        <f>Dcu!P$107*0.4</f>
        <v>2713.3047970085463</v>
      </c>
      <c r="H328" s="320">
        <f>VLieu!N$70</f>
        <v>2262.8450000000003</v>
      </c>
      <c r="I328" s="320"/>
      <c r="J328" s="320"/>
      <c r="K328" s="320">
        <f t="shared" si="110"/>
        <v>187079.09216239321</v>
      </c>
      <c r="L328" s="320">
        <f t="shared" si="108"/>
        <v>46769.773040598302</v>
      </c>
      <c r="M328" s="321">
        <f t="shared" si="109"/>
        <v>233848.86520299152</v>
      </c>
      <c r="N328" s="320"/>
      <c r="O328" s="320">
        <f>NhanCong!V$96</f>
        <v>4043.1346153846157</v>
      </c>
    </row>
    <row r="329" spans="1:15" ht="12.75" customHeight="1">
      <c r="A329" s="1041" t="s">
        <v>364</v>
      </c>
      <c r="B329" s="1038" t="str">
        <f>NhanCong!B$98</f>
        <v>Giao nhận Phiếu kết quả đo đạc hiện trạng thửa đất</v>
      </c>
      <c r="C329" s="1039" t="s">
        <v>317</v>
      </c>
      <c r="D329" s="319" t="s">
        <v>18</v>
      </c>
      <c r="E329" s="301">
        <f>NhanCong!U$98</f>
        <v>60963.876187500005</v>
      </c>
      <c r="F329" s="301">
        <f>NhanCong!U$99</f>
        <v>25814.884615384613</v>
      </c>
      <c r="G329" s="320">
        <f>Dcu!P$103*0.4</f>
        <v>1117.2431517094014</v>
      </c>
      <c r="H329" s="320">
        <f>VLieu!N$71</f>
        <v>2262.8450000000003</v>
      </c>
      <c r="I329" s="320"/>
      <c r="J329" s="320"/>
      <c r="K329" s="320">
        <f t="shared" si="110"/>
        <v>90158.848954594025</v>
      </c>
      <c r="L329" s="320">
        <f t="shared" si="108"/>
        <v>22539.712238648506</v>
      </c>
      <c r="M329" s="321">
        <f t="shared" si="109"/>
        <v>112698.56119324252</v>
      </c>
      <c r="N329" s="320"/>
      <c r="O329" s="320">
        <f>NhanCong!V$98</f>
        <v>1725.9951923076922</v>
      </c>
    </row>
    <row r="330" spans="1:15">
      <c r="A330" s="1041"/>
      <c r="B330" s="1038"/>
      <c r="C330" s="1039"/>
      <c r="D330" s="319" t="s">
        <v>20</v>
      </c>
      <c r="E330" s="301">
        <f>NhanCong!U$100</f>
        <v>71876.367062500023</v>
      </c>
      <c r="F330" s="301">
        <f>NhanCong!U$101</f>
        <v>30435.73076923077</v>
      </c>
      <c r="G330" s="320">
        <f>Dcu!P$104*0.4</f>
        <v>1356.6523985042732</v>
      </c>
      <c r="H330" s="320">
        <f>VLieu!N$71</f>
        <v>2262.8450000000003</v>
      </c>
      <c r="I330" s="320"/>
      <c r="J330" s="320"/>
      <c r="K330" s="320">
        <f t="shared" si="110"/>
        <v>105931.59523023506</v>
      </c>
      <c r="L330" s="320">
        <f t="shared" si="108"/>
        <v>26482.898807558766</v>
      </c>
      <c r="M330" s="321">
        <f t="shared" si="109"/>
        <v>132414.49403779383</v>
      </c>
      <c r="N330" s="320"/>
      <c r="O330" s="320">
        <f>NhanCong!V$100</f>
        <v>2034.9471153846152</v>
      </c>
    </row>
    <row r="331" spans="1:15">
      <c r="A331" s="1041"/>
      <c r="B331" s="1038"/>
      <c r="C331" s="1039"/>
      <c r="D331" s="319" t="s">
        <v>35</v>
      </c>
      <c r="E331" s="301">
        <f>NhanCong!U$102</f>
        <v>101907.19825000002</v>
      </c>
      <c r="F331" s="301">
        <f>NhanCong!U$103</f>
        <v>43152.153846153851</v>
      </c>
      <c r="G331" s="320">
        <f>Dcu!P$105*0.4</f>
        <v>1596.0616452991451</v>
      </c>
      <c r="H331" s="320">
        <f>VLieu!N$71</f>
        <v>2262.8450000000003</v>
      </c>
      <c r="I331" s="320"/>
      <c r="J331" s="320"/>
      <c r="K331" s="320">
        <f t="shared" si="110"/>
        <v>148918.258741453</v>
      </c>
      <c r="L331" s="320">
        <f t="shared" si="108"/>
        <v>37229.56468536325</v>
      </c>
      <c r="M331" s="321">
        <f t="shared" si="109"/>
        <v>186147.82342681626</v>
      </c>
      <c r="N331" s="320"/>
      <c r="O331" s="320">
        <f>NhanCong!V$102</f>
        <v>2885.1730769230762</v>
      </c>
    </row>
    <row r="332" spans="1:15">
      <c r="A332" s="1041"/>
      <c r="B332" s="1038"/>
      <c r="C332" s="1039"/>
      <c r="D332" s="319" t="s">
        <v>33</v>
      </c>
      <c r="E332" s="301">
        <f>NhanCong!U$104</f>
        <v>130176.56437500003</v>
      </c>
      <c r="F332" s="301">
        <f>NhanCong!U$105</f>
        <v>55122.692307692312</v>
      </c>
      <c r="G332" s="320">
        <f>Dcu!P$106*0.4</f>
        <v>2074.8801388888887</v>
      </c>
      <c r="H332" s="320">
        <f>VLieu!N$71</f>
        <v>2262.8450000000003</v>
      </c>
      <c r="I332" s="320"/>
      <c r="J332" s="320"/>
      <c r="K332" s="320">
        <f t="shared" si="110"/>
        <v>189636.98182158123</v>
      </c>
      <c r="L332" s="320">
        <f t="shared" si="108"/>
        <v>47409.245455395307</v>
      </c>
      <c r="M332" s="321">
        <f t="shared" si="109"/>
        <v>237046.22727697654</v>
      </c>
      <c r="N332" s="320"/>
      <c r="O332" s="320">
        <f>NhanCong!V$104</f>
        <v>3685.5288461538462</v>
      </c>
    </row>
    <row r="333" spans="1:15">
      <c r="A333" s="1041"/>
      <c r="B333" s="1038"/>
      <c r="C333" s="1039"/>
      <c r="D333" s="319" t="s">
        <v>13</v>
      </c>
      <c r="E333" s="301">
        <f>NhanCong!U$106</f>
        <v>168155.46962500003</v>
      </c>
      <c r="F333" s="301">
        <f>NhanCong!U$107</f>
        <v>71204.692307692312</v>
      </c>
      <c r="G333" s="320">
        <f>Dcu!P$107*0.4</f>
        <v>2713.3047970085463</v>
      </c>
      <c r="H333" s="320">
        <f>VLieu!N$71</f>
        <v>2262.8450000000003</v>
      </c>
      <c r="I333" s="320"/>
      <c r="J333" s="320"/>
      <c r="K333" s="320">
        <f t="shared" si="110"/>
        <v>244336.31172970089</v>
      </c>
      <c r="L333" s="320">
        <f t="shared" si="108"/>
        <v>61084.077932425222</v>
      </c>
      <c r="M333" s="321">
        <f t="shared" si="109"/>
        <v>305420.38966212608</v>
      </c>
      <c r="N333" s="320"/>
      <c r="O333" s="320">
        <f>NhanCong!V$106</f>
        <v>4760.7788461538466</v>
      </c>
    </row>
    <row r="334" spans="1:15" ht="13.5" customHeight="1">
      <c r="A334" s="298">
        <v>2</v>
      </c>
      <c r="B334" s="316" t="s">
        <v>58</v>
      </c>
      <c r="C334" s="319" t="s">
        <v>43</v>
      </c>
      <c r="D334" s="319"/>
      <c r="E334" s="301">
        <f>NhanCong!U$108</f>
        <v>0</v>
      </c>
      <c r="F334" s="301"/>
      <c r="G334" s="320"/>
      <c r="H334" s="320"/>
      <c r="I334" s="320"/>
      <c r="J334" s="320"/>
      <c r="K334" s="320">
        <f>E334+F334+G334+I334+J334</f>
        <v>0</v>
      </c>
      <c r="L334" s="320"/>
      <c r="M334" s="321"/>
      <c r="N334" s="320"/>
      <c r="O334" s="320"/>
    </row>
    <row r="335" spans="1:15">
      <c r="A335" s="1041" t="s">
        <v>268</v>
      </c>
      <c r="B335" s="1038" t="str">
        <f>NhanCong!B$109</f>
        <v>Biên tập bản đồ địa chính</v>
      </c>
      <c r="C335" s="1039" t="s">
        <v>317</v>
      </c>
      <c r="D335" s="319" t="s">
        <v>18</v>
      </c>
      <c r="E335" s="301">
        <f>NhanCong!U$109</f>
        <v>124075.88050000003</v>
      </c>
      <c r="F335" s="301"/>
      <c r="G335" s="320">
        <f>Dcu!P$123</f>
        <v>550.10740410256403</v>
      </c>
      <c r="H335" s="320">
        <f>VLieu!N$90</f>
        <v>20757</v>
      </c>
      <c r="I335" s="320">
        <f>TBi!N$108</f>
        <v>10256.500685714285</v>
      </c>
      <c r="J335" s="320">
        <f>TBi!N$114</f>
        <v>4208.9207999999999</v>
      </c>
      <c r="K335" s="320">
        <f>SUM(E335:J335)</f>
        <v>159848.40938981686</v>
      </c>
      <c r="L335" s="320">
        <f>K335*0.15</f>
        <v>23977.261408472528</v>
      </c>
      <c r="M335" s="321">
        <f>K335+L335</f>
        <v>183825.67079828939</v>
      </c>
      <c r="N335" s="320"/>
      <c r="O335" s="320">
        <f>NhanCong!V$109</f>
        <v>3512.8076923076924</v>
      </c>
    </row>
    <row r="336" spans="1:15">
      <c r="A336" s="1041"/>
      <c r="B336" s="1038"/>
      <c r="C336" s="1039"/>
      <c r="D336" s="319" t="s">
        <v>20</v>
      </c>
      <c r="E336" s="301">
        <f>NhanCong!U$110</f>
        <v>148891.05660000001</v>
      </c>
      <c r="F336" s="301"/>
      <c r="G336" s="320">
        <f>Dcu!P$124</f>
        <v>705.97116859829055</v>
      </c>
      <c r="H336" s="320">
        <f>VLieu!N$90</f>
        <v>20757</v>
      </c>
      <c r="I336" s="320">
        <f>TBi!O$108</f>
        <v>12325.293707142859</v>
      </c>
      <c r="J336" s="320">
        <f>TBi!O$114</f>
        <v>5349.9683999999997</v>
      </c>
      <c r="K336" s="320">
        <f>SUM(E336:J336)</f>
        <v>188029.28987574115</v>
      </c>
      <c r="L336" s="320">
        <f>K336*0.15</f>
        <v>28204.39348136117</v>
      </c>
      <c r="M336" s="321">
        <f>K336+L336</f>
        <v>216233.68335710233</v>
      </c>
      <c r="N336" s="320"/>
      <c r="O336" s="320">
        <f>NhanCong!V$110</f>
        <v>4215.3692307692309</v>
      </c>
    </row>
    <row r="337" spans="1:15">
      <c r="A337" s="1041"/>
      <c r="B337" s="1038"/>
      <c r="C337" s="1039"/>
      <c r="D337" s="319" t="s">
        <v>35</v>
      </c>
      <c r="E337" s="301">
        <f>NhanCong!U$111</f>
        <v>178724.26000000004</v>
      </c>
      <c r="F337" s="301"/>
      <c r="G337" s="320">
        <f>Dcu!P$125</f>
        <v>916.84567350427346</v>
      </c>
      <c r="H337" s="320">
        <f>VLieu!N$90</f>
        <v>20757</v>
      </c>
      <c r="I337" s="320">
        <f>TBi!P$108</f>
        <v>14807.661892857144</v>
      </c>
      <c r="J337" s="320">
        <f>TBi!P$114</f>
        <v>6782.1768000000002</v>
      </c>
      <c r="K337" s="320">
        <f>SUM(E337:J337)</f>
        <v>221987.94436636145</v>
      </c>
      <c r="L337" s="320">
        <f>K337*0.15</f>
        <v>33298.191654954215</v>
      </c>
      <c r="M337" s="321">
        <f>K337+L337</f>
        <v>255286.13602131567</v>
      </c>
      <c r="N337" s="320"/>
      <c r="O337" s="320">
        <f>NhanCong!V$111</f>
        <v>5060</v>
      </c>
    </row>
    <row r="338" spans="1:15">
      <c r="A338" s="1041"/>
      <c r="B338" s="1038"/>
      <c r="C338" s="1039"/>
      <c r="D338" s="319" t="s">
        <v>33</v>
      </c>
      <c r="E338" s="301">
        <f>NhanCong!U$112</f>
        <v>143185.62830000001</v>
      </c>
      <c r="F338" s="301"/>
      <c r="G338" s="320">
        <f>Dcu!P$126</f>
        <v>678.46579839316234</v>
      </c>
      <c r="H338" s="320">
        <f>VLieu!N$90</f>
        <v>20757</v>
      </c>
      <c r="I338" s="320">
        <f>TBi!Q$108</f>
        <v>11860.2181</v>
      </c>
      <c r="J338" s="320">
        <f>TBi!Q$114</f>
        <v>5221.5281999999997</v>
      </c>
      <c r="K338" s="320">
        <f>SUM(E338:J338)</f>
        <v>181702.84039839316</v>
      </c>
      <c r="L338" s="320">
        <f>K338*0.15</f>
        <v>27255.426059758975</v>
      </c>
      <c r="M338" s="321">
        <f>K338+L338</f>
        <v>208958.26645815215</v>
      </c>
      <c r="N338" s="320"/>
      <c r="O338" s="320">
        <f>NhanCong!V$112</f>
        <v>4053.8384615384612</v>
      </c>
    </row>
    <row r="339" spans="1:15">
      <c r="A339" s="1041"/>
      <c r="B339" s="1038"/>
      <c r="C339" s="1039"/>
      <c r="D339" s="319" t="s">
        <v>13</v>
      </c>
      <c r="E339" s="301">
        <f>NhanCong!U$113</f>
        <v>179067.96050000004</v>
      </c>
      <c r="F339" s="301"/>
      <c r="G339" s="320">
        <f>Dcu!P$127</f>
        <v>916.84567350427346</v>
      </c>
      <c r="H339" s="320">
        <f>VLieu!N$90</f>
        <v>20757</v>
      </c>
      <c r="I339" s="320">
        <f>TBi!R$108</f>
        <v>14846.741571428573</v>
      </c>
      <c r="J339" s="320">
        <f>TBi!R$114</f>
        <v>6895.4801999999991</v>
      </c>
      <c r="K339" s="320">
        <f>SUM(E339:J339)</f>
        <v>222484.0279449329</v>
      </c>
      <c r="L339" s="320">
        <f>K339*0.15</f>
        <v>33372.604191739934</v>
      </c>
      <c r="M339" s="321">
        <f>K339+L339</f>
        <v>255856.63213667282</v>
      </c>
      <c r="N339" s="320"/>
      <c r="O339" s="320">
        <f>NhanCong!V$113</f>
        <v>5069.7307692307695</v>
      </c>
    </row>
    <row r="340" spans="1:15" ht="26">
      <c r="A340" s="323">
        <v>2.2000000000000002</v>
      </c>
      <c r="B340" s="324" t="str">
        <f>NhanCong!B$114</f>
        <v>Lập Phiếu xác nhận kết quả đo đạc hiện trạng thửa đất</v>
      </c>
      <c r="C340" s="319" t="s">
        <v>317</v>
      </c>
      <c r="D340" s="319" t="s">
        <v>15</v>
      </c>
      <c r="E340" s="301">
        <f>NhanCong!U$114</f>
        <v>75614.110000000015</v>
      </c>
      <c r="F340" s="301"/>
      <c r="G340" s="320">
        <f>Dcu!P$138</f>
        <v>353.01787179487178</v>
      </c>
      <c r="H340" s="320">
        <f>VLieu!N$91</f>
        <v>16983</v>
      </c>
      <c r="I340" s="320">
        <f>TBi!N$142</f>
        <v>2039.6042857142859</v>
      </c>
      <c r="J340" s="320">
        <f>TBi!N$145</f>
        <v>2673.8712</v>
      </c>
      <c r="K340" s="320">
        <f t="shared" ref="K340:K345" si="111">SUM(E340:J340)</f>
        <v>97663.603357509171</v>
      </c>
      <c r="L340" s="320">
        <f t="shared" ref="L340:L345" si="112">K340*0.15</f>
        <v>14649.540503626375</v>
      </c>
      <c r="M340" s="321">
        <f t="shared" ref="M340:M345" si="113">K340+L340</f>
        <v>112313.14386113554</v>
      </c>
      <c r="N340" s="320"/>
      <c r="O340" s="320">
        <f>NhanCong!V$114</f>
        <v>2140.7692307692305</v>
      </c>
    </row>
    <row r="341" spans="1:15" ht="26">
      <c r="A341" s="323">
        <v>2.2999999999999998</v>
      </c>
      <c r="B341" s="324" t="str">
        <f>NhanCong!B$115</f>
        <v>Công khai bản đồ địa chính, Hoàn thiện bản đồ địa chính</v>
      </c>
      <c r="C341" s="319" t="s">
        <v>317</v>
      </c>
      <c r="D341" s="319" t="s">
        <v>15</v>
      </c>
      <c r="E341" s="301">
        <f>NhanCong!U$115</f>
        <v>67365.29800000001</v>
      </c>
      <c r="F341" s="301"/>
      <c r="G341" s="320">
        <f>Dcu!P$130</f>
        <v>293.39061552136752</v>
      </c>
      <c r="H341" s="320">
        <f>VLieu!N$94</f>
        <v>7548</v>
      </c>
      <c r="I341" s="320">
        <f>TBi!N$168</f>
        <v>1687.3090000000002</v>
      </c>
      <c r="J341" s="320">
        <f>TBi!N$171</f>
        <v>2211.9762000000001</v>
      </c>
      <c r="K341" s="320">
        <f t="shared" si="111"/>
        <v>79105.973815521371</v>
      </c>
      <c r="L341" s="320">
        <f t="shared" si="112"/>
        <v>11865.896072328205</v>
      </c>
      <c r="M341" s="321">
        <f t="shared" si="113"/>
        <v>90971.869887849578</v>
      </c>
      <c r="N341" s="320"/>
      <c r="O341" s="320">
        <f>NhanCong!V$115</f>
        <v>1907.2307692307693</v>
      </c>
    </row>
    <row r="342" spans="1:15">
      <c r="A342" s="323">
        <v>2.4</v>
      </c>
      <c r="B342" s="324" t="str">
        <f>NhanCong!B$116</f>
        <v>Lập sổ mục kê đất đai phạm vi khu đo</v>
      </c>
      <c r="C342" s="319" t="s">
        <v>317</v>
      </c>
      <c r="D342" s="319" t="s">
        <v>15</v>
      </c>
      <c r="E342" s="301">
        <f>NhanCong!U$116</f>
        <v>7630.1511000000019</v>
      </c>
      <c r="F342" s="301"/>
      <c r="G342" s="320">
        <f>Dcu!P$140</f>
        <v>275.05370205128202</v>
      </c>
      <c r="H342" s="320">
        <f>VLieu!N$94</f>
        <v>7548</v>
      </c>
      <c r="I342" s="320"/>
      <c r="J342" s="320"/>
      <c r="K342" s="320">
        <f t="shared" si="111"/>
        <v>15453.204802051285</v>
      </c>
      <c r="L342" s="320">
        <f t="shared" si="112"/>
        <v>2317.9807203076925</v>
      </c>
      <c r="M342" s="321">
        <f t="shared" si="113"/>
        <v>17771.185522358977</v>
      </c>
      <c r="N342" s="320"/>
      <c r="O342" s="320">
        <f>NhanCong!V$116</f>
        <v>216.02307692307696</v>
      </c>
    </row>
    <row r="343" spans="1:15" ht="39">
      <c r="A343" s="323">
        <v>2.5</v>
      </c>
      <c r="B343" s="324" t="str">
        <f>NhanCong!B$117</f>
        <v>In sản phẩm đo đạc lập bản đồ địa chính gồm sản phẩm chính và sản phẩm trung gian</v>
      </c>
      <c r="C343" s="319" t="s">
        <v>317</v>
      </c>
      <c r="D343" s="319" t="s">
        <v>15</v>
      </c>
      <c r="E343" s="301">
        <f>NhanCong!U$117</f>
        <v>2646.4938500000007</v>
      </c>
      <c r="F343" s="301"/>
      <c r="G343" s="320">
        <f>Dcu!P$152</f>
        <v>574.56527435897431</v>
      </c>
      <c r="H343" s="320">
        <f>VLieu!N$102</f>
        <v>673</v>
      </c>
      <c r="I343" s="320">
        <f>TBi!N$197</f>
        <v>93.903585714285711</v>
      </c>
      <c r="J343" s="320">
        <f>TBi!N$201</f>
        <v>98.389200000000002</v>
      </c>
      <c r="K343" s="320">
        <f t="shared" si="111"/>
        <v>4086.351910073261</v>
      </c>
      <c r="L343" s="320">
        <f t="shared" si="112"/>
        <v>612.95278651098909</v>
      </c>
      <c r="M343" s="321">
        <f t="shared" si="113"/>
        <v>4699.3046965842505</v>
      </c>
      <c r="N343" s="320"/>
      <c r="O343" s="320">
        <f>NhanCong!V$117</f>
        <v>74.926923076923075</v>
      </c>
    </row>
    <row r="344" spans="1:15">
      <c r="A344" s="300">
        <v>2.6</v>
      </c>
      <c r="B344" s="324" t="str">
        <f>NhanCong!B$118</f>
        <v>Trình ký xác nhận hồ sơ</v>
      </c>
      <c r="C344" s="319" t="s">
        <v>317</v>
      </c>
      <c r="D344" s="319" t="s">
        <v>15</v>
      </c>
      <c r="E344" s="301">
        <f>NhanCong!U$118</f>
        <v>3780.7055000000009</v>
      </c>
      <c r="F344" s="301"/>
      <c r="G344" s="320">
        <f>Dcu!P$140</f>
        <v>275.05370205128202</v>
      </c>
      <c r="H344" s="320">
        <f>VLieu!N$94</f>
        <v>7548</v>
      </c>
      <c r="I344" s="320"/>
      <c r="J344" s="320"/>
      <c r="K344" s="320">
        <f t="shared" si="111"/>
        <v>11603.759202051282</v>
      </c>
      <c r="L344" s="320">
        <f t="shared" si="112"/>
        <v>1740.5638803076922</v>
      </c>
      <c r="M344" s="321">
        <f t="shared" si="113"/>
        <v>13344.323082358975</v>
      </c>
      <c r="N344" s="320"/>
      <c r="O344" s="320">
        <f>NhanCong!V$118</f>
        <v>107.03846153846155</v>
      </c>
    </row>
    <row r="345" spans="1:15" ht="26">
      <c r="A345" s="300">
        <v>2.7</v>
      </c>
      <c r="B345" s="324" t="str">
        <f>NhanCong!B$119</f>
        <v>Giao nộp sản phẩm đo đạc lập bản đồ địa chính</v>
      </c>
      <c r="C345" s="319" t="s">
        <v>317</v>
      </c>
      <c r="D345" s="319" t="s">
        <v>15</v>
      </c>
      <c r="E345" s="301">
        <f>NhanCong!U$119</f>
        <v>8729.9927000000007</v>
      </c>
      <c r="F345" s="301"/>
      <c r="G345" s="320">
        <f>Dcu!P$154</f>
        <v>28.728263717948717</v>
      </c>
      <c r="H345" s="320">
        <f>VLieu!N$94</f>
        <v>7548</v>
      </c>
      <c r="I345" s="320"/>
      <c r="J345" s="320"/>
      <c r="K345" s="320">
        <f t="shared" si="111"/>
        <v>16306.720963717949</v>
      </c>
      <c r="L345" s="320">
        <f t="shared" si="112"/>
        <v>2446.0081445576925</v>
      </c>
      <c r="M345" s="321">
        <f t="shared" si="113"/>
        <v>18752.729108275642</v>
      </c>
      <c r="N345" s="320"/>
      <c r="O345" s="320">
        <f>NhanCong!V$119</f>
        <v>247.16153846153847</v>
      </c>
    </row>
    <row r="346" spans="1:15">
      <c r="A346" s="300"/>
      <c r="B346" s="328"/>
      <c r="C346" s="300"/>
      <c r="D346" s="319"/>
      <c r="E346" s="301"/>
      <c r="F346" s="301"/>
      <c r="G346" s="320"/>
      <c r="H346" s="320"/>
      <c r="I346" s="320"/>
      <c r="J346" s="320"/>
      <c r="K346" s="320"/>
      <c r="L346" s="320"/>
      <c r="M346" s="321"/>
      <c r="N346" s="320"/>
      <c r="O346" s="320"/>
    </row>
    <row r="347" spans="1:15">
      <c r="A347" s="298" t="s">
        <v>31</v>
      </c>
      <c r="B347" s="316" t="s">
        <v>48</v>
      </c>
      <c r="C347" s="300"/>
      <c r="D347" s="300"/>
      <c r="E347" s="301"/>
      <c r="F347" s="301"/>
      <c r="G347" s="301"/>
      <c r="H347" s="301"/>
      <c r="I347" s="301"/>
      <c r="J347" s="301"/>
      <c r="K347" s="301"/>
      <c r="L347" s="301"/>
      <c r="M347" s="315">
        <v>900</v>
      </c>
      <c r="N347" s="327" t="s">
        <v>21</v>
      </c>
      <c r="O347" s="301"/>
    </row>
    <row r="348" spans="1:15">
      <c r="A348" s="1036"/>
      <c r="B348" s="1035" t="s">
        <v>190</v>
      </c>
      <c r="C348" s="1036" t="s">
        <v>21</v>
      </c>
      <c r="D348" s="298">
        <v>1</v>
      </c>
      <c r="E348" s="301">
        <f t="shared" ref="E348:J348" si="114">SUM(E$376,E377,E381,E385,E389,E393)</f>
        <v>370473.85428472236</v>
      </c>
      <c r="F348" s="301">
        <f t="shared" si="114"/>
        <v>37081.987179487187</v>
      </c>
      <c r="G348" s="301">
        <f t="shared" si="114"/>
        <v>3560.9192737980766</v>
      </c>
      <c r="H348" s="301">
        <f t="shared" si="114"/>
        <v>3970.7027777777776</v>
      </c>
      <c r="I348" s="301">
        <f t="shared" si="114"/>
        <v>4142.4782539682537</v>
      </c>
      <c r="J348" s="330">
        <f t="shared" si="114"/>
        <v>5.1445333333333334</v>
      </c>
      <c r="K348" s="301">
        <f t="shared" ref="K348:K355" si="115">SUM(E348:J348)</f>
        <v>419235.08630308695</v>
      </c>
      <c r="L348" s="301">
        <f t="shared" ref="L348:L351" si="116">K348*0.25</f>
        <v>104808.77157577174</v>
      </c>
      <c r="M348" s="315">
        <f t="shared" ref="M348:M355" si="117">K348+L348</f>
        <v>524043.85787885869</v>
      </c>
      <c r="N348" s="301">
        <f>M348+M352</f>
        <v>587013.64457187778</v>
      </c>
      <c r="O348" s="301">
        <f>SUM(O$437,O377,O381,O385,O389,O393)</f>
        <v>9789.5592948717931</v>
      </c>
    </row>
    <row r="349" spans="1:15">
      <c r="A349" s="1036"/>
      <c r="B349" s="1035"/>
      <c r="C349" s="1036"/>
      <c r="D349" s="298">
        <v>2</v>
      </c>
      <c r="E349" s="301">
        <f t="shared" ref="E349:J351" si="118">SUM(E$376,E378,E382,E386,E390,E394)</f>
        <v>435757.85481250013</v>
      </c>
      <c r="F349" s="301">
        <f t="shared" si="118"/>
        <v>43948.572649572649</v>
      </c>
      <c r="G349" s="301">
        <f t="shared" si="118"/>
        <v>4130.1172242521361</v>
      </c>
      <c r="H349" s="301">
        <f t="shared" si="118"/>
        <v>3970.7027777777776</v>
      </c>
      <c r="I349" s="301">
        <f t="shared" si="118"/>
        <v>4969.462698412699</v>
      </c>
      <c r="J349" s="330">
        <f t="shared" si="118"/>
        <v>5.1445333333333334</v>
      </c>
      <c r="K349" s="301">
        <f t="shared" si="115"/>
        <v>492781.85469584871</v>
      </c>
      <c r="L349" s="301">
        <f t="shared" si="116"/>
        <v>123195.46367396218</v>
      </c>
      <c r="M349" s="315">
        <f t="shared" si="117"/>
        <v>615977.31836981094</v>
      </c>
      <c r="N349" s="301">
        <f>M349+M353</f>
        <v>686637.27203352924</v>
      </c>
      <c r="O349" s="301">
        <f t="shared" ref="O349:O351" si="119">SUM(O$437,O378,O382,O386,O390,O394)</f>
        <v>11637.864850427351</v>
      </c>
    </row>
    <row r="350" spans="1:15">
      <c r="A350" s="1036"/>
      <c r="B350" s="1035"/>
      <c r="C350" s="1036"/>
      <c r="D350" s="298">
        <v>3</v>
      </c>
      <c r="E350" s="301">
        <f t="shared" si="118"/>
        <v>514064.28539583343</v>
      </c>
      <c r="F350" s="301">
        <f t="shared" si="118"/>
        <v>52185.645299145297</v>
      </c>
      <c r="G350" s="301">
        <f t="shared" si="118"/>
        <v>4458.1521607905979</v>
      </c>
      <c r="H350" s="301">
        <f t="shared" si="118"/>
        <v>3970.7027777777776</v>
      </c>
      <c r="I350" s="301">
        <f t="shared" si="118"/>
        <v>5383.5804761904765</v>
      </c>
      <c r="J350" s="330">
        <f t="shared" si="118"/>
        <v>5.1445333333333334</v>
      </c>
      <c r="K350" s="301">
        <f t="shared" si="115"/>
        <v>580067.51064307091</v>
      </c>
      <c r="L350" s="301">
        <f t="shared" si="116"/>
        <v>145016.87766076773</v>
      </c>
      <c r="M350" s="315">
        <f t="shared" si="117"/>
        <v>725084.38830383867</v>
      </c>
      <c r="N350" s="301">
        <f>M350+M354</f>
        <v>807052.14679577562</v>
      </c>
      <c r="O350" s="301">
        <f t="shared" si="119"/>
        <v>13854.85844017094</v>
      </c>
    </row>
    <row r="351" spans="1:15">
      <c r="A351" s="1036"/>
      <c r="B351" s="1035"/>
      <c r="C351" s="1036"/>
      <c r="D351" s="298">
        <v>4</v>
      </c>
      <c r="E351" s="301">
        <f t="shared" si="118"/>
        <v>608099.78747222223</v>
      </c>
      <c r="F351" s="301">
        <f t="shared" si="118"/>
        <v>62070.132478632484</v>
      </c>
      <c r="G351" s="301">
        <f t="shared" si="118"/>
        <v>4864.9883100961533</v>
      </c>
      <c r="H351" s="301">
        <f t="shared" si="118"/>
        <v>3970.7027777777776</v>
      </c>
      <c r="I351" s="301">
        <f t="shared" si="118"/>
        <v>5797.0726984126986</v>
      </c>
      <c r="J351" s="330">
        <f t="shared" si="118"/>
        <v>5.1445333333333334</v>
      </c>
      <c r="K351" s="301">
        <f t="shared" si="115"/>
        <v>684807.8282704748</v>
      </c>
      <c r="L351" s="301">
        <f t="shared" si="116"/>
        <v>171201.9570676187</v>
      </c>
      <c r="M351" s="315">
        <f t="shared" si="117"/>
        <v>856009.78533809353</v>
      </c>
      <c r="N351" s="301">
        <f>M351+M355</f>
        <v>953244.68993020745</v>
      </c>
      <c r="O351" s="301">
        <f t="shared" si="119"/>
        <v>16517.169871794871</v>
      </c>
    </row>
    <row r="352" spans="1:15">
      <c r="A352" s="1036"/>
      <c r="B352" s="1035" t="s">
        <v>192</v>
      </c>
      <c r="C352" s="1036" t="s">
        <v>21</v>
      </c>
      <c r="D352" s="298">
        <v>1</v>
      </c>
      <c r="E352" s="301">
        <f t="shared" ref="E352:J355" si="120">(E398+SUM(E$402:E$407))</f>
        <v>37322.055405555569</v>
      </c>
      <c r="F352" s="301">
        <f t="shared" si="120"/>
        <v>0</v>
      </c>
      <c r="G352" s="301">
        <f t="shared" si="120"/>
        <v>424.28791749762581</v>
      </c>
      <c r="H352" s="301">
        <f t="shared" si="120"/>
        <v>13138.755555555555</v>
      </c>
      <c r="I352" s="301">
        <f t="shared" si="120"/>
        <v>2211.2349761904761</v>
      </c>
      <c r="J352" s="301">
        <f t="shared" si="120"/>
        <v>1660.0024000000003</v>
      </c>
      <c r="K352" s="301">
        <f t="shared" si="115"/>
        <v>54756.336254799229</v>
      </c>
      <c r="L352" s="301">
        <f>K352*0.15</f>
        <v>8213.4504382198847</v>
      </c>
      <c r="M352" s="315">
        <f t="shared" si="117"/>
        <v>62969.786693019116</v>
      </c>
      <c r="N352" s="301"/>
      <c r="O352" s="301">
        <f>(O398+SUM(O$463:O$468))</f>
        <v>643.47414529914533</v>
      </c>
    </row>
    <row r="353" spans="1:15">
      <c r="A353" s="1036"/>
      <c r="B353" s="1035"/>
      <c r="C353" s="1036"/>
      <c r="D353" s="298">
        <v>2</v>
      </c>
      <c r="E353" s="301">
        <f t="shared" si="120"/>
        <v>43271.892950000009</v>
      </c>
      <c r="F353" s="301">
        <f t="shared" si="120"/>
        <v>0</v>
      </c>
      <c r="G353" s="301">
        <f t="shared" si="120"/>
        <v>456.10161448243116</v>
      </c>
      <c r="H353" s="301">
        <f t="shared" si="120"/>
        <v>13138.755555555555</v>
      </c>
      <c r="I353" s="301">
        <f t="shared" si="120"/>
        <v>2702.7173817460316</v>
      </c>
      <c r="J353" s="301">
        <f t="shared" si="120"/>
        <v>1873.9704666666671</v>
      </c>
      <c r="K353" s="301">
        <f t="shared" si="115"/>
        <v>61443.437968450686</v>
      </c>
      <c r="L353" s="301">
        <f>K353*0.15</f>
        <v>9216.5156952676025</v>
      </c>
      <c r="M353" s="315">
        <f t="shared" si="117"/>
        <v>70659.95366371829</v>
      </c>
      <c r="N353" s="301"/>
      <c r="O353" s="301">
        <f>(O399+SUM(O$463:O$468))</f>
        <v>811.92457264957272</v>
      </c>
    </row>
    <row r="354" spans="1:15">
      <c r="A354" s="1036"/>
      <c r="B354" s="1035"/>
      <c r="C354" s="1036"/>
      <c r="D354" s="298">
        <v>3</v>
      </c>
      <c r="E354" s="301">
        <f t="shared" si="120"/>
        <v>51299.209072222235</v>
      </c>
      <c r="F354" s="301">
        <f t="shared" si="120"/>
        <v>0</v>
      </c>
      <c r="G354" s="301">
        <f t="shared" si="120"/>
        <v>499.63614719848056</v>
      </c>
      <c r="H354" s="301">
        <f t="shared" si="120"/>
        <v>13138.755555555555</v>
      </c>
      <c r="I354" s="301">
        <f t="shared" si="120"/>
        <v>3365.4180238095232</v>
      </c>
      <c r="J354" s="301">
        <f t="shared" si="120"/>
        <v>2973.2929333333336</v>
      </c>
      <c r="K354" s="301">
        <f t="shared" si="115"/>
        <v>71276.311732119124</v>
      </c>
      <c r="L354" s="301">
        <f>K354*0.15</f>
        <v>10691.446759817869</v>
      </c>
      <c r="M354" s="315">
        <f t="shared" si="117"/>
        <v>81967.758491936998</v>
      </c>
      <c r="N354" s="301"/>
      <c r="O354" s="301">
        <f>(O400+SUM(O$463:O$468))</f>
        <v>1039.192094017094</v>
      </c>
    </row>
    <row r="355" spans="1:15">
      <c r="A355" s="1036"/>
      <c r="B355" s="1035"/>
      <c r="C355" s="1036"/>
      <c r="D355" s="298">
        <v>4</v>
      </c>
      <c r="E355" s="301">
        <f t="shared" si="120"/>
        <v>62137.231505555581</v>
      </c>
      <c r="F355" s="301">
        <f t="shared" si="120"/>
        <v>0</v>
      </c>
      <c r="G355" s="301">
        <f t="shared" si="120"/>
        <v>558.24032585470081</v>
      </c>
      <c r="H355" s="301">
        <f t="shared" si="120"/>
        <v>13138.755555555555</v>
      </c>
      <c r="I355" s="301">
        <f t="shared" si="120"/>
        <v>4260.4469626984119</v>
      </c>
      <c r="J355" s="301">
        <f t="shared" si="120"/>
        <v>4457.4166000000005</v>
      </c>
      <c r="K355" s="301">
        <f t="shared" si="115"/>
        <v>84552.090949664242</v>
      </c>
      <c r="L355" s="301">
        <f>K355*0.15</f>
        <v>12682.813642449635</v>
      </c>
      <c r="M355" s="315">
        <f t="shared" si="117"/>
        <v>97234.904592113875</v>
      </c>
      <c r="N355" s="301"/>
      <c r="O355" s="301">
        <f>(O401+SUM(O$463:O$468))</f>
        <v>1346.0356837606839</v>
      </c>
    </row>
    <row r="356" spans="1:15">
      <c r="A356" s="298"/>
      <c r="B356" s="314" t="s">
        <v>322</v>
      </c>
      <c r="C356" s="300"/>
      <c r="D356" s="300"/>
      <c r="E356" s="301"/>
      <c r="F356" s="301"/>
      <c r="G356" s="301"/>
      <c r="H356" s="301"/>
      <c r="I356" s="301"/>
      <c r="J356" s="301"/>
      <c r="K356" s="301"/>
      <c r="L356" s="301"/>
      <c r="M356" s="315"/>
      <c r="N356" s="301"/>
      <c r="O356" s="301"/>
    </row>
    <row r="357" spans="1:15">
      <c r="A357" s="298" t="s">
        <v>323</v>
      </c>
      <c r="B357" s="314" t="s">
        <v>324</v>
      </c>
      <c r="C357" s="300"/>
      <c r="D357" s="300"/>
      <c r="E357" s="301"/>
      <c r="F357" s="301"/>
      <c r="G357" s="301"/>
      <c r="H357" s="301"/>
      <c r="I357" s="301"/>
      <c r="J357" s="301"/>
      <c r="K357" s="301"/>
      <c r="L357" s="301"/>
      <c r="M357" s="315"/>
      <c r="N357" s="301"/>
      <c r="O357" s="301"/>
    </row>
    <row r="358" spans="1:15">
      <c r="A358" s="1036"/>
      <c r="B358" s="1035" t="s">
        <v>190</v>
      </c>
      <c r="C358" s="1036" t="s">
        <v>21</v>
      </c>
      <c r="D358" s="298">
        <v>1</v>
      </c>
      <c r="E358" s="301">
        <f t="shared" ref="E358:F365" si="121">E348*0.1</f>
        <v>37047.38542847224</v>
      </c>
      <c r="F358" s="301">
        <f t="shared" si="121"/>
        <v>3708.1987179487187</v>
      </c>
      <c r="G358" s="330">
        <f>G385*0.1/$M$347</f>
        <v>0.13825614733202751</v>
      </c>
      <c r="H358" s="329">
        <f t="shared" ref="H358:I361" si="122">H348*0.1</f>
        <v>397.07027777777779</v>
      </c>
      <c r="I358" s="331">
        <f t="shared" si="122"/>
        <v>414.24782539682542</v>
      </c>
      <c r="J358" s="301">
        <f>J385*0.1/$M$347</f>
        <v>0</v>
      </c>
      <c r="K358" s="301">
        <f t="shared" ref="K358:K365" si="123">SUM(E358:J358)</f>
        <v>41567.040505742887</v>
      </c>
      <c r="L358" s="301">
        <f>K358*0.25</f>
        <v>10391.760126435722</v>
      </c>
      <c r="M358" s="315">
        <f t="shared" ref="M358:M365" si="124">K358+L358</f>
        <v>51958.800632178609</v>
      </c>
      <c r="N358" s="301">
        <f>M358+M362</f>
        <v>56251.358800423739</v>
      </c>
      <c r="O358" s="301">
        <f t="shared" ref="O358:O365" si="125">O348*0.1</f>
        <v>978.95592948717933</v>
      </c>
    </row>
    <row r="359" spans="1:15">
      <c r="A359" s="1036"/>
      <c r="B359" s="1035"/>
      <c r="C359" s="1036"/>
      <c r="D359" s="298">
        <v>2</v>
      </c>
      <c r="E359" s="301">
        <f t="shared" si="121"/>
        <v>43575.785481250015</v>
      </c>
      <c r="F359" s="301">
        <f t="shared" si="121"/>
        <v>4394.8572649572652</v>
      </c>
      <c r="G359" s="330">
        <f>G386*0.1/$M$347</f>
        <v>0.16518916304605888</v>
      </c>
      <c r="H359" s="329">
        <f t="shared" si="122"/>
        <v>397.07027777777779</v>
      </c>
      <c r="I359" s="331">
        <f t="shared" si="122"/>
        <v>496.9462698412699</v>
      </c>
      <c r="J359" s="301">
        <f>J386*0.1/$M$347</f>
        <v>0</v>
      </c>
      <c r="K359" s="301">
        <f t="shared" si="123"/>
        <v>48864.824482989374</v>
      </c>
      <c r="L359" s="301">
        <f>K359*0.25</f>
        <v>12216.206120747343</v>
      </c>
      <c r="M359" s="315">
        <f t="shared" si="124"/>
        <v>61081.030603736719</v>
      </c>
      <c r="N359" s="301">
        <f>M359+M363</f>
        <v>66057.824154676462</v>
      </c>
      <c r="O359" s="301">
        <f t="shared" si="125"/>
        <v>1163.7864850427352</v>
      </c>
    </row>
    <row r="360" spans="1:15">
      <c r="A360" s="1036"/>
      <c r="B360" s="1035"/>
      <c r="C360" s="1036"/>
      <c r="D360" s="298">
        <v>3</v>
      </c>
      <c r="E360" s="301">
        <f t="shared" si="121"/>
        <v>51406.428539583343</v>
      </c>
      <c r="F360" s="301">
        <f t="shared" si="121"/>
        <v>5218.5645299145299</v>
      </c>
      <c r="G360" s="330">
        <f>G387*0.1/$M$347</f>
        <v>0.17955343809354224</v>
      </c>
      <c r="H360" s="329">
        <f t="shared" si="122"/>
        <v>397.07027777777779</v>
      </c>
      <c r="I360" s="331">
        <f t="shared" si="122"/>
        <v>538.35804761904762</v>
      </c>
      <c r="J360" s="301">
        <f>J387*0.1/$M$347</f>
        <v>0</v>
      </c>
      <c r="K360" s="301">
        <f t="shared" si="123"/>
        <v>57560.600948332794</v>
      </c>
      <c r="L360" s="301">
        <f>K360*0.25</f>
        <v>14390.150237083199</v>
      </c>
      <c r="M360" s="315">
        <f t="shared" si="124"/>
        <v>71950.751185415997</v>
      </c>
      <c r="N360" s="301">
        <f>M360+M364</f>
        <v>77850.691653157148</v>
      </c>
      <c r="O360" s="301">
        <f t="shared" si="125"/>
        <v>1385.485844017094</v>
      </c>
    </row>
    <row r="361" spans="1:15">
      <c r="A361" s="1036"/>
      <c r="B361" s="1035"/>
      <c r="C361" s="1036"/>
      <c r="D361" s="298">
        <v>4</v>
      </c>
      <c r="E361" s="301">
        <f t="shared" si="121"/>
        <v>60809.978747222223</v>
      </c>
      <c r="F361" s="301">
        <f t="shared" si="121"/>
        <v>6207.0132478632486</v>
      </c>
      <c r="G361" s="330">
        <f>G388*0.1/$M$347</f>
        <v>0.19750878190289647</v>
      </c>
      <c r="H361" s="329">
        <f t="shared" si="122"/>
        <v>397.07027777777779</v>
      </c>
      <c r="I361" s="331">
        <f t="shared" si="122"/>
        <v>579.70726984126986</v>
      </c>
      <c r="J361" s="301">
        <f>J388*0.1/$M$347</f>
        <v>0</v>
      </c>
      <c r="K361" s="301">
        <f t="shared" si="123"/>
        <v>67993.967051486412</v>
      </c>
      <c r="L361" s="301">
        <f>K361*0.25</f>
        <v>16998.491762871603</v>
      </c>
      <c r="M361" s="315">
        <f t="shared" si="124"/>
        <v>84992.458814358019</v>
      </c>
      <c r="N361" s="301">
        <f>M361+M365</f>
        <v>92138.779350244222</v>
      </c>
      <c r="O361" s="301">
        <f t="shared" si="125"/>
        <v>1651.7169871794872</v>
      </c>
    </row>
    <row r="362" spans="1:15">
      <c r="A362" s="1036"/>
      <c r="B362" s="1035" t="s">
        <v>192</v>
      </c>
      <c r="C362" s="1036" t="s">
        <v>21</v>
      </c>
      <c r="D362" s="298">
        <v>1</v>
      </c>
      <c r="E362" s="301">
        <f t="shared" si="121"/>
        <v>3732.205540555557</v>
      </c>
      <c r="F362" s="301">
        <f t="shared" si="121"/>
        <v>0</v>
      </c>
      <c r="G362" s="330">
        <f t="shared" ref="G362:H365" si="126">G398*0.1/$M$347</f>
        <v>1.0232475638387676E-2</v>
      </c>
      <c r="H362" s="329">
        <f t="shared" si="126"/>
        <v>0.44350370370370373</v>
      </c>
      <c r="I362" s="331"/>
      <c r="J362" s="301"/>
      <c r="K362" s="301">
        <f t="shared" si="123"/>
        <v>3732.6592767348993</v>
      </c>
      <c r="L362" s="301">
        <f>K362*0.15</f>
        <v>559.89889151023488</v>
      </c>
      <c r="M362" s="315">
        <f t="shared" si="124"/>
        <v>4292.5581682451339</v>
      </c>
      <c r="N362" s="301"/>
      <c r="O362" s="301">
        <f t="shared" si="125"/>
        <v>64.347414529914531</v>
      </c>
    </row>
    <row r="363" spans="1:15">
      <c r="A363" s="1036"/>
      <c r="B363" s="1035"/>
      <c r="C363" s="1036"/>
      <c r="D363" s="298">
        <v>2</v>
      </c>
      <c r="E363" s="301">
        <f t="shared" si="121"/>
        <v>4327.189295000001</v>
      </c>
      <c r="F363" s="301">
        <f t="shared" si="121"/>
        <v>0</v>
      </c>
      <c r="G363" s="330">
        <f t="shared" si="126"/>
        <v>1.3767330858921602E-2</v>
      </c>
      <c r="H363" s="329">
        <f t="shared" si="126"/>
        <v>0.44350370370370373</v>
      </c>
      <c r="I363" s="331"/>
      <c r="J363" s="301"/>
      <c r="K363" s="301">
        <f t="shared" si="123"/>
        <v>4327.6465660345639</v>
      </c>
      <c r="L363" s="301">
        <f>K363*0.15</f>
        <v>649.14698490518458</v>
      </c>
      <c r="M363" s="315">
        <f t="shared" si="124"/>
        <v>4976.7935509397485</v>
      </c>
      <c r="N363" s="301"/>
      <c r="O363" s="301">
        <f t="shared" si="125"/>
        <v>81.192457264957284</v>
      </c>
    </row>
    <row r="364" spans="1:15">
      <c r="A364" s="1036"/>
      <c r="B364" s="1035"/>
      <c r="C364" s="1036"/>
      <c r="D364" s="298">
        <v>3</v>
      </c>
      <c r="E364" s="301">
        <f t="shared" si="121"/>
        <v>5129.9209072222238</v>
      </c>
      <c r="F364" s="301">
        <f t="shared" si="121"/>
        <v>0</v>
      </c>
      <c r="G364" s="330">
        <f t="shared" si="126"/>
        <v>1.8604501160704865E-2</v>
      </c>
      <c r="H364" s="329">
        <f t="shared" si="126"/>
        <v>0.44350370370370373</v>
      </c>
      <c r="I364" s="331"/>
      <c r="J364" s="301"/>
      <c r="K364" s="301">
        <f t="shared" si="123"/>
        <v>5130.3830154270881</v>
      </c>
      <c r="L364" s="301">
        <f>K364*0.15</f>
        <v>769.5574523140632</v>
      </c>
      <c r="M364" s="315">
        <f t="shared" si="124"/>
        <v>5899.9404677411512</v>
      </c>
      <c r="N364" s="301"/>
      <c r="O364" s="301">
        <f t="shared" si="125"/>
        <v>103.9192094017094</v>
      </c>
    </row>
    <row r="365" spans="1:15">
      <c r="A365" s="1036"/>
      <c r="B365" s="1035"/>
      <c r="C365" s="1036"/>
      <c r="D365" s="298">
        <v>4</v>
      </c>
      <c r="E365" s="301">
        <f t="shared" si="121"/>
        <v>6213.7231505555583</v>
      </c>
      <c r="F365" s="301">
        <f t="shared" si="121"/>
        <v>0</v>
      </c>
      <c r="G365" s="330">
        <f t="shared" si="126"/>
        <v>2.5116076566951574E-2</v>
      </c>
      <c r="H365" s="329">
        <f t="shared" si="126"/>
        <v>0.44350370370370373</v>
      </c>
      <c r="I365" s="331"/>
      <c r="J365" s="301"/>
      <c r="K365" s="301">
        <f t="shared" si="123"/>
        <v>6214.1917703358286</v>
      </c>
      <c r="L365" s="301">
        <f>K365*0.15</f>
        <v>932.12876555037428</v>
      </c>
      <c r="M365" s="315">
        <f t="shared" si="124"/>
        <v>7146.3205358862033</v>
      </c>
      <c r="N365" s="301"/>
      <c r="O365" s="301">
        <f t="shared" si="125"/>
        <v>134.60356837606841</v>
      </c>
    </row>
    <row r="366" spans="1:15">
      <c r="A366" s="298" t="s">
        <v>508</v>
      </c>
      <c r="B366" s="314" t="s">
        <v>326</v>
      </c>
      <c r="C366" s="300"/>
      <c r="D366" s="300"/>
      <c r="E366" s="301"/>
      <c r="F366" s="301"/>
      <c r="G366" s="301"/>
      <c r="H366" s="301"/>
      <c r="I366" s="301"/>
      <c r="J366" s="301"/>
      <c r="K366" s="301"/>
      <c r="L366" s="301"/>
      <c r="M366" s="315"/>
      <c r="N366" s="301"/>
      <c r="O366" s="301"/>
    </row>
    <row r="367" spans="1:15">
      <c r="A367" s="1036"/>
      <c r="B367" s="1035" t="s">
        <v>190</v>
      </c>
      <c r="C367" s="1036" t="s">
        <v>21</v>
      </c>
      <c r="D367" s="298">
        <v>1</v>
      </c>
      <c r="E367" s="301">
        <f t="shared" ref="E367:F370" si="127">E348*1.15</f>
        <v>426044.9324274307</v>
      </c>
      <c r="F367" s="301">
        <f t="shared" si="127"/>
        <v>42644.285256410265</v>
      </c>
      <c r="G367" s="301">
        <f t="shared" ref="G367:J374" si="128">G348</f>
        <v>3560.9192737980766</v>
      </c>
      <c r="H367" s="301">
        <f t="shared" si="128"/>
        <v>3970.7027777777776</v>
      </c>
      <c r="I367" s="301">
        <f t="shared" si="128"/>
        <v>4142.4782539682537</v>
      </c>
      <c r="J367" s="301">
        <f t="shared" si="128"/>
        <v>5.1445333333333334</v>
      </c>
      <c r="K367" s="301">
        <f t="shared" ref="K367:K374" si="129">SUM(E367:J367)</f>
        <v>480368.46252271836</v>
      </c>
      <c r="L367" s="301">
        <f>K367*0.25</f>
        <v>120092.11563067959</v>
      </c>
      <c r="M367" s="315">
        <f t="shared" ref="M367:M374" si="130">K367+L367</f>
        <v>600460.57815339789</v>
      </c>
      <c r="N367" s="301">
        <f>M367+M371</f>
        <v>667722.40121805586</v>
      </c>
      <c r="O367" s="301">
        <f>O348*1.15</f>
        <v>11257.993189102561</v>
      </c>
    </row>
    <row r="368" spans="1:15">
      <c r="A368" s="1036"/>
      <c r="B368" s="1035"/>
      <c r="C368" s="1036"/>
      <c r="D368" s="298">
        <v>2</v>
      </c>
      <c r="E368" s="301">
        <f t="shared" si="127"/>
        <v>501121.53303437511</v>
      </c>
      <c r="F368" s="301">
        <f t="shared" si="127"/>
        <v>50540.858547008545</v>
      </c>
      <c r="G368" s="301">
        <f t="shared" si="128"/>
        <v>4130.1172242521361</v>
      </c>
      <c r="H368" s="301">
        <f t="shared" si="128"/>
        <v>3970.7027777777776</v>
      </c>
      <c r="I368" s="301">
        <f t="shared" si="128"/>
        <v>4969.462698412699</v>
      </c>
      <c r="J368" s="301">
        <f t="shared" si="128"/>
        <v>5.1445333333333334</v>
      </c>
      <c r="K368" s="301">
        <f t="shared" si="129"/>
        <v>564737.81881515961</v>
      </c>
      <c r="L368" s="301">
        <f>K368*0.25</f>
        <v>141184.4547037899</v>
      </c>
      <c r="M368" s="315">
        <f t="shared" si="130"/>
        <v>705922.27351894951</v>
      </c>
      <c r="N368" s="301">
        <f>M368+M372</f>
        <v>781558.49487191776</v>
      </c>
      <c r="O368" s="301">
        <f>O349*1.15</f>
        <v>13383.544577991453</v>
      </c>
    </row>
    <row r="369" spans="1:15">
      <c r="A369" s="1036"/>
      <c r="B369" s="1035"/>
      <c r="C369" s="1036"/>
      <c r="D369" s="298">
        <v>3</v>
      </c>
      <c r="E369" s="301">
        <f t="shared" si="127"/>
        <v>591173.92820520839</v>
      </c>
      <c r="F369" s="301">
        <f t="shared" si="127"/>
        <v>60013.492094017085</v>
      </c>
      <c r="G369" s="301">
        <f t="shared" si="128"/>
        <v>4458.1521607905979</v>
      </c>
      <c r="H369" s="301">
        <f t="shared" si="128"/>
        <v>3970.7027777777776</v>
      </c>
      <c r="I369" s="301">
        <f t="shared" si="128"/>
        <v>5383.5804761904765</v>
      </c>
      <c r="J369" s="301">
        <f t="shared" si="128"/>
        <v>5.1445333333333334</v>
      </c>
      <c r="K369" s="301">
        <f t="shared" si="129"/>
        <v>665005.00024731772</v>
      </c>
      <c r="L369" s="301">
        <f>K369*0.25</f>
        <v>166251.25006182943</v>
      </c>
      <c r="M369" s="315">
        <f t="shared" si="130"/>
        <v>831256.25030914717</v>
      </c>
      <c r="N369" s="301">
        <f>M369+M373</f>
        <v>919123.41784438968</v>
      </c>
      <c r="O369" s="301">
        <f>O350*1.15</f>
        <v>15933.087206196578</v>
      </c>
    </row>
    <row r="370" spans="1:15">
      <c r="A370" s="1036"/>
      <c r="B370" s="1035"/>
      <c r="C370" s="1036"/>
      <c r="D370" s="298">
        <v>4</v>
      </c>
      <c r="E370" s="301">
        <f t="shared" si="127"/>
        <v>699314.75559305551</v>
      </c>
      <c r="F370" s="301">
        <f t="shared" si="127"/>
        <v>71380.65235042735</v>
      </c>
      <c r="G370" s="301">
        <f t="shared" si="128"/>
        <v>4864.9883100961533</v>
      </c>
      <c r="H370" s="301">
        <f t="shared" si="128"/>
        <v>3970.7027777777776</v>
      </c>
      <c r="I370" s="301">
        <f t="shared" si="128"/>
        <v>5797.0726984126986</v>
      </c>
      <c r="J370" s="301">
        <f t="shared" si="128"/>
        <v>5.1445333333333334</v>
      </c>
      <c r="K370" s="301">
        <f t="shared" si="129"/>
        <v>785333.31626310293</v>
      </c>
      <c r="L370" s="301">
        <f>K370*0.25</f>
        <v>196333.32906577573</v>
      </c>
      <c r="M370" s="315">
        <f t="shared" si="130"/>
        <v>981666.64532887866</v>
      </c>
      <c r="N370" s="301">
        <f>M370+M374</f>
        <v>1086047.3315441315</v>
      </c>
      <c r="O370" s="301">
        <f>O351*1.15</f>
        <v>18994.745352564099</v>
      </c>
    </row>
    <row r="371" spans="1:15">
      <c r="A371" s="1036"/>
      <c r="B371" s="1035" t="s">
        <v>192</v>
      </c>
      <c r="C371" s="1036" t="s">
        <v>21</v>
      </c>
      <c r="D371" s="298">
        <v>1</v>
      </c>
      <c r="E371" s="301">
        <f t="shared" ref="E371:F374" si="131">E352*1.1</f>
        <v>41054.260946111128</v>
      </c>
      <c r="F371" s="301">
        <f t="shared" si="131"/>
        <v>0</v>
      </c>
      <c r="G371" s="301">
        <f t="shared" si="128"/>
        <v>424.28791749762581</v>
      </c>
      <c r="H371" s="301">
        <f t="shared" si="128"/>
        <v>13138.755555555555</v>
      </c>
      <c r="I371" s="301">
        <f t="shared" si="128"/>
        <v>2211.2349761904761</v>
      </c>
      <c r="J371" s="301">
        <f t="shared" si="128"/>
        <v>1660.0024000000003</v>
      </c>
      <c r="K371" s="301">
        <f t="shared" si="129"/>
        <v>58488.541795354788</v>
      </c>
      <c r="L371" s="301">
        <f>K371*0.15</f>
        <v>8773.2812693032174</v>
      </c>
      <c r="M371" s="315">
        <f t="shared" si="130"/>
        <v>67261.823064658005</v>
      </c>
      <c r="N371" s="301"/>
      <c r="O371" s="301">
        <f>O352*1.1</f>
        <v>707.82155982905988</v>
      </c>
    </row>
    <row r="372" spans="1:15">
      <c r="A372" s="1036"/>
      <c r="B372" s="1035"/>
      <c r="C372" s="1036"/>
      <c r="D372" s="298">
        <v>2</v>
      </c>
      <c r="E372" s="301">
        <f t="shared" si="131"/>
        <v>47599.082245000012</v>
      </c>
      <c r="F372" s="301">
        <f t="shared" si="131"/>
        <v>0</v>
      </c>
      <c r="G372" s="301">
        <f t="shared" si="128"/>
        <v>456.10161448243116</v>
      </c>
      <c r="H372" s="301">
        <f t="shared" si="128"/>
        <v>13138.755555555555</v>
      </c>
      <c r="I372" s="301">
        <f t="shared" si="128"/>
        <v>2702.7173817460316</v>
      </c>
      <c r="J372" s="301">
        <f t="shared" si="128"/>
        <v>1873.9704666666671</v>
      </c>
      <c r="K372" s="301">
        <f t="shared" si="129"/>
        <v>65770.627263450689</v>
      </c>
      <c r="L372" s="301">
        <f>K372*0.15</f>
        <v>9865.5940895176027</v>
      </c>
      <c r="M372" s="315">
        <f t="shared" si="130"/>
        <v>75636.221352968292</v>
      </c>
      <c r="N372" s="301"/>
      <c r="O372" s="301">
        <f>O353*1.1</f>
        <v>893.11702991453012</v>
      </c>
    </row>
    <row r="373" spans="1:15">
      <c r="A373" s="1036"/>
      <c r="B373" s="1035"/>
      <c r="C373" s="1036"/>
      <c r="D373" s="298">
        <v>3</v>
      </c>
      <c r="E373" s="301">
        <f t="shared" si="131"/>
        <v>56429.129979444464</v>
      </c>
      <c r="F373" s="301">
        <f t="shared" si="131"/>
        <v>0</v>
      </c>
      <c r="G373" s="301">
        <f t="shared" si="128"/>
        <v>499.63614719848056</v>
      </c>
      <c r="H373" s="301">
        <f t="shared" si="128"/>
        <v>13138.755555555555</v>
      </c>
      <c r="I373" s="301">
        <f t="shared" si="128"/>
        <v>3365.4180238095232</v>
      </c>
      <c r="J373" s="301">
        <f t="shared" si="128"/>
        <v>2973.2929333333336</v>
      </c>
      <c r="K373" s="301">
        <f t="shared" si="129"/>
        <v>76406.232639341353</v>
      </c>
      <c r="L373" s="301">
        <f>K373*0.15</f>
        <v>11460.934895901202</v>
      </c>
      <c r="M373" s="315">
        <f t="shared" si="130"/>
        <v>87867.167535242552</v>
      </c>
      <c r="N373" s="301"/>
      <c r="O373" s="301">
        <f>O354*1.1</f>
        <v>1143.1113034188033</v>
      </c>
    </row>
    <row r="374" spans="1:15">
      <c r="A374" s="1036"/>
      <c r="B374" s="1035"/>
      <c r="C374" s="1036"/>
      <c r="D374" s="298">
        <v>4</v>
      </c>
      <c r="E374" s="301">
        <f t="shared" si="131"/>
        <v>68350.954656111149</v>
      </c>
      <c r="F374" s="301">
        <f t="shared" si="131"/>
        <v>0</v>
      </c>
      <c r="G374" s="301">
        <f t="shared" si="128"/>
        <v>558.24032585470081</v>
      </c>
      <c r="H374" s="301">
        <f t="shared" si="128"/>
        <v>13138.755555555555</v>
      </c>
      <c r="I374" s="301">
        <f t="shared" si="128"/>
        <v>4260.4469626984119</v>
      </c>
      <c r="J374" s="301">
        <f t="shared" si="128"/>
        <v>4457.4166000000005</v>
      </c>
      <c r="K374" s="301">
        <f t="shared" si="129"/>
        <v>90765.81410021981</v>
      </c>
      <c r="L374" s="301">
        <f>K374*0.15</f>
        <v>13614.872115032971</v>
      </c>
      <c r="M374" s="315">
        <f t="shared" si="130"/>
        <v>104380.68621525278</v>
      </c>
      <c r="N374" s="301"/>
      <c r="O374" s="301">
        <f>O355*1.1</f>
        <v>1480.6392521367525</v>
      </c>
    </row>
    <row r="375" spans="1:15">
      <c r="A375" s="298">
        <v>1</v>
      </c>
      <c r="B375" s="316" t="s">
        <v>57</v>
      </c>
      <c r="C375" s="300"/>
      <c r="D375" s="300"/>
      <c r="E375" s="301"/>
      <c r="F375" s="301"/>
      <c r="G375" s="301"/>
      <c r="H375" s="301"/>
      <c r="I375" s="301"/>
      <c r="J375" s="301"/>
      <c r="K375" s="301"/>
      <c r="L375" s="301"/>
      <c r="M375" s="315">
        <v>900</v>
      </c>
      <c r="N375" s="327" t="s">
        <v>21</v>
      </c>
      <c r="O375" s="301"/>
    </row>
    <row r="376" spans="1:15">
      <c r="A376" s="323" t="s">
        <v>359</v>
      </c>
      <c r="B376" s="324" t="str">
        <f>NhanCong!B$61</f>
        <v>Công tác chuẩn bị</v>
      </c>
      <c r="C376" s="319" t="s">
        <v>317</v>
      </c>
      <c r="D376" s="319" t="s">
        <v>622</v>
      </c>
      <c r="E376" s="301">
        <f>NhanCong!Y$61</f>
        <v>44029.983555555576</v>
      </c>
      <c r="F376" s="301">
        <f>NhanCong!Y$62</f>
        <v>2753.102564102564</v>
      </c>
      <c r="G376" s="320">
        <f>Dcu!Q$102*0.4</f>
        <v>646.39237713675209</v>
      </c>
      <c r="H376" s="320">
        <f>VLieu!O$66</f>
        <v>589.70833333333326</v>
      </c>
      <c r="I376" s="320"/>
      <c r="J376" s="320"/>
      <c r="K376" s="320">
        <f>SUM(E376:J376)</f>
        <v>48019.18683012823</v>
      </c>
      <c r="L376" s="320">
        <f>K376*0.25</f>
        <v>12004.796707532058</v>
      </c>
      <c r="M376" s="321">
        <f>K376+L376</f>
        <v>60023.983537660286</v>
      </c>
      <c r="N376" s="320"/>
      <c r="O376" s="320">
        <f>NhanCong!Z$61</f>
        <v>1204.4529914529915</v>
      </c>
    </row>
    <row r="377" spans="1:15">
      <c r="A377" s="1041" t="s">
        <v>269</v>
      </c>
      <c r="B377" s="1038" t="str">
        <f>NhanCong!B$63</f>
        <v>Lập lưới khống chế đo vẽ</v>
      </c>
      <c r="C377" s="1039" t="s">
        <v>317</v>
      </c>
      <c r="D377" s="319">
        <v>1</v>
      </c>
      <c r="E377" s="301">
        <f>NhanCong!Y$63</f>
        <v>29429.355312500007</v>
      </c>
      <c r="F377" s="301"/>
      <c r="G377" s="320">
        <f>Dcu!Q$82</f>
        <v>177.05517948717946</v>
      </c>
      <c r="H377" s="320">
        <f>VLieu!O$67</f>
        <v>393.13888888888891</v>
      </c>
      <c r="I377" s="320">
        <f>TBi!N$50</f>
        <v>476.09714285714284</v>
      </c>
      <c r="J377" s="332">
        <f>TBi!N$54</f>
        <v>5.1445333333333334</v>
      </c>
      <c r="K377" s="320">
        <f t="shared" ref="K377:K380" si="132">SUM(E377:J377)</f>
        <v>30480.791057066552</v>
      </c>
      <c r="L377" s="320">
        <f t="shared" ref="L377:L396" si="133">K377*0.25</f>
        <v>7620.1977642666379</v>
      </c>
      <c r="M377" s="321">
        <f t="shared" ref="M377:M396" si="134">K377+L377</f>
        <v>38100.988821333187</v>
      </c>
      <c r="N377" s="320"/>
      <c r="O377" s="320">
        <f>NhanCong!Z$63</f>
        <v>833.19711538461524</v>
      </c>
    </row>
    <row r="378" spans="1:15">
      <c r="A378" s="1041"/>
      <c r="B378" s="1038"/>
      <c r="C378" s="1039"/>
      <c r="D378" s="319">
        <v>2</v>
      </c>
      <c r="E378" s="301">
        <f>NhanCong!Y$64</f>
        <v>35324.773611111123</v>
      </c>
      <c r="F378" s="301"/>
      <c r="G378" s="320">
        <f>Dcu!Q$83</f>
        <v>212.97941880341878</v>
      </c>
      <c r="H378" s="320">
        <f>VLieu!O$67</f>
        <v>393.13888888888891</v>
      </c>
      <c r="I378" s="320">
        <f>TBi!O$50</f>
        <v>571.18158730158723</v>
      </c>
      <c r="J378" s="332">
        <f>TBi!O$54</f>
        <v>5.1445333333333334</v>
      </c>
      <c r="K378" s="320">
        <f t="shared" si="132"/>
        <v>36507.218039438354</v>
      </c>
      <c r="L378" s="320">
        <f t="shared" si="133"/>
        <v>9126.8045098595885</v>
      </c>
      <c r="M378" s="321">
        <f t="shared" si="134"/>
        <v>45634.022549297944</v>
      </c>
      <c r="N378" s="320"/>
      <c r="O378" s="320">
        <f>NhanCong!Z$64</f>
        <v>1000.1068376068375</v>
      </c>
    </row>
    <row r="379" spans="1:15">
      <c r="A379" s="1041"/>
      <c r="B379" s="1038"/>
      <c r="C379" s="1039"/>
      <c r="D379" s="319">
        <v>3</v>
      </c>
      <c r="E379" s="301">
        <f>NhanCong!Y$65</f>
        <v>42365.860243055562</v>
      </c>
      <c r="F379" s="301"/>
      <c r="G379" s="320">
        <f>Dcu!Q$84</f>
        <v>256.6017094017094</v>
      </c>
      <c r="H379" s="320">
        <f>VLieu!O$67</f>
        <v>393.13888888888891</v>
      </c>
      <c r="I379" s="320">
        <f>TBi!P$50</f>
        <v>618.09825396825397</v>
      </c>
      <c r="J379" s="332">
        <f>TBi!P$54</f>
        <v>5.1445333333333334</v>
      </c>
      <c r="K379" s="320">
        <f t="shared" si="132"/>
        <v>43638.843628647744</v>
      </c>
      <c r="L379" s="320">
        <f t="shared" si="133"/>
        <v>10909.710907161936</v>
      </c>
      <c r="M379" s="321">
        <f t="shared" si="134"/>
        <v>54548.554535809679</v>
      </c>
      <c r="N379" s="320"/>
      <c r="O379" s="320">
        <f>NhanCong!Z$65</f>
        <v>1199.4524572649573</v>
      </c>
    </row>
    <row r="380" spans="1:15">
      <c r="A380" s="1041"/>
      <c r="B380" s="1038"/>
      <c r="C380" s="1039"/>
      <c r="D380" s="319">
        <v>4</v>
      </c>
      <c r="E380" s="301">
        <f>NhanCong!Y$66</f>
        <v>50862.900381944455</v>
      </c>
      <c r="F380" s="301"/>
      <c r="G380" s="320">
        <f>Dcu!Q$85</f>
        <v>307.92205128205126</v>
      </c>
      <c r="H380" s="320">
        <f>VLieu!O$67</f>
        <v>393.13888888888891</v>
      </c>
      <c r="I380" s="320">
        <f>TBi!Q$50</f>
        <v>665.0149206349206</v>
      </c>
      <c r="J380" s="332">
        <f>TBi!Q$54</f>
        <v>5.1445333333333334</v>
      </c>
      <c r="K380" s="320">
        <f t="shared" si="132"/>
        <v>52234.120776083655</v>
      </c>
      <c r="L380" s="320">
        <f t="shared" si="133"/>
        <v>13058.530194020914</v>
      </c>
      <c r="M380" s="321">
        <f t="shared" si="134"/>
        <v>65292.650970104572</v>
      </c>
      <c r="N380" s="320"/>
      <c r="O380" s="320">
        <f>NhanCong!Z$66</f>
        <v>1440.0186965811968</v>
      </c>
    </row>
    <row r="381" spans="1:15">
      <c r="A381" s="1041" t="s">
        <v>36</v>
      </c>
      <c r="B381" s="1038" t="str">
        <f>NhanCong!B$68</f>
        <v>Xác định ranh giới thửa đất trên thực địa</v>
      </c>
      <c r="C381" s="1039" t="s">
        <v>317</v>
      </c>
      <c r="D381" s="319">
        <v>1</v>
      </c>
      <c r="E381" s="301">
        <f>NhanCong!Y$68</f>
        <v>78764.697916666686</v>
      </c>
      <c r="F381" s="301">
        <f>NhanCong!Y$69</f>
        <v>16676.282051282054</v>
      </c>
      <c r="G381" s="320">
        <f>Dcu!Q$103*0.4</f>
        <v>497.72213039529908</v>
      </c>
      <c r="H381" s="320">
        <f>VLieu!O$68</f>
        <v>982.84722222222217</v>
      </c>
      <c r="I381" s="320"/>
      <c r="J381" s="320"/>
      <c r="K381" s="320">
        <f>SUM(E381:J381)</f>
        <v>96921.549320566264</v>
      </c>
      <c r="L381" s="320">
        <f t="shared" si="133"/>
        <v>24230.387330141566</v>
      </c>
      <c r="M381" s="321">
        <f t="shared" si="134"/>
        <v>121151.93665070782</v>
      </c>
      <c r="N381" s="320"/>
      <c r="O381" s="320">
        <f>NhanCong!Z$68</f>
        <v>2229.9679487179487</v>
      </c>
    </row>
    <row r="382" spans="1:15">
      <c r="A382" s="1041"/>
      <c r="B382" s="1038"/>
      <c r="C382" s="1039"/>
      <c r="D382" s="319">
        <v>2</v>
      </c>
      <c r="E382" s="301">
        <f>NhanCong!Y$70</f>
        <v>94517.637500000012</v>
      </c>
      <c r="F382" s="301">
        <f>NhanCong!Y$71</f>
        <v>20011.538461538461</v>
      </c>
      <c r="G382" s="320">
        <f>Dcu!Q$104*0.4</f>
        <v>594.68098696581194</v>
      </c>
      <c r="H382" s="320">
        <f>VLieu!O$68</f>
        <v>982.84722222222217</v>
      </c>
      <c r="I382" s="320"/>
      <c r="J382" s="320"/>
      <c r="K382" s="320">
        <f t="shared" ref="K382:K396" si="135">SUM(E382:J382)</f>
        <v>116106.70417072652</v>
      </c>
      <c r="L382" s="320">
        <f t="shared" si="133"/>
        <v>29026.676042681629</v>
      </c>
      <c r="M382" s="321">
        <f t="shared" si="134"/>
        <v>145133.38021340815</v>
      </c>
      <c r="N382" s="320"/>
      <c r="O382" s="320">
        <f>NhanCong!Z$70</f>
        <v>2675.9615384615386</v>
      </c>
    </row>
    <row r="383" spans="1:15">
      <c r="A383" s="1041"/>
      <c r="B383" s="1038"/>
      <c r="C383" s="1039"/>
      <c r="D383" s="319">
        <v>3</v>
      </c>
      <c r="E383" s="301">
        <f>NhanCong!Y$72</f>
        <v>113421.16500000002</v>
      </c>
      <c r="F383" s="301">
        <f>NhanCong!Y$73</f>
        <v>24013.846153846156</v>
      </c>
      <c r="G383" s="320">
        <f>Dcu!Q$105*0.4</f>
        <v>646.39237713675209</v>
      </c>
      <c r="H383" s="320">
        <f>VLieu!O$68</f>
        <v>982.84722222222217</v>
      </c>
      <c r="I383" s="320"/>
      <c r="J383" s="320"/>
      <c r="K383" s="320">
        <f t="shared" si="135"/>
        <v>139064.25075320512</v>
      </c>
      <c r="L383" s="320">
        <f t="shared" si="133"/>
        <v>34766.062688301281</v>
      </c>
      <c r="M383" s="321">
        <f t="shared" si="134"/>
        <v>173830.31344150641</v>
      </c>
      <c r="N383" s="320"/>
      <c r="O383" s="320">
        <f>NhanCong!Z$72</f>
        <v>3211.1538461538457</v>
      </c>
    </row>
    <row r="384" spans="1:15">
      <c r="A384" s="1041"/>
      <c r="B384" s="1038"/>
      <c r="C384" s="1039"/>
      <c r="D384" s="319">
        <v>4</v>
      </c>
      <c r="E384" s="301">
        <f>NhanCong!Y$74</f>
        <v>136105.39800000002</v>
      </c>
      <c r="F384" s="301">
        <f>NhanCong!Y$75</f>
        <v>28816.615384615387</v>
      </c>
      <c r="G384" s="320">
        <f>Dcu!Q$106*0.4</f>
        <v>711.03161485042733</v>
      </c>
      <c r="H384" s="320">
        <f>VLieu!O$68</f>
        <v>982.84722222222217</v>
      </c>
      <c r="I384" s="320"/>
      <c r="J384" s="320"/>
      <c r="K384" s="320">
        <f t="shared" si="135"/>
        <v>166615.89222168803</v>
      </c>
      <c r="L384" s="320">
        <f t="shared" si="133"/>
        <v>41653.973055422008</v>
      </c>
      <c r="M384" s="321">
        <f t="shared" si="134"/>
        <v>208269.86527711005</v>
      </c>
      <c r="N384" s="320"/>
      <c r="O384" s="320">
        <f>NhanCong!Z$74</f>
        <v>3853.3846153846157</v>
      </c>
    </row>
    <row r="385" spans="1:15">
      <c r="A385" s="1041" t="s">
        <v>270</v>
      </c>
      <c r="B385" s="1038" t="str">
        <f>NhanCong!B$78</f>
        <v>Đo đạc ranh giới thửa đất và các đối tượng địa lý có liên quan</v>
      </c>
      <c r="C385" s="1039" t="s">
        <v>317</v>
      </c>
      <c r="D385" s="319" t="s">
        <v>18</v>
      </c>
      <c r="E385" s="301">
        <f>NhanCong!Y$78</f>
        <v>183736.55895833339</v>
      </c>
      <c r="F385" s="301">
        <f>NhanCong!Y$79</f>
        <v>6225.8119658119667</v>
      </c>
      <c r="G385" s="320">
        <f>Dcu!Q$103</f>
        <v>1244.3053259882477</v>
      </c>
      <c r="H385" s="320">
        <f>VLieu!O$69</f>
        <v>982.84722222222217</v>
      </c>
      <c r="I385" s="320">
        <f>TBi!N$74</f>
        <v>3666.3811111111108</v>
      </c>
      <c r="J385" s="320"/>
      <c r="K385" s="320">
        <f t="shared" si="135"/>
        <v>195855.90458346694</v>
      </c>
      <c r="L385" s="320">
        <f t="shared" si="133"/>
        <v>48963.976145866734</v>
      </c>
      <c r="M385" s="321">
        <f t="shared" si="134"/>
        <v>244819.88072933367</v>
      </c>
      <c r="N385" s="320"/>
      <c r="O385" s="320">
        <f>NhanCong!Z$78</f>
        <v>5201.9070512820508</v>
      </c>
    </row>
    <row r="386" spans="1:15">
      <c r="A386" s="1041"/>
      <c r="B386" s="1038"/>
      <c r="C386" s="1039"/>
      <c r="D386" s="319" t="s">
        <v>20</v>
      </c>
      <c r="E386" s="301">
        <f>NhanCong!Y$80</f>
        <v>220469.54989583339</v>
      </c>
      <c r="F386" s="301">
        <f>NhanCong!Y$81</f>
        <v>7470.9743589743603</v>
      </c>
      <c r="G386" s="320">
        <f>Dcu!Q$104</f>
        <v>1486.7024674145298</v>
      </c>
      <c r="H386" s="320">
        <f>VLieu!O$69</f>
        <v>982.84722222222217</v>
      </c>
      <c r="I386" s="320">
        <f>TBi!O$74</f>
        <v>4398.2811111111114</v>
      </c>
      <c r="J386" s="320"/>
      <c r="K386" s="320">
        <f t="shared" si="135"/>
        <v>234808.35505555561</v>
      </c>
      <c r="L386" s="320">
        <f t="shared" si="133"/>
        <v>58702.088763888903</v>
      </c>
      <c r="M386" s="321">
        <f t="shared" si="134"/>
        <v>293510.44381944451</v>
      </c>
      <c r="N386" s="320"/>
      <c r="O386" s="320">
        <f>NhanCong!Z$80</f>
        <v>6241.8830128205127</v>
      </c>
    </row>
    <row r="387" spans="1:15">
      <c r="A387" s="1041"/>
      <c r="B387" s="1038"/>
      <c r="C387" s="1039"/>
      <c r="D387" s="319" t="s">
        <v>35</v>
      </c>
      <c r="E387" s="301">
        <f>NhanCong!Y$82</f>
        <v>264553.91263888893</v>
      </c>
      <c r="F387" s="301">
        <f>NhanCong!Y$83</f>
        <v>8964.764957264957</v>
      </c>
      <c r="G387" s="320">
        <f>Dcu!Q$105</f>
        <v>1615.9809428418801</v>
      </c>
      <c r="H387" s="320">
        <f>VLieu!O$69</f>
        <v>982.84722222222217</v>
      </c>
      <c r="I387" s="320">
        <f>TBi!P$74</f>
        <v>4765.4822222222228</v>
      </c>
      <c r="J387" s="320"/>
      <c r="K387" s="320">
        <f t="shared" si="135"/>
        <v>280882.98798344017</v>
      </c>
      <c r="L387" s="320">
        <f t="shared" si="133"/>
        <v>70220.746995860041</v>
      </c>
      <c r="M387" s="321">
        <f t="shared" si="134"/>
        <v>351103.73497930018</v>
      </c>
      <c r="N387" s="320"/>
      <c r="O387" s="320">
        <f>NhanCong!Z$82</f>
        <v>7489.9893162393164</v>
      </c>
    </row>
    <row r="388" spans="1:15">
      <c r="A388" s="1041"/>
      <c r="B388" s="1038"/>
      <c r="C388" s="1039"/>
      <c r="D388" s="319" t="s">
        <v>33</v>
      </c>
      <c r="E388" s="301">
        <f>NhanCong!Y$84</f>
        <v>317469.46878472227</v>
      </c>
      <c r="F388" s="301">
        <f>NhanCong!Y$85</f>
        <v>10757.717948717949</v>
      </c>
      <c r="G388" s="320">
        <f>Dcu!Q$106</f>
        <v>1777.5790371260682</v>
      </c>
      <c r="H388" s="320">
        <f>VLieu!O$69</f>
        <v>982.84722222222217</v>
      </c>
      <c r="I388" s="320">
        <f>TBi!Q$74</f>
        <v>5132.057777777778</v>
      </c>
      <c r="J388" s="320"/>
      <c r="K388" s="320">
        <f t="shared" si="135"/>
        <v>336119.67077056633</v>
      </c>
      <c r="L388" s="320">
        <f t="shared" si="133"/>
        <v>84029.917692641582</v>
      </c>
      <c r="M388" s="321">
        <f t="shared" si="134"/>
        <v>420149.58846320794</v>
      </c>
      <c r="N388" s="320"/>
      <c r="O388" s="320">
        <f>NhanCong!Z$84</f>
        <v>8988.1223290598282</v>
      </c>
    </row>
    <row r="389" spans="1:15">
      <c r="A389" s="1041" t="s">
        <v>363</v>
      </c>
      <c r="B389" s="1038" t="str">
        <f>NhanCong!B$88</f>
        <v>Đối soát, kiểm tra</v>
      </c>
      <c r="C389" s="1039" t="s">
        <v>317</v>
      </c>
      <c r="D389" s="319" t="s">
        <v>18</v>
      </c>
      <c r="E389" s="301">
        <f>NhanCong!Y$88</f>
        <v>12549.841868055559</v>
      </c>
      <c r="F389" s="301">
        <f>NhanCong!Y$89</f>
        <v>2126.4786324786323</v>
      </c>
      <c r="G389" s="320">
        <f>Dcu!Q$103*0.4</f>
        <v>497.72213039529908</v>
      </c>
      <c r="H389" s="320">
        <f>VLieu!O$70</f>
        <v>511.08055555555552</v>
      </c>
      <c r="I389" s="320"/>
      <c r="J389" s="320"/>
      <c r="K389" s="320">
        <f t="shared" si="135"/>
        <v>15685.123186485047</v>
      </c>
      <c r="L389" s="320">
        <f t="shared" si="133"/>
        <v>3921.2807966212617</v>
      </c>
      <c r="M389" s="321">
        <f t="shared" si="134"/>
        <v>19606.403983106309</v>
      </c>
      <c r="N389" s="320"/>
      <c r="O389" s="320">
        <f>NhanCong!Z$88</f>
        <v>355.30822649572644</v>
      </c>
    </row>
    <row r="390" spans="1:15">
      <c r="A390" s="1041"/>
      <c r="B390" s="1038"/>
      <c r="C390" s="1039"/>
      <c r="D390" s="319" t="s">
        <v>20</v>
      </c>
      <c r="E390" s="301">
        <f>NhanCong!Y$90</f>
        <v>15060.764965277782</v>
      </c>
      <c r="F390" s="301">
        <f>NhanCong!Y$91</f>
        <v>2552.9871794871801</v>
      </c>
      <c r="G390" s="320">
        <f>Dcu!Q$104*0.4</f>
        <v>594.68098696581194</v>
      </c>
      <c r="H390" s="320">
        <f>VLieu!O$70</f>
        <v>511.08055555555552</v>
      </c>
      <c r="I390" s="320"/>
      <c r="J390" s="320"/>
      <c r="K390" s="320">
        <f t="shared" si="135"/>
        <v>18719.513687286333</v>
      </c>
      <c r="L390" s="320">
        <f t="shared" si="133"/>
        <v>4679.8784218215833</v>
      </c>
      <c r="M390" s="321">
        <f t="shared" si="134"/>
        <v>23399.392109107917</v>
      </c>
      <c r="N390" s="320"/>
      <c r="O390" s="320">
        <f>NhanCong!Z$90</f>
        <v>426.39690170940173</v>
      </c>
    </row>
    <row r="391" spans="1:15">
      <c r="A391" s="1041"/>
      <c r="B391" s="1038"/>
      <c r="C391" s="1039"/>
      <c r="D391" s="319" t="s">
        <v>35</v>
      </c>
      <c r="E391" s="301">
        <f>NhanCong!Y$92</f>
        <v>18068.14434027778</v>
      </c>
      <c r="F391" s="301">
        <f>NhanCong!Y$93</f>
        <v>3062.3717948717949</v>
      </c>
      <c r="G391" s="320">
        <f>Dcu!Q$105*0.4</f>
        <v>646.39237713675209</v>
      </c>
      <c r="H391" s="320">
        <f>VLieu!O$70</f>
        <v>511.08055555555552</v>
      </c>
      <c r="I391" s="320"/>
      <c r="J391" s="320"/>
      <c r="K391" s="320">
        <f t="shared" si="135"/>
        <v>22287.989067841885</v>
      </c>
      <c r="L391" s="320">
        <f t="shared" si="133"/>
        <v>5571.9972669604713</v>
      </c>
      <c r="M391" s="321">
        <f t="shared" si="134"/>
        <v>27859.986334802357</v>
      </c>
      <c r="N391" s="320"/>
      <c r="O391" s="320">
        <f>NhanCong!Z$92</f>
        <v>511.54113247863251</v>
      </c>
    </row>
    <row r="392" spans="1:15">
      <c r="A392" s="1041"/>
      <c r="B392" s="1038"/>
      <c r="C392" s="1039"/>
      <c r="D392" s="319" t="s">
        <v>33</v>
      </c>
      <c r="E392" s="301">
        <f>NhanCong!Y$94</f>
        <v>21681.773208333336</v>
      </c>
      <c r="F392" s="301">
        <f>NhanCong!Y$95</f>
        <v>3672.8247863247871</v>
      </c>
      <c r="G392" s="320">
        <f>Dcu!Q$106*0.4</f>
        <v>711.03161485042733</v>
      </c>
      <c r="H392" s="320">
        <f>VLieu!O$70</f>
        <v>511.08055555555552</v>
      </c>
      <c r="I392" s="320"/>
      <c r="J392" s="320"/>
      <c r="K392" s="320">
        <f t="shared" si="135"/>
        <v>26576.710165064105</v>
      </c>
      <c r="L392" s="320">
        <f t="shared" si="133"/>
        <v>6644.1775412660263</v>
      </c>
      <c r="M392" s="321">
        <f t="shared" si="134"/>
        <v>33220.887706330133</v>
      </c>
      <c r="N392" s="320"/>
      <c r="O392" s="320">
        <f>NhanCong!Z$94</f>
        <v>613.84935897435889</v>
      </c>
    </row>
    <row r="393" spans="1:15" ht="12.75" customHeight="1">
      <c r="A393" s="1041" t="s">
        <v>364</v>
      </c>
      <c r="B393" s="1038" t="str">
        <f>NhanCong!B$98</f>
        <v>Giao nhận Phiếu kết quả đo đạc hiện trạng thửa đất</v>
      </c>
      <c r="C393" s="1039" t="s">
        <v>317</v>
      </c>
      <c r="D393" s="319" t="s">
        <v>18</v>
      </c>
      <c r="E393" s="301">
        <f>NhanCong!Y$98</f>
        <v>21963.416673611111</v>
      </c>
      <c r="F393" s="301">
        <f>NhanCong!Y$99</f>
        <v>9300.3119658119667</v>
      </c>
      <c r="G393" s="320">
        <f>Dcu!Q$103*0.4</f>
        <v>497.72213039529908</v>
      </c>
      <c r="H393" s="320">
        <f>VLieu!O$71</f>
        <v>511.08055555555552</v>
      </c>
      <c r="I393" s="320"/>
      <c r="J393" s="320"/>
      <c r="K393" s="320">
        <f t="shared" si="135"/>
        <v>32272.53132537393</v>
      </c>
      <c r="L393" s="320">
        <f t="shared" si="133"/>
        <v>8068.1328313434824</v>
      </c>
      <c r="M393" s="321">
        <f t="shared" si="134"/>
        <v>40340.664156717408</v>
      </c>
      <c r="N393" s="320"/>
      <c r="O393" s="320">
        <f>NhanCong!Z$98</f>
        <v>621.82318376068361</v>
      </c>
    </row>
    <row r="394" spans="1:15">
      <c r="A394" s="1041"/>
      <c r="B394" s="1038"/>
      <c r="C394" s="1039"/>
      <c r="D394" s="319" t="s">
        <v>20</v>
      </c>
      <c r="E394" s="301">
        <f>NhanCong!Y$100</f>
        <v>26355.145284722228</v>
      </c>
      <c r="F394" s="301">
        <f>NhanCong!Y$101</f>
        <v>11159.970085470086</v>
      </c>
      <c r="G394" s="320">
        <f>Dcu!Q$104*0.4</f>
        <v>594.68098696581194</v>
      </c>
      <c r="H394" s="320">
        <f>VLieu!O$71</f>
        <v>511.08055555555552</v>
      </c>
      <c r="I394" s="320"/>
      <c r="J394" s="320"/>
      <c r="K394" s="320">
        <f t="shared" si="135"/>
        <v>38620.876912713684</v>
      </c>
      <c r="L394" s="320">
        <f t="shared" si="133"/>
        <v>9655.219228178421</v>
      </c>
      <c r="M394" s="321">
        <f t="shared" si="134"/>
        <v>48276.096140892107</v>
      </c>
      <c r="N394" s="320"/>
      <c r="O394" s="320">
        <f>NhanCong!Z$100</f>
        <v>746.16079059829053</v>
      </c>
    </row>
    <row r="395" spans="1:15">
      <c r="A395" s="1041"/>
      <c r="B395" s="1038"/>
      <c r="C395" s="1039"/>
      <c r="D395" s="319" t="s">
        <v>35</v>
      </c>
      <c r="E395" s="301">
        <f>NhanCong!Y$102</f>
        <v>31625.219618055558</v>
      </c>
      <c r="F395" s="301">
        <f>NhanCong!Y$103</f>
        <v>13391.559829059832</v>
      </c>
      <c r="G395" s="320">
        <f>Dcu!Q$105*0.4</f>
        <v>646.39237713675209</v>
      </c>
      <c r="H395" s="320">
        <f>VLieu!O$71</f>
        <v>511.08055555555552</v>
      </c>
      <c r="I395" s="320"/>
      <c r="J395" s="320"/>
      <c r="K395" s="320">
        <f t="shared" si="135"/>
        <v>46174.252379807702</v>
      </c>
      <c r="L395" s="320">
        <f t="shared" si="133"/>
        <v>11543.563094951925</v>
      </c>
      <c r="M395" s="321">
        <f t="shared" si="134"/>
        <v>57717.815474759627</v>
      </c>
      <c r="N395" s="320"/>
      <c r="O395" s="320">
        <f>NhanCong!Z$102</f>
        <v>895.36591880341871</v>
      </c>
    </row>
    <row r="396" spans="1:15">
      <c r="A396" s="1041"/>
      <c r="B396" s="1038"/>
      <c r="C396" s="1039"/>
      <c r="D396" s="319" t="s">
        <v>33</v>
      </c>
      <c r="E396" s="301">
        <f>NhanCong!Y$104</f>
        <v>37950.263541666674</v>
      </c>
      <c r="F396" s="301">
        <f>NhanCong!Y$105</f>
        <v>16069.871794871795</v>
      </c>
      <c r="G396" s="320">
        <f>Dcu!Q$106*0.4</f>
        <v>711.03161485042733</v>
      </c>
      <c r="H396" s="320">
        <f>VLieu!O$71</f>
        <v>511.08055555555552</v>
      </c>
      <c r="I396" s="320"/>
      <c r="J396" s="320"/>
      <c r="K396" s="320">
        <f t="shared" si="135"/>
        <v>55242.247506944455</v>
      </c>
      <c r="L396" s="320">
        <f t="shared" si="133"/>
        <v>13810.561876736114</v>
      </c>
      <c r="M396" s="321">
        <f t="shared" si="134"/>
        <v>69052.809383680564</v>
      </c>
      <c r="N396" s="320"/>
      <c r="O396" s="320">
        <f>NhanCong!Z$104</f>
        <v>1074.4391025641025</v>
      </c>
    </row>
    <row r="397" spans="1:15">
      <c r="A397" s="298">
        <v>2</v>
      </c>
      <c r="B397" s="316" t="s">
        <v>58</v>
      </c>
      <c r="C397" s="319" t="s">
        <v>43</v>
      </c>
      <c r="D397" s="319"/>
      <c r="E397" s="301">
        <f>NhanCong!Y$108</f>
        <v>0</v>
      </c>
      <c r="F397" s="301"/>
      <c r="G397" s="320"/>
      <c r="H397" s="320"/>
      <c r="I397" s="320"/>
      <c r="J397" s="320"/>
      <c r="K397" s="320">
        <f>E397+F397+G397+I397+J397</f>
        <v>0</v>
      </c>
      <c r="L397" s="320"/>
      <c r="M397" s="321"/>
      <c r="N397" s="320"/>
      <c r="O397" s="320"/>
    </row>
    <row r="398" spans="1:15">
      <c r="A398" s="1041" t="s">
        <v>268</v>
      </c>
      <c r="B398" s="1038" t="str">
        <f>NhanCong!B$109</f>
        <v>Biên tập bản đồ địa chính</v>
      </c>
      <c r="C398" s="1039" t="s">
        <v>317</v>
      </c>
      <c r="D398" s="319" t="s">
        <v>18</v>
      </c>
      <c r="E398" s="301">
        <f>NhanCong!Y$109</f>
        <v>16994.080277777779</v>
      </c>
      <c r="F398" s="301"/>
      <c r="G398" s="320">
        <f>Dcu!Q$123</f>
        <v>92.092280745489091</v>
      </c>
      <c r="H398" s="320">
        <f>VLieu!O$90</f>
        <v>3991.5333333333333</v>
      </c>
      <c r="I398" s="320">
        <f>TBi!N$115</f>
        <v>1405.8866095238097</v>
      </c>
      <c r="J398" s="320">
        <f>TBi!N$121</f>
        <v>606.65920000000006</v>
      </c>
      <c r="K398" s="320">
        <f>SUM(E398:J398)</f>
        <v>23090.25170138041</v>
      </c>
      <c r="L398" s="320">
        <f>K398*0.15</f>
        <v>3463.5377552070613</v>
      </c>
      <c r="M398" s="321">
        <f>K398+L398</f>
        <v>26553.78945658747</v>
      </c>
      <c r="N398" s="320"/>
      <c r="O398" s="320">
        <f>NhanCong!Z$109</f>
        <v>481.13247863247864</v>
      </c>
    </row>
    <row r="399" spans="1:15">
      <c r="A399" s="1041"/>
      <c r="B399" s="1038"/>
      <c r="C399" s="1039"/>
      <c r="D399" s="319" t="s">
        <v>20</v>
      </c>
      <c r="E399" s="301">
        <f>NhanCong!Y$110</f>
        <v>22943.917822222225</v>
      </c>
      <c r="F399" s="301"/>
      <c r="G399" s="320">
        <f>Dcu!Q$124</f>
        <v>123.9059777302944</v>
      </c>
      <c r="H399" s="320">
        <f>VLieu!O$90</f>
        <v>3991.5333333333333</v>
      </c>
      <c r="I399" s="320">
        <f>TBi!O$115</f>
        <v>1897.3690150793648</v>
      </c>
      <c r="J399" s="320">
        <f>TBi!O$121</f>
        <v>820.62726666666674</v>
      </c>
      <c r="K399" s="320">
        <f>SUM(E399:J399)</f>
        <v>29777.353415031885</v>
      </c>
      <c r="L399" s="320">
        <f>K399*0.15</f>
        <v>4466.6030122547827</v>
      </c>
      <c r="M399" s="321">
        <f>K399+L399</f>
        <v>34243.95642728667</v>
      </c>
      <c r="N399" s="320"/>
      <c r="O399" s="320">
        <f>NhanCong!Z$110</f>
        <v>649.58290598290603</v>
      </c>
    </row>
    <row r="400" spans="1:15">
      <c r="A400" s="1041"/>
      <c r="B400" s="1038"/>
      <c r="C400" s="1039"/>
      <c r="D400" s="319" t="s">
        <v>35</v>
      </c>
      <c r="E400" s="301">
        <f>NhanCong!Y$111</f>
        <v>30971.233944444448</v>
      </c>
      <c r="F400" s="301"/>
      <c r="G400" s="320">
        <f>Dcu!Q$125</f>
        <v>167.44051044634378</v>
      </c>
      <c r="H400" s="320">
        <f>VLieu!O$90</f>
        <v>3991.5333333333333</v>
      </c>
      <c r="I400" s="320">
        <f>TBi!P$115</f>
        <v>2560.0696571428566</v>
      </c>
      <c r="J400" s="320">
        <f>TBi!P$121</f>
        <v>1919.9497333333334</v>
      </c>
      <c r="K400" s="320">
        <f>SUM(E400:J400)</f>
        <v>39610.227178700319</v>
      </c>
      <c r="L400" s="320">
        <f>K400*0.15</f>
        <v>5941.5340768050473</v>
      </c>
      <c r="M400" s="321">
        <f>K400+L400</f>
        <v>45551.761255505364</v>
      </c>
      <c r="N400" s="320"/>
      <c r="O400" s="320">
        <f>NhanCong!Z$111</f>
        <v>876.85042735042725</v>
      </c>
    </row>
    <row r="401" spans="1:15">
      <c r="A401" s="1041"/>
      <c r="B401" s="1038"/>
      <c r="C401" s="1039"/>
      <c r="D401" s="319" t="s">
        <v>33</v>
      </c>
      <c r="E401" s="301">
        <f>NhanCong!Y$112</f>
        <v>41809.25637777779</v>
      </c>
      <c r="F401" s="301"/>
      <c r="G401" s="320">
        <f>Dcu!Q$126</f>
        <v>226.04468910256412</v>
      </c>
      <c r="H401" s="320">
        <f>VLieu!O$90</f>
        <v>3991.5333333333333</v>
      </c>
      <c r="I401" s="320">
        <f>TBi!Q$115</f>
        <v>3455.0985960317457</v>
      </c>
      <c r="J401" s="320">
        <f>TBi!Q$121</f>
        <v>3404.0734000000002</v>
      </c>
      <c r="K401" s="320">
        <f>SUM(E401:J401)</f>
        <v>52886.006396245437</v>
      </c>
      <c r="L401" s="320">
        <f>K401*0.15</f>
        <v>7932.9009594368154</v>
      </c>
      <c r="M401" s="321">
        <f>K401+L401</f>
        <v>60818.907355682255</v>
      </c>
      <c r="N401" s="320"/>
      <c r="O401" s="320">
        <f>NhanCong!Z$112</f>
        <v>1183.6940170940172</v>
      </c>
    </row>
    <row r="402" spans="1:15" ht="26">
      <c r="A402" s="323">
        <v>2.2000000000000002</v>
      </c>
      <c r="B402" s="324" t="str">
        <f>NhanCong!B$114</f>
        <v>Lập Phiếu xác nhận kết quả đo đạc hiện trạng thửa đất</v>
      </c>
      <c r="C402" s="319" t="s">
        <v>317</v>
      </c>
      <c r="D402" s="319" t="s">
        <v>15</v>
      </c>
      <c r="E402" s="301">
        <f>NhanCong!Y$114</f>
        <v>7561.4110000000019</v>
      </c>
      <c r="F402" s="301"/>
      <c r="G402" s="320">
        <f>Dcu!Q$138</f>
        <v>78.563702754036086</v>
      </c>
      <c r="H402" s="320">
        <f>VLieu!O$91</f>
        <v>3265.7999999999997</v>
      </c>
      <c r="I402" s="320">
        <f>TBi!N$146</f>
        <v>475.39261507936516</v>
      </c>
      <c r="J402" s="320">
        <f>TBi!N$149</f>
        <v>623.23053333333337</v>
      </c>
      <c r="K402" s="320">
        <f t="shared" ref="K402:K407" si="136">SUM(E402:J402)</f>
        <v>12004.397851166736</v>
      </c>
      <c r="L402" s="320">
        <f t="shared" ref="L402:L407" si="137">K402*0.15</f>
        <v>1800.6596776750102</v>
      </c>
      <c r="M402" s="321">
        <f t="shared" ref="M402:M407" si="138">K402+L402</f>
        <v>13805.057528841746</v>
      </c>
      <c r="N402" s="320"/>
      <c r="O402" s="320">
        <f>NhanCong!Z$114</f>
        <v>214.07692307692309</v>
      </c>
    </row>
    <row r="403" spans="1:15" ht="26">
      <c r="A403" s="323" t="s">
        <v>246</v>
      </c>
      <c r="B403" s="324" t="str">
        <f>NhanCong!B$115</f>
        <v>Công khai bản đồ địa chính, Hoàn thiện bản đồ địa chính</v>
      </c>
      <c r="C403" s="319" t="s">
        <v>317</v>
      </c>
      <c r="D403" s="319" t="s">
        <v>15</v>
      </c>
      <c r="E403" s="301">
        <f>NhanCong!Y$115</f>
        <v>9730.5430444444464</v>
      </c>
      <c r="F403" s="301"/>
      <c r="G403" s="320">
        <f>Dcu!Q$130</f>
        <v>63.627393969610637</v>
      </c>
      <c r="H403" s="320">
        <f>VLieu!O$94</f>
        <v>1451.4666666666667</v>
      </c>
      <c r="I403" s="320">
        <f>TBi!N$172</f>
        <v>318.65442460317456</v>
      </c>
      <c r="J403" s="320">
        <f>TBi!N$175</f>
        <v>417.89440000000002</v>
      </c>
      <c r="K403" s="320">
        <f t="shared" si="136"/>
        <v>11982.185929683899</v>
      </c>
      <c r="L403" s="320">
        <f t="shared" si="137"/>
        <v>1797.3278894525849</v>
      </c>
      <c r="M403" s="321">
        <f t="shared" si="138"/>
        <v>13779.513819136484</v>
      </c>
      <c r="N403" s="320"/>
      <c r="O403" s="320">
        <f>NhanCong!Z$115</f>
        <v>275.48888888888888</v>
      </c>
    </row>
    <row r="404" spans="1:15">
      <c r="A404" s="323">
        <v>2.4</v>
      </c>
      <c r="B404" s="324" t="str">
        <f>NhanCong!B$116</f>
        <v>Lập sổ mục kê đất đai phạm vi khu đo</v>
      </c>
      <c r="C404" s="319" t="s">
        <v>317</v>
      </c>
      <c r="D404" s="319" t="s">
        <v>15</v>
      </c>
      <c r="E404" s="301">
        <f>NhanCong!Y$116</f>
        <v>763.77888888888901</v>
      </c>
      <c r="F404" s="301"/>
      <c r="G404" s="320">
        <f>Dcu!Q$140</f>
        <v>50.232153133903132</v>
      </c>
      <c r="H404" s="320">
        <f>VLieu!O$94</f>
        <v>1451.4666666666667</v>
      </c>
      <c r="I404" s="320"/>
      <c r="J404" s="320"/>
      <c r="K404" s="320">
        <f t="shared" si="136"/>
        <v>2265.4777086894587</v>
      </c>
      <c r="L404" s="320">
        <f t="shared" si="137"/>
        <v>339.82165630341882</v>
      </c>
      <c r="M404" s="321">
        <f t="shared" si="138"/>
        <v>2605.2993649928776</v>
      </c>
      <c r="N404" s="320"/>
      <c r="O404" s="320">
        <f>NhanCong!Z$116</f>
        <v>21.623931623931622</v>
      </c>
    </row>
    <row r="405" spans="1:15" ht="39">
      <c r="A405" s="323">
        <v>2.5</v>
      </c>
      <c r="B405" s="324" t="str">
        <f>NhanCong!B$117</f>
        <v>In sản phẩm đo đạc lập bản đồ địa chính gồm sản phẩm chính và sản phẩm trung gian</v>
      </c>
      <c r="C405" s="319" t="s">
        <v>317</v>
      </c>
      <c r="D405" s="319" t="s">
        <v>15</v>
      </c>
      <c r="E405" s="301">
        <f>NhanCong!Y$117</f>
        <v>324.60602777777785</v>
      </c>
      <c r="F405" s="301"/>
      <c r="G405" s="320">
        <f>Dcu!Q$152</f>
        <v>85.276413105413098</v>
      </c>
      <c r="H405" s="320">
        <f>VLieu!O$102</f>
        <v>75.555555555555557</v>
      </c>
      <c r="I405" s="320">
        <f>TBi!N$202</f>
        <v>11.301326984126984</v>
      </c>
      <c r="J405" s="320">
        <f>TBi!N$206</f>
        <v>12.218266666666667</v>
      </c>
      <c r="K405" s="320">
        <f t="shared" si="136"/>
        <v>508.95759008954019</v>
      </c>
      <c r="L405" s="320">
        <f t="shared" si="137"/>
        <v>76.343638513431031</v>
      </c>
      <c r="M405" s="321">
        <f t="shared" si="138"/>
        <v>585.30122860297126</v>
      </c>
      <c r="N405" s="320"/>
      <c r="O405" s="320">
        <f>NhanCong!Z$117</f>
        <v>9.1901709401709404</v>
      </c>
    </row>
    <row r="406" spans="1:15">
      <c r="A406" s="300">
        <v>2.6</v>
      </c>
      <c r="B406" s="324" t="str">
        <f>NhanCong!B$118</f>
        <v>Trình ký xác nhận hồ sơ</v>
      </c>
      <c r="C406" s="319" t="s">
        <v>317</v>
      </c>
      <c r="D406" s="319" t="s">
        <v>15</v>
      </c>
      <c r="E406" s="301">
        <f>NhanCong!Y$118</f>
        <v>649.21205555555571</v>
      </c>
      <c r="F406" s="301"/>
      <c r="G406" s="320">
        <f>Dcu!Q$140</f>
        <v>50.232153133903132</v>
      </c>
      <c r="H406" s="320">
        <f>VLieu!O$94</f>
        <v>1451.4666666666667</v>
      </c>
      <c r="I406" s="320"/>
      <c r="J406" s="320"/>
      <c r="K406" s="320">
        <f t="shared" si="136"/>
        <v>2150.9108753561254</v>
      </c>
      <c r="L406" s="320">
        <f t="shared" si="137"/>
        <v>322.63663130341882</v>
      </c>
      <c r="M406" s="321">
        <f t="shared" si="138"/>
        <v>2473.5475066595441</v>
      </c>
      <c r="N406" s="320"/>
      <c r="O406" s="320">
        <f>NhanCong!Z$118</f>
        <v>18.380341880341881</v>
      </c>
    </row>
    <row r="407" spans="1:15" ht="26">
      <c r="A407" s="300">
        <v>2.7</v>
      </c>
      <c r="B407" s="324" t="str">
        <f>NhanCong!B$119</f>
        <v>Giao nộp sản phẩm đo đạc lập bản đồ địa chính</v>
      </c>
      <c r="C407" s="319" t="s">
        <v>317</v>
      </c>
      <c r="D407" s="319" t="s">
        <v>15</v>
      </c>
      <c r="E407" s="301">
        <f>NhanCong!Y$119</f>
        <v>1298.4241111111114</v>
      </c>
      <c r="F407" s="301"/>
      <c r="G407" s="320">
        <f>Dcu!Q$154</f>
        <v>4.2638206552706555</v>
      </c>
      <c r="H407" s="320">
        <f>VLieu!O$94</f>
        <v>1451.4666666666667</v>
      </c>
      <c r="I407" s="320"/>
      <c r="J407" s="320"/>
      <c r="K407" s="320">
        <f t="shared" si="136"/>
        <v>2754.1545984330487</v>
      </c>
      <c r="L407" s="320">
        <f t="shared" si="137"/>
        <v>413.12318976495732</v>
      </c>
      <c r="M407" s="321">
        <f t="shared" si="138"/>
        <v>3167.277788198006</v>
      </c>
      <c r="N407" s="320"/>
      <c r="O407" s="320">
        <f>NhanCong!Z$119</f>
        <v>36.760683760683762</v>
      </c>
    </row>
    <row r="408" spans="1:15">
      <c r="A408" s="298" t="s">
        <v>37</v>
      </c>
      <c r="B408" s="316" t="s">
        <v>422</v>
      </c>
      <c r="C408" s="300"/>
      <c r="D408" s="300"/>
      <c r="E408" s="301"/>
      <c r="F408" s="301"/>
      <c r="G408" s="301"/>
      <c r="H408" s="301"/>
      <c r="I408" s="301"/>
      <c r="J408" s="301"/>
      <c r="K408" s="301"/>
      <c r="L408" s="301"/>
      <c r="M408" s="315">
        <v>3600</v>
      </c>
      <c r="N408" s="301" t="s">
        <v>21</v>
      </c>
      <c r="O408" s="301"/>
    </row>
    <row r="409" spans="1:15" s="308" customFormat="1" ht="13.5" customHeight="1">
      <c r="A409" s="1036"/>
      <c r="B409" s="1035" t="s">
        <v>190</v>
      </c>
      <c r="C409" s="1036" t="s">
        <v>21</v>
      </c>
      <c r="D409" s="298">
        <v>1</v>
      </c>
      <c r="E409" s="301">
        <f t="shared" ref="E409:J409" si="139">SUM(E$437,E438,E442,E446,E450,E454)</f>
        <v>178760.5795555556</v>
      </c>
      <c r="F409" s="301">
        <f t="shared" si="139"/>
        <v>18991.253205128207</v>
      </c>
      <c r="G409" s="301">
        <f t="shared" si="139"/>
        <v>1543.4713166547956</v>
      </c>
      <c r="H409" s="301">
        <f t="shared" si="139"/>
        <v>1353.2316666666666</v>
      </c>
      <c r="I409" s="301">
        <f t="shared" si="139"/>
        <v>1882.7924603174604</v>
      </c>
      <c r="J409" s="301">
        <f t="shared" si="139"/>
        <v>2.3372999999999995</v>
      </c>
      <c r="K409" s="301">
        <f t="shared" ref="K409:K416" si="140">SUM(E409:J409)</f>
        <v>202533.66550432274</v>
      </c>
      <c r="L409" s="301">
        <f t="shared" ref="L409:L412" si="141">K409*0.25</f>
        <v>50633.416376080684</v>
      </c>
      <c r="M409" s="315">
        <f t="shared" ref="M409:M416" si="142">K409+L409</f>
        <v>253167.08188040342</v>
      </c>
      <c r="N409" s="301">
        <f>M409+M413</f>
        <v>271770.52094945649</v>
      </c>
      <c r="O409" s="301">
        <f>SUM(O$437,O438,O442,O446,O450,O454)</f>
        <v>5041.889957264958</v>
      </c>
    </row>
    <row r="410" spans="1:15" s="308" customFormat="1" ht="15" customHeight="1">
      <c r="A410" s="1036"/>
      <c r="B410" s="1035"/>
      <c r="C410" s="1036"/>
      <c r="D410" s="298">
        <v>2</v>
      </c>
      <c r="E410" s="301">
        <f t="shared" ref="E410:J412" si="143">SUM(E$437,E439,E443,E447,E451,E455)</f>
        <v>210508.71983854173</v>
      </c>
      <c r="F410" s="301">
        <f t="shared" si="143"/>
        <v>22539.258547008551</v>
      </c>
      <c r="G410" s="301">
        <f t="shared" si="143"/>
        <v>1790.5088186728394</v>
      </c>
      <c r="H410" s="301">
        <f t="shared" si="143"/>
        <v>1353.2316666666666</v>
      </c>
      <c r="I410" s="301">
        <f t="shared" si="143"/>
        <v>2258.751349206349</v>
      </c>
      <c r="J410" s="301">
        <f t="shared" si="143"/>
        <v>2.3372999999999995</v>
      </c>
      <c r="K410" s="301">
        <f t="shared" si="140"/>
        <v>238452.80752009616</v>
      </c>
      <c r="L410" s="301">
        <f t="shared" si="141"/>
        <v>59613.20188002404</v>
      </c>
      <c r="M410" s="315">
        <f t="shared" si="142"/>
        <v>298066.00940012018</v>
      </c>
      <c r="N410" s="301">
        <f>M410+M414</f>
        <v>319167.88338177127</v>
      </c>
      <c r="O410" s="301">
        <f t="shared" ref="O410:O412" si="144">SUM(O$437,O439,O443,O447,O451,O455)</f>
        <v>5940.7359775641016</v>
      </c>
    </row>
    <row r="411" spans="1:15" s="308" customFormat="1" ht="15" customHeight="1">
      <c r="A411" s="1036"/>
      <c r="B411" s="1035"/>
      <c r="C411" s="1036"/>
      <c r="D411" s="298">
        <v>3</v>
      </c>
      <c r="E411" s="301">
        <f t="shared" si="143"/>
        <v>248610.54575347225</v>
      </c>
      <c r="F411" s="301">
        <f t="shared" si="143"/>
        <v>26797.269230769234</v>
      </c>
      <c r="G411" s="301">
        <f t="shared" si="143"/>
        <v>1934.4422691120606</v>
      </c>
      <c r="H411" s="301">
        <f t="shared" si="143"/>
        <v>1353.2316666666666</v>
      </c>
      <c r="I411" s="301">
        <f t="shared" si="143"/>
        <v>2447.0435714285718</v>
      </c>
      <c r="J411" s="301">
        <f t="shared" si="143"/>
        <v>2.3372999999999995</v>
      </c>
      <c r="K411" s="301">
        <f t="shared" si="140"/>
        <v>281144.86979144881</v>
      </c>
      <c r="L411" s="301">
        <f t="shared" si="141"/>
        <v>70286.217447862204</v>
      </c>
      <c r="M411" s="315">
        <f t="shared" si="142"/>
        <v>351431.08723931102</v>
      </c>
      <c r="N411" s="301">
        <f>M411+M415</f>
        <v>376207.32993902866</v>
      </c>
      <c r="O411" s="301">
        <f t="shared" si="144"/>
        <v>7019.4660790598291</v>
      </c>
    </row>
    <row r="412" spans="1:15" s="308" customFormat="1" ht="15" customHeight="1">
      <c r="A412" s="1036"/>
      <c r="B412" s="1035"/>
      <c r="C412" s="1036"/>
      <c r="D412" s="298">
        <v>4</v>
      </c>
      <c r="E412" s="301">
        <f t="shared" si="143"/>
        <v>294328.67927604174</v>
      </c>
      <c r="F412" s="301">
        <f t="shared" si="143"/>
        <v>31906.275641025641</v>
      </c>
      <c r="G412" s="301">
        <f t="shared" si="143"/>
        <v>2111.4682318376067</v>
      </c>
      <c r="H412" s="301">
        <f t="shared" si="143"/>
        <v>1353.2316666666666</v>
      </c>
      <c r="I412" s="301">
        <f t="shared" si="143"/>
        <v>2635.023015873016</v>
      </c>
      <c r="J412" s="301">
        <f t="shared" si="143"/>
        <v>2.3372999999999995</v>
      </c>
      <c r="K412" s="301">
        <f t="shared" si="140"/>
        <v>332337.01513144473</v>
      </c>
      <c r="L412" s="301">
        <f t="shared" si="141"/>
        <v>83084.253782861182</v>
      </c>
      <c r="M412" s="315">
        <f t="shared" si="142"/>
        <v>415421.2689143059</v>
      </c>
      <c r="N412" s="301">
        <f>M412+M416</f>
        <v>445164.34218465071</v>
      </c>
      <c r="O412" s="301">
        <f t="shared" si="144"/>
        <v>8313.8273237179492</v>
      </c>
    </row>
    <row r="413" spans="1:15" s="308" customFormat="1" ht="13.5" customHeight="1">
      <c r="A413" s="1036"/>
      <c r="B413" s="1035" t="s">
        <v>192</v>
      </c>
      <c r="C413" s="1036" t="s">
        <v>21</v>
      </c>
      <c r="D413" s="298">
        <v>1</v>
      </c>
      <c r="E413" s="301">
        <f t="shared" ref="E413:J416" si="145">(E459+SUM(E$463:E$468))</f>
        <v>11256.191375000002</v>
      </c>
      <c r="F413" s="301">
        <f t="shared" si="145"/>
        <v>0</v>
      </c>
      <c r="G413" s="301">
        <f t="shared" si="145"/>
        <v>162.42553366417377</v>
      </c>
      <c r="H413" s="301">
        <f t="shared" si="145"/>
        <v>3270.8277777777785</v>
      </c>
      <c r="I413" s="301">
        <f t="shared" si="145"/>
        <v>818.36653519841275</v>
      </c>
      <c r="J413" s="301">
        <f t="shared" si="145"/>
        <v>669.09231666666665</v>
      </c>
      <c r="K413" s="301">
        <f t="shared" si="140"/>
        <v>16176.903538307035</v>
      </c>
      <c r="L413" s="301">
        <f>K413*0.15</f>
        <v>2426.535530746055</v>
      </c>
      <c r="M413" s="315">
        <f t="shared" si="142"/>
        <v>18603.439069053089</v>
      </c>
      <c r="N413" s="301"/>
      <c r="O413" s="301">
        <f>(O459+SUM(O$463:O$468))</f>
        <v>318.68269230769232</v>
      </c>
    </row>
    <row r="414" spans="1:15" s="308" customFormat="1" ht="15" customHeight="1">
      <c r="A414" s="1036"/>
      <c r="B414" s="1035"/>
      <c r="C414" s="1036"/>
      <c r="D414" s="298">
        <v>2</v>
      </c>
      <c r="E414" s="301">
        <f t="shared" si="145"/>
        <v>13190.461411111111</v>
      </c>
      <c r="F414" s="301">
        <f t="shared" si="145"/>
        <v>0</v>
      </c>
      <c r="G414" s="301">
        <f t="shared" si="145"/>
        <v>171.84301101994299</v>
      </c>
      <c r="H414" s="301">
        <f t="shared" si="145"/>
        <v>3270.8277777777785</v>
      </c>
      <c r="I414" s="301">
        <f t="shared" si="145"/>
        <v>977.94686964285711</v>
      </c>
      <c r="J414" s="301">
        <f t="shared" si="145"/>
        <v>738.37656666666658</v>
      </c>
      <c r="K414" s="301">
        <f t="shared" si="140"/>
        <v>18349.455636218354</v>
      </c>
      <c r="L414" s="301">
        <f>K414*0.15</f>
        <v>2752.4183454327531</v>
      </c>
      <c r="M414" s="315">
        <f t="shared" si="142"/>
        <v>21101.873981651108</v>
      </c>
      <c r="N414" s="301"/>
      <c r="O414" s="301">
        <f>(O460+SUM(O$463:O$468))</f>
        <v>373.44529914529915</v>
      </c>
    </row>
    <row r="415" spans="1:15" s="308" customFormat="1" ht="15" customHeight="1">
      <c r="A415" s="1036"/>
      <c r="B415" s="1035"/>
      <c r="C415" s="1036"/>
      <c r="D415" s="298">
        <v>3</v>
      </c>
      <c r="E415" s="301">
        <f t="shared" si="145"/>
        <v>15800.675763888892</v>
      </c>
      <c r="F415" s="301">
        <f t="shared" si="145"/>
        <v>0</v>
      </c>
      <c r="G415" s="301">
        <f t="shared" si="145"/>
        <v>184.39964749430195</v>
      </c>
      <c r="H415" s="301">
        <f t="shared" si="145"/>
        <v>3270.8277777777785</v>
      </c>
      <c r="I415" s="301">
        <f t="shared" si="145"/>
        <v>1193.2596301587303</v>
      </c>
      <c r="J415" s="301">
        <f t="shared" si="145"/>
        <v>1095.3960500000001</v>
      </c>
      <c r="K415" s="301">
        <f t="shared" si="140"/>
        <v>21544.558869319699</v>
      </c>
      <c r="L415" s="301">
        <f>K415*0.15</f>
        <v>3231.6838303979548</v>
      </c>
      <c r="M415" s="315">
        <f t="shared" si="142"/>
        <v>24776.242699717652</v>
      </c>
      <c r="N415" s="301"/>
      <c r="O415" s="301">
        <f>(O461+SUM(O$463:O$468))</f>
        <v>447.34508547008545</v>
      </c>
    </row>
    <row r="416" spans="1:15" s="308" customFormat="1" ht="15" customHeight="1">
      <c r="A416" s="1036"/>
      <c r="B416" s="1035"/>
      <c r="C416" s="1036"/>
      <c r="D416" s="298">
        <v>4</v>
      </c>
      <c r="E416" s="301">
        <f t="shared" si="145"/>
        <v>19321.696441666667</v>
      </c>
      <c r="F416" s="301">
        <f t="shared" si="145"/>
        <v>0</v>
      </c>
      <c r="G416" s="301">
        <f t="shared" si="145"/>
        <v>209.51292044301988</v>
      </c>
      <c r="H416" s="301">
        <f t="shared" si="145"/>
        <v>3270.8277777777785</v>
      </c>
      <c r="I416" s="301">
        <f t="shared" si="145"/>
        <v>1484.1241343253971</v>
      </c>
      <c r="J416" s="301">
        <f t="shared" si="145"/>
        <v>1577.3807000000002</v>
      </c>
      <c r="K416" s="301">
        <f t="shared" si="140"/>
        <v>25863.541974212862</v>
      </c>
      <c r="L416" s="301">
        <f>K416*0.15</f>
        <v>3879.5312961319291</v>
      </c>
      <c r="M416" s="315">
        <f t="shared" si="142"/>
        <v>29743.07327034479</v>
      </c>
      <c r="N416" s="301"/>
      <c r="O416" s="301">
        <f>(O462+SUM(O$463:O$468))</f>
        <v>547.03141025641025</v>
      </c>
    </row>
    <row r="417" spans="1:15">
      <c r="A417" s="298"/>
      <c r="B417" s="314" t="s">
        <v>322</v>
      </c>
      <c r="C417" s="300"/>
      <c r="D417" s="300"/>
      <c r="E417" s="301"/>
      <c r="F417" s="301"/>
      <c r="G417" s="301"/>
      <c r="H417" s="301"/>
      <c r="I417" s="301"/>
      <c r="J417" s="301"/>
      <c r="K417" s="301"/>
      <c r="L417" s="301"/>
      <c r="M417" s="315"/>
      <c r="N417" s="301"/>
      <c r="O417" s="301"/>
    </row>
    <row r="418" spans="1:15">
      <c r="A418" s="298" t="s">
        <v>323</v>
      </c>
      <c r="B418" s="314" t="s">
        <v>324</v>
      </c>
      <c r="C418" s="300"/>
      <c r="D418" s="300"/>
      <c r="E418" s="301"/>
      <c r="F418" s="301"/>
      <c r="G418" s="301"/>
      <c r="H418" s="301"/>
      <c r="I418" s="301"/>
      <c r="J418" s="301"/>
      <c r="K418" s="301"/>
      <c r="L418" s="301"/>
      <c r="M418" s="315"/>
      <c r="N418" s="301"/>
      <c r="O418" s="301"/>
    </row>
    <row r="419" spans="1:15" s="308" customFormat="1" ht="13.5" customHeight="1">
      <c r="A419" s="1036"/>
      <c r="B419" s="1035" t="s">
        <v>190</v>
      </c>
      <c r="C419" s="1036" t="s">
        <v>21</v>
      </c>
      <c r="D419" s="298">
        <v>1</v>
      </c>
      <c r="E419" s="301">
        <f t="shared" ref="E419:F426" si="146">E409*0.1</f>
        <v>17876.05795555556</v>
      </c>
      <c r="F419" s="301">
        <f t="shared" si="146"/>
        <v>1899.1253205128207</v>
      </c>
      <c r="G419" s="330">
        <f>G446*0.1/$M$347</f>
        <v>5.9849673386884031E-2</v>
      </c>
      <c r="H419" s="330">
        <f t="shared" ref="H419:I422" si="147">H409*0.1</f>
        <v>135.32316666666665</v>
      </c>
      <c r="I419" s="301">
        <f t="shared" si="147"/>
        <v>188.27924603174606</v>
      </c>
      <c r="J419" s="301">
        <f>J446*0.1/$M$347</f>
        <v>0</v>
      </c>
      <c r="K419" s="301">
        <f t="shared" ref="K419:K426" si="148">SUM(E419:J419)</f>
        <v>20098.845538440179</v>
      </c>
      <c r="L419" s="301">
        <f>K419*0.25</f>
        <v>5024.7113846100447</v>
      </c>
      <c r="M419" s="315">
        <f t="shared" ref="M419:M426" si="149">K419+L419</f>
        <v>25123.556923050222</v>
      </c>
      <c r="N419" s="301">
        <f>M419+M423</f>
        <v>26418.15110637719</v>
      </c>
      <c r="O419" s="301">
        <f t="shared" ref="O419:O426" si="150">O409*0.1</f>
        <v>504.18899572649582</v>
      </c>
    </row>
    <row r="420" spans="1:15" s="308" customFormat="1" ht="15" customHeight="1">
      <c r="A420" s="1036"/>
      <c r="B420" s="1035"/>
      <c r="C420" s="1036"/>
      <c r="D420" s="298">
        <v>2</v>
      </c>
      <c r="E420" s="301">
        <f t="shared" si="146"/>
        <v>21050.871983854173</v>
      </c>
      <c r="F420" s="301">
        <f t="shared" si="146"/>
        <v>2253.9258547008553</v>
      </c>
      <c r="G420" s="330">
        <f>G447*0.1/$M$347</f>
        <v>7.1508700670043265E-2</v>
      </c>
      <c r="H420" s="330">
        <f t="shared" si="147"/>
        <v>135.32316666666665</v>
      </c>
      <c r="I420" s="301">
        <f t="shared" si="147"/>
        <v>225.87513492063491</v>
      </c>
      <c r="J420" s="301">
        <f>J447*0.1/$M$347</f>
        <v>0</v>
      </c>
      <c r="K420" s="301">
        <f t="shared" si="148"/>
        <v>23666.067648842996</v>
      </c>
      <c r="L420" s="301">
        <f>K420*0.25</f>
        <v>5916.5169122107491</v>
      </c>
      <c r="M420" s="315">
        <f t="shared" si="149"/>
        <v>29582.584561053744</v>
      </c>
      <c r="N420" s="301">
        <f>M420+M424</f>
        <v>31099.621001877818</v>
      </c>
      <c r="O420" s="301">
        <f t="shared" si="150"/>
        <v>594.07359775641021</v>
      </c>
    </row>
    <row r="421" spans="1:15" s="308" customFormat="1" ht="15" customHeight="1">
      <c r="A421" s="1036"/>
      <c r="B421" s="1035"/>
      <c r="C421" s="1036"/>
      <c r="D421" s="298">
        <v>3</v>
      </c>
      <c r="E421" s="301">
        <f t="shared" si="146"/>
        <v>24861.054575347225</v>
      </c>
      <c r="F421" s="301">
        <f t="shared" si="146"/>
        <v>2679.7269230769234</v>
      </c>
      <c r="G421" s="330">
        <f>G448*0.1/$M$347</f>
        <v>7.7726848554394837E-2</v>
      </c>
      <c r="H421" s="330">
        <f t="shared" si="147"/>
        <v>135.32316666666665</v>
      </c>
      <c r="I421" s="301">
        <f t="shared" si="147"/>
        <v>244.70435714285719</v>
      </c>
      <c r="J421" s="301">
        <f>J448*0.1/$M$347</f>
        <v>0</v>
      </c>
      <c r="K421" s="301">
        <f t="shared" si="148"/>
        <v>27920.886749082227</v>
      </c>
      <c r="L421" s="301">
        <f>K421*0.25</f>
        <v>6980.2216872705567</v>
      </c>
      <c r="M421" s="315">
        <f t="shared" si="149"/>
        <v>34901.108436352784</v>
      </c>
      <c r="N421" s="301">
        <f>M421+M425</f>
        <v>36718.321132205412</v>
      </c>
      <c r="O421" s="301">
        <f t="shared" si="150"/>
        <v>701.946607905983</v>
      </c>
    </row>
    <row r="422" spans="1:15" s="308" customFormat="1" ht="15" customHeight="1">
      <c r="A422" s="1036"/>
      <c r="B422" s="1035"/>
      <c r="C422" s="1036"/>
      <c r="D422" s="298">
        <v>4</v>
      </c>
      <c r="E422" s="301">
        <f t="shared" si="146"/>
        <v>29432.867927604177</v>
      </c>
      <c r="F422" s="301">
        <f t="shared" si="146"/>
        <v>3190.6275641025641</v>
      </c>
      <c r="G422" s="330">
        <f>G449*0.1/$M$347</f>
        <v>8.5499533409834336E-2</v>
      </c>
      <c r="H422" s="330">
        <f t="shared" si="147"/>
        <v>135.32316666666665</v>
      </c>
      <c r="I422" s="301">
        <f t="shared" si="147"/>
        <v>263.50230158730159</v>
      </c>
      <c r="J422" s="301">
        <f>J449*0.1/$M$347</f>
        <v>0</v>
      </c>
      <c r="K422" s="301">
        <f t="shared" si="148"/>
        <v>33022.406459494116</v>
      </c>
      <c r="L422" s="301">
        <f>K422*0.25</f>
        <v>8255.6016148735289</v>
      </c>
      <c r="M422" s="315">
        <f t="shared" si="149"/>
        <v>41278.008074367644</v>
      </c>
      <c r="N422" s="301">
        <f>M422+M426</f>
        <v>43500.141357082925</v>
      </c>
      <c r="O422" s="301">
        <f t="shared" si="150"/>
        <v>831.38273237179499</v>
      </c>
    </row>
    <row r="423" spans="1:15" s="308" customFormat="1" ht="13.5" customHeight="1">
      <c r="A423" s="1036"/>
      <c r="B423" s="1035" t="s">
        <v>192</v>
      </c>
      <c r="C423" s="1036" t="s">
        <v>21</v>
      </c>
      <c r="D423" s="298">
        <v>1</v>
      </c>
      <c r="E423" s="301">
        <f t="shared" si="146"/>
        <v>1125.6191375000003</v>
      </c>
      <c r="F423" s="301">
        <f t="shared" si="146"/>
        <v>0</v>
      </c>
      <c r="G423" s="330">
        <f t="shared" ref="G423:H426" si="151">G459*0.1/$M$347</f>
        <v>4.5343409490740732E-3</v>
      </c>
      <c r="H423" s="330">
        <f t="shared" si="151"/>
        <v>0.11040061728395065</v>
      </c>
      <c r="I423" s="301"/>
      <c r="J423" s="301"/>
      <c r="K423" s="301">
        <f t="shared" si="148"/>
        <v>1125.7340724582332</v>
      </c>
      <c r="L423" s="301">
        <f>K423*0.15</f>
        <v>168.86011086873498</v>
      </c>
      <c r="M423" s="315">
        <f t="shared" si="149"/>
        <v>1294.5941833269681</v>
      </c>
      <c r="N423" s="301"/>
      <c r="O423" s="301">
        <f t="shared" si="150"/>
        <v>31.868269230769233</v>
      </c>
    </row>
    <row r="424" spans="1:15" s="308" customFormat="1" ht="15" customHeight="1">
      <c r="A424" s="1036"/>
      <c r="B424" s="1035"/>
      <c r="C424" s="1036"/>
      <c r="D424" s="298">
        <v>2</v>
      </c>
      <c r="E424" s="301">
        <f t="shared" si="146"/>
        <v>1319.0461411111112</v>
      </c>
      <c r="F424" s="301">
        <f t="shared" si="146"/>
        <v>0</v>
      </c>
      <c r="G424" s="330">
        <f t="shared" si="151"/>
        <v>5.5807273219373212E-3</v>
      </c>
      <c r="H424" s="330">
        <f t="shared" si="151"/>
        <v>0.11040061728395065</v>
      </c>
      <c r="I424" s="301"/>
      <c r="J424" s="301"/>
      <c r="K424" s="301">
        <f t="shared" si="148"/>
        <v>1319.1621224557171</v>
      </c>
      <c r="L424" s="301">
        <f>K424*0.15</f>
        <v>197.87431836835756</v>
      </c>
      <c r="M424" s="315">
        <f t="shared" si="149"/>
        <v>1517.0364408240746</v>
      </c>
      <c r="N424" s="301"/>
      <c r="O424" s="301">
        <f t="shared" si="150"/>
        <v>37.344529914529915</v>
      </c>
    </row>
    <row r="425" spans="1:15" s="308" customFormat="1" ht="15" customHeight="1">
      <c r="A425" s="1036"/>
      <c r="B425" s="1035"/>
      <c r="C425" s="1036"/>
      <c r="D425" s="298">
        <v>3</v>
      </c>
      <c r="E425" s="301">
        <f t="shared" si="146"/>
        <v>1580.0675763888894</v>
      </c>
      <c r="F425" s="301">
        <f t="shared" si="146"/>
        <v>0</v>
      </c>
      <c r="G425" s="330">
        <f t="shared" si="151"/>
        <v>6.9759091524216514E-3</v>
      </c>
      <c r="H425" s="330">
        <f t="shared" si="151"/>
        <v>0.11040061728395065</v>
      </c>
      <c r="I425" s="301"/>
      <c r="J425" s="301"/>
      <c r="K425" s="301">
        <f t="shared" si="148"/>
        <v>1580.1849529153258</v>
      </c>
      <c r="L425" s="301">
        <f>K425*0.15</f>
        <v>237.02774293729885</v>
      </c>
      <c r="M425" s="315">
        <f t="shared" si="149"/>
        <v>1817.2126958526246</v>
      </c>
      <c r="N425" s="301"/>
      <c r="O425" s="301">
        <f t="shared" si="150"/>
        <v>44.734508547008545</v>
      </c>
    </row>
    <row r="426" spans="1:15" s="308" customFormat="1" ht="15" customHeight="1">
      <c r="A426" s="1036"/>
      <c r="B426" s="1035"/>
      <c r="C426" s="1036"/>
      <c r="D426" s="298">
        <v>4</v>
      </c>
      <c r="E426" s="301">
        <f t="shared" si="146"/>
        <v>1932.1696441666668</v>
      </c>
      <c r="F426" s="301">
        <f t="shared" si="146"/>
        <v>0</v>
      </c>
      <c r="G426" s="330">
        <f t="shared" si="151"/>
        <v>9.7662728133903112E-3</v>
      </c>
      <c r="H426" s="330">
        <f t="shared" si="151"/>
        <v>0.11040061728395065</v>
      </c>
      <c r="I426" s="301"/>
      <c r="J426" s="301"/>
      <c r="K426" s="301">
        <f t="shared" si="148"/>
        <v>1932.2898110567639</v>
      </c>
      <c r="L426" s="301">
        <f>K426*0.15</f>
        <v>289.8434716585146</v>
      </c>
      <c r="M426" s="315">
        <f t="shared" si="149"/>
        <v>2222.1332827152787</v>
      </c>
      <c r="N426" s="301"/>
      <c r="O426" s="301">
        <f t="shared" si="150"/>
        <v>54.703141025641031</v>
      </c>
    </row>
    <row r="427" spans="1:15">
      <c r="A427" s="298" t="s">
        <v>499</v>
      </c>
      <c r="B427" s="314" t="s">
        <v>326</v>
      </c>
      <c r="C427" s="300"/>
      <c r="D427" s="300"/>
      <c r="E427" s="301"/>
      <c r="F427" s="301"/>
      <c r="G427" s="301"/>
      <c r="H427" s="301"/>
      <c r="I427" s="301"/>
      <c r="J427" s="301"/>
      <c r="K427" s="301"/>
      <c r="L427" s="301"/>
      <c r="M427" s="315"/>
      <c r="N427" s="301"/>
      <c r="O427" s="301"/>
    </row>
    <row r="428" spans="1:15" s="308" customFormat="1" ht="13.5" customHeight="1">
      <c r="A428" s="1036"/>
      <c r="B428" s="1035" t="s">
        <v>190</v>
      </c>
      <c r="C428" s="1036" t="s">
        <v>21</v>
      </c>
      <c r="D428" s="298">
        <v>1</v>
      </c>
      <c r="E428" s="301">
        <f t="shared" ref="E428:F431" si="152">E409*1.15</f>
        <v>205574.66648888891</v>
      </c>
      <c r="F428" s="301">
        <f t="shared" si="152"/>
        <v>21839.941185897434</v>
      </c>
      <c r="G428" s="301">
        <f t="shared" ref="G428:J435" si="153">G409</f>
        <v>1543.4713166547956</v>
      </c>
      <c r="H428" s="301">
        <f t="shared" si="153"/>
        <v>1353.2316666666666</v>
      </c>
      <c r="I428" s="301">
        <f t="shared" si="153"/>
        <v>1882.7924603174604</v>
      </c>
      <c r="J428" s="301">
        <f t="shared" si="153"/>
        <v>2.3372999999999995</v>
      </c>
      <c r="K428" s="301">
        <f t="shared" ref="K428:K435" si="154">SUM(E428:J428)</f>
        <v>232196.44041842528</v>
      </c>
      <c r="L428" s="301">
        <f>K428*0.25</f>
        <v>58049.11010460632</v>
      </c>
      <c r="M428" s="315">
        <f t="shared" ref="M428:M435" si="155">K428+L428</f>
        <v>290245.55052303162</v>
      </c>
      <c r="N428" s="301">
        <f>M428+M432</f>
        <v>310143.45160020969</v>
      </c>
      <c r="O428" s="301">
        <f>O409*1.15</f>
        <v>5798.1734508547015</v>
      </c>
    </row>
    <row r="429" spans="1:15" s="308" customFormat="1" ht="15" customHeight="1">
      <c r="A429" s="1036"/>
      <c r="B429" s="1035"/>
      <c r="C429" s="1036"/>
      <c r="D429" s="298">
        <v>2</v>
      </c>
      <c r="E429" s="301">
        <f t="shared" si="152"/>
        <v>242085.02781432297</v>
      </c>
      <c r="F429" s="301">
        <f t="shared" si="152"/>
        <v>25920.14732905983</v>
      </c>
      <c r="G429" s="301">
        <f t="shared" si="153"/>
        <v>1790.5088186728394</v>
      </c>
      <c r="H429" s="301">
        <f t="shared" si="153"/>
        <v>1353.2316666666666</v>
      </c>
      <c r="I429" s="301">
        <f t="shared" si="153"/>
        <v>2258.751349206349</v>
      </c>
      <c r="J429" s="301">
        <f t="shared" si="153"/>
        <v>2.3372999999999995</v>
      </c>
      <c r="K429" s="301">
        <f t="shared" si="154"/>
        <v>273410.00427792873</v>
      </c>
      <c r="L429" s="301">
        <f>K429*0.25</f>
        <v>68352.501069482183</v>
      </c>
      <c r="M429" s="315">
        <f t="shared" si="155"/>
        <v>341762.50534741092</v>
      </c>
      <c r="N429" s="301">
        <f>M429+M433</f>
        <v>364381.28239133977</v>
      </c>
      <c r="O429" s="301">
        <f>O410*1.15</f>
        <v>6831.8463741987161</v>
      </c>
    </row>
    <row r="430" spans="1:15" s="308" customFormat="1" ht="15" customHeight="1">
      <c r="A430" s="1036"/>
      <c r="B430" s="1035"/>
      <c r="C430" s="1036"/>
      <c r="D430" s="298">
        <v>3</v>
      </c>
      <c r="E430" s="301">
        <f t="shared" si="152"/>
        <v>285902.12761649309</v>
      </c>
      <c r="F430" s="301">
        <f t="shared" si="152"/>
        <v>30816.859615384616</v>
      </c>
      <c r="G430" s="301">
        <f t="shared" si="153"/>
        <v>1934.4422691120606</v>
      </c>
      <c r="H430" s="301">
        <f t="shared" si="153"/>
        <v>1353.2316666666666</v>
      </c>
      <c r="I430" s="301">
        <f t="shared" si="153"/>
        <v>2447.0435714285718</v>
      </c>
      <c r="J430" s="301">
        <f t="shared" si="153"/>
        <v>2.3372999999999995</v>
      </c>
      <c r="K430" s="301">
        <f t="shared" si="154"/>
        <v>322456.042039085</v>
      </c>
      <c r="L430" s="301">
        <f>K430*0.25</f>
        <v>80614.010509771251</v>
      </c>
      <c r="M430" s="315">
        <f t="shared" si="155"/>
        <v>403070.05254885624</v>
      </c>
      <c r="N430" s="301">
        <f>M430+M434</f>
        <v>429663.37296142115</v>
      </c>
      <c r="O430" s="301">
        <f>O411*1.15</f>
        <v>8072.3859909188031</v>
      </c>
    </row>
    <row r="431" spans="1:15" s="308" customFormat="1" ht="15" customHeight="1">
      <c r="A431" s="1036"/>
      <c r="B431" s="1035"/>
      <c r="C431" s="1036"/>
      <c r="D431" s="298">
        <v>4</v>
      </c>
      <c r="E431" s="301">
        <f t="shared" si="152"/>
        <v>338477.98116744799</v>
      </c>
      <c r="F431" s="301">
        <f t="shared" si="152"/>
        <v>36692.216987179483</v>
      </c>
      <c r="G431" s="301">
        <f t="shared" si="153"/>
        <v>2111.4682318376067</v>
      </c>
      <c r="H431" s="301">
        <f t="shared" si="153"/>
        <v>1353.2316666666666</v>
      </c>
      <c r="I431" s="301">
        <f t="shared" si="153"/>
        <v>2635.023015873016</v>
      </c>
      <c r="J431" s="301">
        <f t="shared" si="153"/>
        <v>2.3372999999999995</v>
      </c>
      <c r="K431" s="301">
        <f t="shared" si="154"/>
        <v>381272.25836900482</v>
      </c>
      <c r="L431" s="301">
        <f>K431*0.25</f>
        <v>95318.064592251205</v>
      </c>
      <c r="M431" s="315">
        <f t="shared" si="155"/>
        <v>476590.32296125602</v>
      </c>
      <c r="N431" s="301">
        <f>M431+M435</f>
        <v>508555.3913223925</v>
      </c>
      <c r="O431" s="301">
        <f>O412*1.15</f>
        <v>9560.9014222756414</v>
      </c>
    </row>
    <row r="432" spans="1:15" s="308" customFormat="1" ht="13.5" customHeight="1">
      <c r="A432" s="1036"/>
      <c r="B432" s="1035" t="s">
        <v>192</v>
      </c>
      <c r="C432" s="1036" t="s">
        <v>21</v>
      </c>
      <c r="D432" s="298">
        <v>1</v>
      </c>
      <c r="E432" s="301">
        <f t="shared" ref="E432:F435" si="156">E413*1.1</f>
        <v>12381.810512500004</v>
      </c>
      <c r="F432" s="301">
        <f t="shared" si="156"/>
        <v>0</v>
      </c>
      <c r="G432" s="301">
        <f t="shared" si="153"/>
        <v>162.42553366417377</v>
      </c>
      <c r="H432" s="301">
        <f t="shared" si="153"/>
        <v>3270.8277777777785</v>
      </c>
      <c r="I432" s="301">
        <f t="shared" si="153"/>
        <v>818.36653519841275</v>
      </c>
      <c r="J432" s="301">
        <f t="shared" si="153"/>
        <v>669.09231666666665</v>
      </c>
      <c r="K432" s="301">
        <f t="shared" si="154"/>
        <v>17302.522675807035</v>
      </c>
      <c r="L432" s="301">
        <f>K432*0.15</f>
        <v>2595.3784013710551</v>
      </c>
      <c r="M432" s="315">
        <f t="shared" si="155"/>
        <v>19897.901077178089</v>
      </c>
      <c r="N432" s="301"/>
      <c r="O432" s="301">
        <f>O413*1.1</f>
        <v>350.55096153846159</v>
      </c>
    </row>
    <row r="433" spans="1:15" s="308" customFormat="1" ht="15" customHeight="1">
      <c r="A433" s="1036"/>
      <c r="B433" s="1035"/>
      <c r="C433" s="1036"/>
      <c r="D433" s="298">
        <v>2</v>
      </c>
      <c r="E433" s="301">
        <f t="shared" si="156"/>
        <v>14509.507552222223</v>
      </c>
      <c r="F433" s="301">
        <f t="shared" si="156"/>
        <v>0</v>
      </c>
      <c r="G433" s="301">
        <f t="shared" si="153"/>
        <v>171.84301101994299</v>
      </c>
      <c r="H433" s="301">
        <f t="shared" si="153"/>
        <v>3270.8277777777785</v>
      </c>
      <c r="I433" s="301">
        <f t="shared" si="153"/>
        <v>977.94686964285711</v>
      </c>
      <c r="J433" s="301">
        <f t="shared" si="153"/>
        <v>738.37656666666658</v>
      </c>
      <c r="K433" s="301">
        <f t="shared" si="154"/>
        <v>19668.501777329464</v>
      </c>
      <c r="L433" s="301">
        <f>K433*0.15</f>
        <v>2950.2752665994194</v>
      </c>
      <c r="M433" s="315">
        <f t="shared" si="155"/>
        <v>22618.777043928883</v>
      </c>
      <c r="N433" s="301"/>
      <c r="O433" s="301">
        <f>O414*1.1</f>
        <v>410.78982905982912</v>
      </c>
    </row>
    <row r="434" spans="1:15" s="308" customFormat="1" ht="15" customHeight="1">
      <c r="A434" s="1036"/>
      <c r="B434" s="1035"/>
      <c r="C434" s="1036"/>
      <c r="D434" s="298">
        <v>3</v>
      </c>
      <c r="E434" s="301">
        <f t="shared" si="156"/>
        <v>17380.743340277782</v>
      </c>
      <c r="F434" s="301">
        <f t="shared" si="156"/>
        <v>0</v>
      </c>
      <c r="G434" s="301">
        <f t="shared" si="153"/>
        <v>184.39964749430195</v>
      </c>
      <c r="H434" s="301">
        <f t="shared" si="153"/>
        <v>3270.8277777777785</v>
      </c>
      <c r="I434" s="301">
        <f t="shared" si="153"/>
        <v>1193.2596301587303</v>
      </c>
      <c r="J434" s="301">
        <f t="shared" si="153"/>
        <v>1095.3960500000001</v>
      </c>
      <c r="K434" s="301">
        <f t="shared" si="154"/>
        <v>23124.626445708593</v>
      </c>
      <c r="L434" s="301">
        <f>K434*0.15</f>
        <v>3468.6939668562886</v>
      </c>
      <c r="M434" s="315">
        <f t="shared" si="155"/>
        <v>26593.320412564881</v>
      </c>
      <c r="N434" s="301"/>
      <c r="O434" s="301">
        <f>O415*1.1</f>
        <v>492.07959401709405</v>
      </c>
    </row>
    <row r="435" spans="1:15" s="308" customFormat="1" ht="15" customHeight="1">
      <c r="A435" s="1036"/>
      <c r="B435" s="1035"/>
      <c r="C435" s="1036"/>
      <c r="D435" s="298">
        <v>4</v>
      </c>
      <c r="E435" s="301">
        <f t="shared" si="156"/>
        <v>21253.866085833335</v>
      </c>
      <c r="F435" s="301">
        <f t="shared" si="156"/>
        <v>0</v>
      </c>
      <c r="G435" s="301">
        <f t="shared" si="153"/>
        <v>209.51292044301988</v>
      </c>
      <c r="H435" s="301">
        <f t="shared" si="153"/>
        <v>3270.8277777777785</v>
      </c>
      <c r="I435" s="301">
        <f t="shared" si="153"/>
        <v>1484.1241343253971</v>
      </c>
      <c r="J435" s="301">
        <f t="shared" si="153"/>
        <v>1577.3807000000002</v>
      </c>
      <c r="K435" s="301">
        <f t="shared" si="154"/>
        <v>27795.711618379533</v>
      </c>
      <c r="L435" s="301">
        <f>K435*0.15</f>
        <v>4169.3567427569296</v>
      </c>
      <c r="M435" s="315">
        <f t="shared" si="155"/>
        <v>31965.068361136462</v>
      </c>
      <c r="N435" s="301"/>
      <c r="O435" s="301">
        <f>O416*1.1</f>
        <v>601.73455128205137</v>
      </c>
    </row>
    <row r="436" spans="1:15">
      <c r="A436" s="298">
        <v>1</v>
      </c>
      <c r="B436" s="316" t="s">
        <v>57</v>
      </c>
      <c r="C436" s="300"/>
      <c r="D436" s="300"/>
      <c r="E436" s="301"/>
      <c r="F436" s="301"/>
      <c r="G436" s="301"/>
      <c r="H436" s="301"/>
      <c r="I436" s="301"/>
      <c r="J436" s="301"/>
      <c r="K436" s="301"/>
      <c r="L436" s="301"/>
      <c r="M436" s="315">
        <v>3600</v>
      </c>
      <c r="N436" s="327" t="s">
        <v>21</v>
      </c>
      <c r="O436" s="301"/>
    </row>
    <row r="437" spans="1:15">
      <c r="A437" s="323" t="s">
        <v>359</v>
      </c>
      <c r="B437" s="324" t="str">
        <f>NhanCong!B$61</f>
        <v>Công tác chuẩn bị</v>
      </c>
      <c r="C437" s="319" t="s">
        <v>317</v>
      </c>
      <c r="D437" s="319" t="s">
        <v>622</v>
      </c>
      <c r="E437" s="301">
        <f>NhanCong!AC$61</f>
        <v>20009.137500000008</v>
      </c>
      <c r="F437" s="301">
        <f>NhanCong!AC$62</f>
        <v>1250.7211538461538</v>
      </c>
      <c r="G437" s="320">
        <f>Dcu!R$102*0.4</f>
        <v>279.81665479582142</v>
      </c>
      <c r="H437" s="320">
        <f>VLieu!P$66</f>
        <v>200.97499999999999</v>
      </c>
      <c r="I437" s="320"/>
      <c r="J437" s="320"/>
      <c r="K437" s="320">
        <f>SUM(E437:J437)</f>
        <v>21740.65030864198</v>
      </c>
      <c r="L437" s="320">
        <f>K437*0.25</f>
        <v>5435.1625771604949</v>
      </c>
      <c r="M437" s="321">
        <f>K437+L437</f>
        <v>27175.812885802476</v>
      </c>
      <c r="N437" s="320"/>
      <c r="O437" s="320">
        <f>NhanCong!AD$61</f>
        <v>547.35576923076917</v>
      </c>
    </row>
    <row r="438" spans="1:15">
      <c r="A438" s="1041" t="s">
        <v>269</v>
      </c>
      <c r="B438" s="1038" t="str">
        <f>NhanCong!B$63</f>
        <v>Lập lưới khống chế đo vẽ</v>
      </c>
      <c r="C438" s="1039" t="s">
        <v>317</v>
      </c>
      <c r="D438" s="319">
        <v>1</v>
      </c>
      <c r="E438" s="301">
        <f>NhanCong!AC$63</f>
        <v>13378.064600694448</v>
      </c>
      <c r="F438" s="301"/>
      <c r="G438" s="320">
        <f>Dcu!R$82</f>
        <v>78.63112879867046</v>
      </c>
      <c r="H438" s="320">
        <f>VLieu!P$67</f>
        <v>133.98333333333332</v>
      </c>
      <c r="I438" s="320">
        <f>TBi!N$55</f>
        <v>216.31246031746031</v>
      </c>
      <c r="J438" s="320">
        <f>TBi!N$59</f>
        <v>2.3372999999999995</v>
      </c>
      <c r="K438" s="320">
        <f t="shared" ref="K438:K441" si="157">SUM(E438:J438)</f>
        <v>13809.328823143911</v>
      </c>
      <c r="L438" s="320">
        <f t="shared" ref="L438:L457" si="158">K438*0.25</f>
        <v>3452.3322057859777</v>
      </c>
      <c r="M438" s="321">
        <f t="shared" ref="M438:M457" si="159">K438+L438</f>
        <v>17261.661028929888</v>
      </c>
      <c r="N438" s="320"/>
      <c r="O438" s="320">
        <f>NhanCong!AD$63</f>
        <v>378.75667735042737</v>
      </c>
    </row>
    <row r="439" spans="1:15">
      <c r="A439" s="1041"/>
      <c r="B439" s="1038"/>
      <c r="C439" s="1039"/>
      <c r="D439" s="319">
        <v>2</v>
      </c>
      <c r="E439" s="301">
        <f>NhanCong!AC$64</f>
        <v>16051.290711805557</v>
      </c>
      <c r="F439" s="301"/>
      <c r="G439" s="320">
        <f>Dcu!R$83</f>
        <v>94.819890610161437</v>
      </c>
      <c r="H439" s="320">
        <f>VLieu!P$67</f>
        <v>133.98333333333332</v>
      </c>
      <c r="I439" s="320">
        <f>TBi!O$55</f>
        <v>259.47579365079361</v>
      </c>
      <c r="J439" s="320">
        <f>TBi!O$59</f>
        <v>2.3372999999999995</v>
      </c>
      <c r="K439" s="320">
        <f t="shared" si="157"/>
        <v>16541.907029399845</v>
      </c>
      <c r="L439" s="320">
        <f t="shared" si="158"/>
        <v>4135.4767573499612</v>
      </c>
      <c r="M439" s="321">
        <f t="shared" si="159"/>
        <v>20677.383786749808</v>
      </c>
      <c r="N439" s="320"/>
      <c r="O439" s="320">
        <f>NhanCong!AD$64</f>
        <v>454.44043803418805</v>
      </c>
    </row>
    <row r="440" spans="1:15">
      <c r="A440" s="1041"/>
      <c r="B440" s="1038"/>
      <c r="C440" s="1039"/>
      <c r="D440" s="319">
        <v>3</v>
      </c>
      <c r="E440" s="301">
        <f>NhanCong!AC$65</f>
        <v>19261.548854166675</v>
      </c>
      <c r="F440" s="301"/>
      <c r="G440" s="320">
        <f>Dcu!R$84</f>
        <v>115.63401293922126</v>
      </c>
      <c r="H440" s="320">
        <f>VLieu!P$67</f>
        <v>133.98333333333332</v>
      </c>
      <c r="I440" s="320">
        <f>TBi!P$55</f>
        <v>281.05746031746031</v>
      </c>
      <c r="J440" s="320">
        <f>TBi!P$59</f>
        <v>2.3372999999999995</v>
      </c>
      <c r="K440" s="320">
        <f t="shared" si="157"/>
        <v>19794.560960756691</v>
      </c>
      <c r="L440" s="320">
        <f t="shared" si="158"/>
        <v>4948.6402401891728</v>
      </c>
      <c r="M440" s="321">
        <f t="shared" si="159"/>
        <v>24743.201200945863</v>
      </c>
      <c r="N440" s="320"/>
      <c r="O440" s="320">
        <f>NhanCong!AD$65</f>
        <v>545.32852564102564</v>
      </c>
    </row>
    <row r="441" spans="1:15">
      <c r="A441" s="1041"/>
      <c r="B441" s="1038"/>
      <c r="C441" s="1039"/>
      <c r="D441" s="319">
        <v>4</v>
      </c>
      <c r="E441" s="301">
        <f>NhanCong!AC$66</f>
        <v>23116.245434027787</v>
      </c>
      <c r="F441" s="301"/>
      <c r="G441" s="320">
        <f>Dcu!R$85</f>
        <v>138.76081552706552</v>
      </c>
      <c r="H441" s="320">
        <f>VLieu!P$67</f>
        <v>133.98333333333332</v>
      </c>
      <c r="I441" s="320">
        <f>TBi!Q$55</f>
        <v>302.32634920634916</v>
      </c>
      <c r="J441" s="320">
        <f>TBi!Q$59</f>
        <v>2.3372999999999995</v>
      </c>
      <c r="K441" s="320">
        <f t="shared" si="157"/>
        <v>23693.653232094533</v>
      </c>
      <c r="L441" s="320">
        <f t="shared" si="158"/>
        <v>5923.4133080236334</v>
      </c>
      <c r="M441" s="321">
        <f t="shared" si="159"/>
        <v>29617.066540118169</v>
      </c>
      <c r="N441" s="320"/>
      <c r="O441" s="320">
        <f>NhanCong!AD$66</f>
        <v>654.46180555555554</v>
      </c>
    </row>
    <row r="442" spans="1:15">
      <c r="A442" s="1041" t="s">
        <v>36</v>
      </c>
      <c r="B442" s="1038" t="str">
        <f>NhanCong!B$68</f>
        <v>Xác định ranh giới thửa đất trên thực địa</v>
      </c>
      <c r="C442" s="1039" t="s">
        <v>317</v>
      </c>
      <c r="D442" s="319">
        <v>1</v>
      </c>
      <c r="E442" s="301">
        <f>NhanCong!AC$68</f>
        <v>44752.669270833343</v>
      </c>
      <c r="F442" s="301">
        <f>NhanCong!AC$69</f>
        <v>9475.1602564102577</v>
      </c>
      <c r="G442" s="320">
        <f>Dcu!R$103*0.4</f>
        <v>215.45882419278252</v>
      </c>
      <c r="H442" s="320">
        <f>VLieu!P$68</f>
        <v>334.95833333333331</v>
      </c>
      <c r="I442" s="320"/>
      <c r="J442" s="320"/>
      <c r="K442" s="320">
        <f>SUM(E442:J442)</f>
        <v>54778.246684769721</v>
      </c>
      <c r="L442" s="320">
        <f t="shared" si="158"/>
        <v>13694.56167119243</v>
      </c>
      <c r="M442" s="321">
        <f t="shared" si="159"/>
        <v>68472.808355962159</v>
      </c>
      <c r="N442" s="320"/>
      <c r="O442" s="320">
        <f>NhanCong!AD$68</f>
        <v>1267.0272435897436</v>
      </c>
    </row>
    <row r="443" spans="1:15">
      <c r="A443" s="1041"/>
      <c r="B443" s="1038"/>
      <c r="C443" s="1039"/>
      <c r="D443" s="319">
        <v>2</v>
      </c>
      <c r="E443" s="301">
        <f>NhanCong!AC$70</f>
        <v>53703.203125000007</v>
      </c>
      <c r="F443" s="301">
        <f>NhanCong!AC$71</f>
        <v>11370.192307692309</v>
      </c>
      <c r="G443" s="320">
        <f>Dcu!R$104*0.4</f>
        <v>257.43132241215574</v>
      </c>
      <c r="H443" s="320">
        <f>VLieu!P$68</f>
        <v>334.95833333333331</v>
      </c>
      <c r="I443" s="320"/>
      <c r="J443" s="320"/>
      <c r="K443" s="320">
        <f t="shared" ref="K443:K457" si="160">SUM(E443:J443)</f>
        <v>65665.785088437799</v>
      </c>
      <c r="L443" s="320">
        <f t="shared" si="158"/>
        <v>16416.44627210945</v>
      </c>
      <c r="M443" s="321">
        <f t="shared" si="159"/>
        <v>82082.231360547245</v>
      </c>
      <c r="N443" s="320"/>
      <c r="O443" s="320">
        <f>NhanCong!AD$70</f>
        <v>1520.4326923076922</v>
      </c>
    </row>
    <row r="444" spans="1:15">
      <c r="A444" s="1041"/>
      <c r="B444" s="1038"/>
      <c r="C444" s="1039"/>
      <c r="D444" s="319">
        <v>3</v>
      </c>
      <c r="E444" s="301">
        <f>NhanCong!AC$72</f>
        <v>64443.843750000007</v>
      </c>
      <c r="F444" s="301">
        <f>NhanCong!AC$73</f>
        <v>13644.230769230771</v>
      </c>
      <c r="G444" s="320">
        <f>Dcu!R$105*0.4</f>
        <v>279.81665479582142</v>
      </c>
      <c r="H444" s="320">
        <f>VLieu!P$68</f>
        <v>334.95833333333331</v>
      </c>
      <c r="I444" s="320"/>
      <c r="J444" s="320"/>
      <c r="K444" s="320">
        <f t="shared" si="160"/>
        <v>78702.849507359933</v>
      </c>
      <c r="L444" s="320">
        <f t="shared" si="158"/>
        <v>19675.712376839983</v>
      </c>
      <c r="M444" s="321">
        <f t="shared" si="159"/>
        <v>98378.561884199909</v>
      </c>
      <c r="N444" s="320"/>
      <c r="O444" s="320">
        <f>NhanCong!AD$72</f>
        <v>1824.5192307692305</v>
      </c>
    </row>
    <row r="445" spans="1:15">
      <c r="A445" s="1041"/>
      <c r="B445" s="1038"/>
      <c r="C445" s="1039"/>
      <c r="D445" s="319">
        <v>4</v>
      </c>
      <c r="E445" s="301">
        <f>NhanCong!AC$74</f>
        <v>77332.612500000017</v>
      </c>
      <c r="F445" s="301">
        <f>NhanCong!AC$75</f>
        <v>16373.076923076924</v>
      </c>
      <c r="G445" s="320">
        <f>Dcu!R$106*0.4</f>
        <v>307.79832027540363</v>
      </c>
      <c r="H445" s="320">
        <f>VLieu!P$68</f>
        <v>334.95833333333331</v>
      </c>
      <c r="I445" s="320"/>
      <c r="J445" s="320"/>
      <c r="K445" s="320">
        <f t="shared" si="160"/>
        <v>94348.446076685665</v>
      </c>
      <c r="L445" s="320">
        <f t="shared" si="158"/>
        <v>23587.111519171416</v>
      </c>
      <c r="M445" s="321">
        <f t="shared" si="159"/>
        <v>117935.55759585708</v>
      </c>
      <c r="N445" s="320"/>
      <c r="O445" s="320">
        <f>NhanCong!AD$74</f>
        <v>2189.4230769230767</v>
      </c>
    </row>
    <row r="446" spans="1:15">
      <c r="A446" s="1041" t="s">
        <v>270</v>
      </c>
      <c r="B446" s="1038" t="str">
        <f>NhanCong!B$78</f>
        <v>Đo đạc ranh giới thửa đất và các đối tượng địa lý có liên quan</v>
      </c>
      <c r="C446" s="1039" t="s">
        <v>317</v>
      </c>
      <c r="D446" s="319" t="s">
        <v>18</v>
      </c>
      <c r="E446" s="301">
        <f>NhanCong!AC$78</f>
        <v>83508.48085937502</v>
      </c>
      <c r="F446" s="301">
        <f>NhanCong!AC$79</f>
        <v>2829.9145299145298</v>
      </c>
      <c r="G446" s="320">
        <f>Dcu!R$103</f>
        <v>538.64706048195626</v>
      </c>
      <c r="H446" s="320">
        <f>VLieu!P$69</f>
        <v>334.95833333333331</v>
      </c>
      <c r="I446" s="320">
        <f>TBi!N$77</f>
        <v>1666.48</v>
      </c>
      <c r="J446" s="320"/>
      <c r="K446" s="320">
        <f t="shared" si="160"/>
        <v>88878.480783104838</v>
      </c>
      <c r="L446" s="320">
        <f t="shared" si="158"/>
        <v>22219.62019577621</v>
      </c>
      <c r="M446" s="321">
        <f t="shared" si="159"/>
        <v>111098.10097888105</v>
      </c>
      <c r="N446" s="320"/>
      <c r="O446" s="320">
        <f>NhanCong!AD$78</f>
        <v>2364.2728365384614</v>
      </c>
    </row>
    <row r="447" spans="1:15">
      <c r="A447" s="1041"/>
      <c r="B447" s="1038"/>
      <c r="C447" s="1039"/>
      <c r="D447" s="319" t="s">
        <v>20</v>
      </c>
      <c r="E447" s="301">
        <f>NhanCong!AC$80</f>
        <v>100210.17703125003</v>
      </c>
      <c r="F447" s="301">
        <f>NhanCong!AC$81</f>
        <v>3395.897435897436</v>
      </c>
      <c r="G447" s="320">
        <f>Dcu!R$104</f>
        <v>643.57830603038929</v>
      </c>
      <c r="H447" s="320">
        <f>VLieu!P$69</f>
        <v>334.95833333333331</v>
      </c>
      <c r="I447" s="320">
        <f>TBi!O$77</f>
        <v>1999.2755555555555</v>
      </c>
      <c r="J447" s="320"/>
      <c r="K447" s="320">
        <f t="shared" si="160"/>
        <v>106583.88666206674</v>
      </c>
      <c r="L447" s="320">
        <f t="shared" si="158"/>
        <v>26645.971665516685</v>
      </c>
      <c r="M447" s="321">
        <f t="shared" si="159"/>
        <v>133229.85832758341</v>
      </c>
      <c r="N447" s="320"/>
      <c r="O447" s="320">
        <f>NhanCong!AD$80</f>
        <v>2837.1274038461538</v>
      </c>
    </row>
    <row r="448" spans="1:15">
      <c r="A448" s="1041"/>
      <c r="B448" s="1038"/>
      <c r="C448" s="1039"/>
      <c r="D448" s="319" t="s">
        <v>35</v>
      </c>
      <c r="E448" s="301">
        <f>NhanCong!AC$82</f>
        <v>120253.40584201392</v>
      </c>
      <c r="F448" s="301">
        <f>NhanCong!AC$83</f>
        <v>4075.0769230769233</v>
      </c>
      <c r="G448" s="320">
        <f>Dcu!R$105</f>
        <v>699.54163698955358</v>
      </c>
      <c r="H448" s="320">
        <f>VLieu!P$69</f>
        <v>334.95833333333331</v>
      </c>
      <c r="I448" s="320">
        <f>TBi!P$77</f>
        <v>2165.9861111111113</v>
      </c>
      <c r="J448" s="320"/>
      <c r="K448" s="320">
        <f t="shared" si="160"/>
        <v>127528.96884652483</v>
      </c>
      <c r="L448" s="320">
        <f t="shared" si="158"/>
        <v>31882.242211631208</v>
      </c>
      <c r="M448" s="321">
        <f t="shared" si="159"/>
        <v>159411.21105815604</v>
      </c>
      <c r="N448" s="320"/>
      <c r="O448" s="320">
        <f>NhanCong!AD$82</f>
        <v>3404.5866720085469</v>
      </c>
    </row>
    <row r="449" spans="1:15">
      <c r="A449" s="1041"/>
      <c r="B449" s="1038"/>
      <c r="C449" s="1039"/>
      <c r="D449" s="319" t="s">
        <v>33</v>
      </c>
      <c r="E449" s="301">
        <f>NhanCong!AC$84</f>
        <v>144300.50679687504</v>
      </c>
      <c r="F449" s="301">
        <f>NhanCong!AC$85</f>
        <v>4890.1933760683769</v>
      </c>
      <c r="G449" s="320">
        <f>Dcu!R$106</f>
        <v>769.49580068850901</v>
      </c>
      <c r="H449" s="320">
        <f>VLieu!P$69</f>
        <v>334.95833333333331</v>
      </c>
      <c r="I449" s="320">
        <f>TBi!Q$77</f>
        <v>2332.6966666666667</v>
      </c>
      <c r="J449" s="320"/>
      <c r="K449" s="320">
        <f t="shared" si="160"/>
        <v>152627.85097363192</v>
      </c>
      <c r="L449" s="320">
        <f t="shared" si="158"/>
        <v>38156.962743407981</v>
      </c>
      <c r="M449" s="321">
        <f t="shared" si="159"/>
        <v>190784.81371703991</v>
      </c>
      <c r="N449" s="320"/>
      <c r="O449" s="320">
        <f>NhanCong!AD$84</f>
        <v>4085.4026442307695</v>
      </c>
    </row>
    <row r="450" spans="1:15">
      <c r="A450" s="1041" t="s">
        <v>363</v>
      </c>
      <c r="B450" s="1038" t="str">
        <f>NhanCong!B$88</f>
        <v>Đối soát, kiểm tra</v>
      </c>
      <c r="C450" s="1039" t="s">
        <v>317</v>
      </c>
      <c r="D450" s="319" t="s">
        <v>18</v>
      </c>
      <c r="E450" s="301">
        <f>NhanCong!AC$88</f>
        <v>7129.3985659722239</v>
      </c>
      <c r="F450" s="301">
        <f>NhanCong!AC$89</f>
        <v>1208.272435897436</v>
      </c>
      <c r="G450" s="320">
        <f>Dcu!R$103*0.4</f>
        <v>215.45882419278252</v>
      </c>
      <c r="H450" s="320">
        <f>VLieu!P$70</f>
        <v>174.17833333333334</v>
      </c>
      <c r="I450" s="320"/>
      <c r="J450" s="320"/>
      <c r="K450" s="320">
        <f t="shared" si="160"/>
        <v>8727.3081593957759</v>
      </c>
      <c r="L450" s="320">
        <f t="shared" si="158"/>
        <v>2181.827039848944</v>
      </c>
      <c r="M450" s="321">
        <f t="shared" si="159"/>
        <v>10909.13519924472</v>
      </c>
      <c r="N450" s="320"/>
      <c r="O450" s="320">
        <f>NhanCong!AD$88</f>
        <v>201.84588675213678</v>
      </c>
    </row>
    <row r="451" spans="1:15">
      <c r="A451" s="1041"/>
      <c r="B451" s="1038"/>
      <c r="C451" s="1039"/>
      <c r="D451" s="319" t="s">
        <v>20</v>
      </c>
      <c r="E451" s="301">
        <f>NhanCong!AC$90</f>
        <v>8555.5169600694444</v>
      </c>
      <c r="F451" s="301">
        <f>NhanCong!AC$91</f>
        <v>1449.825854700855</v>
      </c>
      <c r="G451" s="320">
        <f>Dcu!R$104*0.4</f>
        <v>257.43132241215574</v>
      </c>
      <c r="H451" s="320">
        <f>VLieu!P$70</f>
        <v>174.17833333333334</v>
      </c>
      <c r="I451" s="320"/>
      <c r="J451" s="320"/>
      <c r="K451" s="320">
        <f t="shared" si="160"/>
        <v>10436.952470515789</v>
      </c>
      <c r="L451" s="320">
        <f t="shared" si="158"/>
        <v>2609.2381176289473</v>
      </c>
      <c r="M451" s="321">
        <f t="shared" si="159"/>
        <v>13046.190588144736</v>
      </c>
      <c r="N451" s="320"/>
      <c r="O451" s="320">
        <f>NhanCong!AD$90</f>
        <v>242.22182158119656</v>
      </c>
    </row>
    <row r="452" spans="1:15">
      <c r="A452" s="1041"/>
      <c r="B452" s="1038"/>
      <c r="C452" s="1039"/>
      <c r="D452" s="319" t="s">
        <v>35</v>
      </c>
      <c r="E452" s="301">
        <f>NhanCong!AC$92</f>
        <v>10266.859032986113</v>
      </c>
      <c r="F452" s="301">
        <f>NhanCong!AC$93</f>
        <v>1739.8920940170942</v>
      </c>
      <c r="G452" s="320">
        <f>Dcu!R$105*0.4</f>
        <v>279.81665479582142</v>
      </c>
      <c r="H452" s="320">
        <f>VLieu!P$70</f>
        <v>174.17833333333334</v>
      </c>
      <c r="I452" s="320"/>
      <c r="J452" s="320"/>
      <c r="K452" s="320">
        <f t="shared" si="160"/>
        <v>12460.746115132361</v>
      </c>
      <c r="L452" s="320">
        <f t="shared" si="158"/>
        <v>3115.1865287830901</v>
      </c>
      <c r="M452" s="321">
        <f t="shared" si="159"/>
        <v>15575.93264391545</v>
      </c>
      <c r="N452" s="320"/>
      <c r="O452" s="320">
        <f>NhanCong!AD$92</f>
        <v>290.67294337606836</v>
      </c>
    </row>
    <row r="453" spans="1:15">
      <c r="A453" s="1041"/>
      <c r="B453" s="1038"/>
      <c r="C453" s="1039"/>
      <c r="D453" s="319" t="s">
        <v>33</v>
      </c>
      <c r="E453" s="301">
        <f>NhanCong!AC$94</f>
        <v>12319.514796875003</v>
      </c>
      <c r="F453" s="301">
        <f>NhanCong!AC$95</f>
        <v>2087.5673076923081</v>
      </c>
      <c r="G453" s="320">
        <f>Dcu!R$106*0.4</f>
        <v>307.79832027540363</v>
      </c>
      <c r="H453" s="320">
        <f>VLieu!P$70</f>
        <v>174.17833333333334</v>
      </c>
      <c r="I453" s="320"/>
      <c r="J453" s="320"/>
      <c r="K453" s="320">
        <f t="shared" si="160"/>
        <v>14889.058758176048</v>
      </c>
      <c r="L453" s="320">
        <f t="shared" si="158"/>
        <v>3722.2646895440121</v>
      </c>
      <c r="M453" s="321">
        <f t="shared" si="159"/>
        <v>18611.32344772006</v>
      </c>
      <c r="N453" s="320"/>
      <c r="O453" s="320">
        <f>NhanCong!AD$94</f>
        <v>348.78725961538464</v>
      </c>
    </row>
    <row r="454" spans="1:15" ht="12.75" customHeight="1">
      <c r="A454" s="1041" t="s">
        <v>364</v>
      </c>
      <c r="B454" s="1038" t="str">
        <f>NhanCong!B$98</f>
        <v>Giao nhận Phiếu kết quả đo đạc hiện trạng thửa đất</v>
      </c>
      <c r="C454" s="1039" t="s">
        <v>317</v>
      </c>
      <c r="D454" s="319" t="s">
        <v>18</v>
      </c>
      <c r="E454" s="301">
        <f>NhanCong!AC$98</f>
        <v>9982.8287586805582</v>
      </c>
      <c r="F454" s="301">
        <f>NhanCong!AC$99</f>
        <v>4227.1848290598291</v>
      </c>
      <c r="G454" s="320">
        <f>Dcu!R$103*0.4</f>
        <v>215.45882419278252</v>
      </c>
      <c r="H454" s="320">
        <f>VLieu!P$71</f>
        <v>174.17833333333334</v>
      </c>
      <c r="I454" s="320"/>
      <c r="J454" s="320"/>
      <c r="K454" s="320">
        <f t="shared" si="160"/>
        <v>14599.650745266505</v>
      </c>
      <c r="L454" s="320">
        <f t="shared" si="158"/>
        <v>3649.9126863166262</v>
      </c>
      <c r="M454" s="321">
        <f t="shared" si="159"/>
        <v>18249.56343158313</v>
      </c>
      <c r="N454" s="320"/>
      <c r="O454" s="320">
        <f>NhanCong!AD$98</f>
        <v>282.63154380341882</v>
      </c>
    </row>
    <row r="455" spans="1:15">
      <c r="A455" s="1041"/>
      <c r="B455" s="1038"/>
      <c r="C455" s="1039"/>
      <c r="D455" s="319" t="s">
        <v>20</v>
      </c>
      <c r="E455" s="301">
        <f>NhanCong!AC$100</f>
        <v>11979.394510416669</v>
      </c>
      <c r="F455" s="301">
        <f>NhanCong!AC$101</f>
        <v>5072.6217948717958</v>
      </c>
      <c r="G455" s="320">
        <f>Dcu!R$104*0.4</f>
        <v>257.43132241215574</v>
      </c>
      <c r="H455" s="320">
        <f>VLieu!P$71</f>
        <v>174.17833333333334</v>
      </c>
      <c r="I455" s="320"/>
      <c r="J455" s="320"/>
      <c r="K455" s="320">
        <f t="shared" si="160"/>
        <v>17483.625961033951</v>
      </c>
      <c r="L455" s="320">
        <f t="shared" si="158"/>
        <v>4370.9064902584878</v>
      </c>
      <c r="M455" s="321">
        <f t="shared" si="159"/>
        <v>21854.532451292438</v>
      </c>
      <c r="N455" s="320"/>
      <c r="O455" s="320">
        <f>NhanCong!AD$100</f>
        <v>339.15785256410248</v>
      </c>
    </row>
    <row r="456" spans="1:15">
      <c r="A456" s="1041"/>
      <c r="B456" s="1038"/>
      <c r="C456" s="1039"/>
      <c r="D456" s="319" t="s">
        <v>35</v>
      </c>
      <c r="E456" s="301">
        <f>NhanCong!AC$102</f>
        <v>14375.750774305558</v>
      </c>
      <c r="F456" s="301">
        <f>NhanCong!AC$103</f>
        <v>6087.348290598291</v>
      </c>
      <c r="G456" s="320">
        <f>Dcu!R$105*0.4</f>
        <v>279.81665479582142</v>
      </c>
      <c r="H456" s="320">
        <f>VLieu!P$71</f>
        <v>174.17833333333334</v>
      </c>
      <c r="I456" s="320"/>
      <c r="J456" s="320"/>
      <c r="K456" s="320">
        <f t="shared" si="160"/>
        <v>20917.094053033004</v>
      </c>
      <c r="L456" s="320">
        <f t="shared" si="158"/>
        <v>5229.2735132582511</v>
      </c>
      <c r="M456" s="321">
        <f t="shared" si="159"/>
        <v>26146.367566291257</v>
      </c>
      <c r="N456" s="320"/>
      <c r="O456" s="320">
        <f>NhanCong!AD$102</f>
        <v>407.00293803418805</v>
      </c>
    </row>
    <row r="457" spans="1:15">
      <c r="A457" s="1041"/>
      <c r="B457" s="1038"/>
      <c r="C457" s="1039"/>
      <c r="D457" s="319" t="s">
        <v>33</v>
      </c>
      <c r="E457" s="301">
        <f>NhanCong!AC$104</f>
        <v>17250.662248263892</v>
      </c>
      <c r="F457" s="301">
        <f>NhanCong!AC$105</f>
        <v>7304.7168803418808</v>
      </c>
      <c r="G457" s="320">
        <f>Dcu!R$106*0.4</f>
        <v>307.79832027540363</v>
      </c>
      <c r="H457" s="320">
        <f>VLieu!P$71</f>
        <v>174.17833333333334</v>
      </c>
      <c r="I457" s="320"/>
      <c r="J457" s="320"/>
      <c r="K457" s="320">
        <f t="shared" si="160"/>
        <v>25037.355782214512</v>
      </c>
      <c r="L457" s="320">
        <f t="shared" si="158"/>
        <v>6259.338945553628</v>
      </c>
      <c r="M457" s="321">
        <f t="shared" si="159"/>
        <v>31296.694727768139</v>
      </c>
      <c r="N457" s="320"/>
      <c r="O457" s="320">
        <f>NhanCong!AD$104</f>
        <v>488.39676816239319</v>
      </c>
    </row>
    <row r="458" spans="1:15" ht="13.5" customHeight="1">
      <c r="A458" s="298">
        <v>2</v>
      </c>
      <c r="B458" s="316" t="s">
        <v>58</v>
      </c>
      <c r="C458" s="319" t="s">
        <v>43</v>
      </c>
      <c r="D458" s="319"/>
      <c r="E458" s="301">
        <f>NhanCong!AC$108</f>
        <v>0</v>
      </c>
      <c r="F458" s="301"/>
      <c r="G458" s="320"/>
      <c r="H458" s="320"/>
      <c r="I458" s="320"/>
      <c r="J458" s="320"/>
      <c r="K458" s="320">
        <f>E458+F458+G458+I458+J458</f>
        <v>0</v>
      </c>
      <c r="L458" s="320"/>
      <c r="M458" s="321"/>
      <c r="N458" s="320"/>
      <c r="O458" s="320"/>
    </row>
    <row r="459" spans="1:15">
      <c r="A459" s="1041" t="s">
        <v>268</v>
      </c>
      <c r="B459" s="1038" t="str">
        <f>NhanCong!B$109</f>
        <v>Biên tập bản đồ địa chính</v>
      </c>
      <c r="C459" s="1039" t="s">
        <v>317</v>
      </c>
      <c r="D459" s="319" t="s">
        <v>18</v>
      </c>
      <c r="E459" s="301">
        <f>NhanCong!AC$109</f>
        <v>5522.1213666666681</v>
      </c>
      <c r="F459" s="301"/>
      <c r="G459" s="320">
        <f>Dcu!R$123</f>
        <v>40.809068541666662</v>
      </c>
      <c r="H459" s="320">
        <f>VLieu!P$90</f>
        <v>993.60555555555572</v>
      </c>
      <c r="I459" s="320">
        <f>TBi!N$122</f>
        <v>456.87427190476194</v>
      </c>
      <c r="J459" s="320">
        <f>TBi!N$128</f>
        <v>196.79694999999998</v>
      </c>
      <c r="K459" s="320">
        <f>SUM(E459:J459)</f>
        <v>7210.2072126686526</v>
      </c>
      <c r="L459" s="320">
        <f>K459*0.15</f>
        <v>1081.5310819002977</v>
      </c>
      <c r="M459" s="321">
        <f>K459+L459</f>
        <v>8291.7382945689496</v>
      </c>
      <c r="N459" s="320"/>
      <c r="O459" s="320">
        <f>NhanCong!AD$109</f>
        <v>156.34102564102565</v>
      </c>
    </row>
    <row r="460" spans="1:15">
      <c r="A460" s="1041"/>
      <c r="B460" s="1038"/>
      <c r="C460" s="1039"/>
      <c r="D460" s="319" t="s">
        <v>20</v>
      </c>
      <c r="E460" s="301">
        <f>NhanCong!AC$110</f>
        <v>7456.3914027777782</v>
      </c>
      <c r="F460" s="301"/>
      <c r="G460" s="320">
        <f>Dcu!R$124</f>
        <v>50.226545897435891</v>
      </c>
      <c r="H460" s="320">
        <f>VLieu!P$90</f>
        <v>993.60555555555572</v>
      </c>
      <c r="I460" s="320">
        <f>TBi!O$122</f>
        <v>616.45460634920619</v>
      </c>
      <c r="J460" s="320">
        <f>TBi!O$128</f>
        <v>266.08119999999997</v>
      </c>
      <c r="K460" s="320">
        <f>SUM(E460:J460)</f>
        <v>9382.7593105799751</v>
      </c>
      <c r="L460" s="320">
        <f>K460*0.15</f>
        <v>1407.4138965869963</v>
      </c>
      <c r="M460" s="321">
        <f>K460+L460</f>
        <v>10790.173207166972</v>
      </c>
      <c r="N460" s="320"/>
      <c r="O460" s="320">
        <f>NhanCong!AD$110</f>
        <v>211.10363247863248</v>
      </c>
    </row>
    <row r="461" spans="1:15">
      <c r="A461" s="1041"/>
      <c r="B461" s="1038"/>
      <c r="C461" s="1039"/>
      <c r="D461" s="319" t="s">
        <v>35</v>
      </c>
      <c r="E461" s="301">
        <f>NhanCong!AC$111</f>
        <v>10066.605755555558</v>
      </c>
      <c r="F461" s="301"/>
      <c r="G461" s="320">
        <f>Dcu!R$125</f>
        <v>62.783182371794858</v>
      </c>
      <c r="H461" s="320">
        <f>VLieu!P$90</f>
        <v>993.60555555555572</v>
      </c>
      <c r="I461" s="320">
        <f>TBi!P$122</f>
        <v>831.76736686507934</v>
      </c>
      <c r="J461" s="320">
        <f>TBi!P$128</f>
        <v>623.10068333333334</v>
      </c>
      <c r="K461" s="320">
        <f>SUM(E461:J461)</f>
        <v>12577.862543681322</v>
      </c>
      <c r="L461" s="320">
        <f>K461*0.15</f>
        <v>1886.6793815521983</v>
      </c>
      <c r="M461" s="321">
        <f>K461+L461</f>
        <v>14464.54192523352</v>
      </c>
      <c r="N461" s="320"/>
      <c r="O461" s="320">
        <f>NhanCong!AD$111</f>
        <v>285.00341880341881</v>
      </c>
    </row>
    <row r="462" spans="1:15">
      <c r="A462" s="1041"/>
      <c r="B462" s="1038"/>
      <c r="C462" s="1039"/>
      <c r="D462" s="319" t="s">
        <v>33</v>
      </c>
      <c r="E462" s="301">
        <f>NhanCong!AC$112</f>
        <v>13587.626433333335</v>
      </c>
      <c r="F462" s="301"/>
      <c r="G462" s="320">
        <f>Dcu!R$126</f>
        <v>87.8964553205128</v>
      </c>
      <c r="H462" s="320">
        <f>VLieu!P$90</f>
        <v>993.60555555555572</v>
      </c>
      <c r="I462" s="320">
        <f>TBi!Q$122</f>
        <v>1122.6318710317462</v>
      </c>
      <c r="J462" s="320">
        <f>TBi!Q$128</f>
        <v>1105.0853333333334</v>
      </c>
      <c r="K462" s="320">
        <f>SUM(E462:J462)</f>
        <v>16896.845648574483</v>
      </c>
      <c r="L462" s="320">
        <f>K462*0.15</f>
        <v>2534.5268472861721</v>
      </c>
      <c r="M462" s="321">
        <f>K462+L462</f>
        <v>19431.372495860654</v>
      </c>
      <c r="N462" s="320"/>
      <c r="O462" s="320">
        <f>NhanCong!AD$112</f>
        <v>384.68974358974356</v>
      </c>
    </row>
    <row r="463" spans="1:15" ht="26">
      <c r="A463" s="323">
        <v>2.2000000000000002</v>
      </c>
      <c r="B463" s="324" t="str">
        <f>NhanCong!B$114</f>
        <v>Lập Phiếu xác nhận kết quả đo đạc hiện trạng thửa đất</v>
      </c>
      <c r="C463" s="319" t="s">
        <v>317</v>
      </c>
      <c r="D463" s="319" t="s">
        <v>15</v>
      </c>
      <c r="E463" s="301">
        <f>NhanCong!AC$114</f>
        <v>2835.5291250000005</v>
      </c>
      <c r="F463" s="301"/>
      <c r="G463" s="320">
        <f>Dcu!R$138</f>
        <v>29.461388532763532</v>
      </c>
      <c r="H463" s="320">
        <f>VLieu!P$91</f>
        <v>812.95</v>
      </c>
      <c r="I463" s="320">
        <f>TBi!N$150</f>
        <v>237.69630753968258</v>
      </c>
      <c r="J463" s="320">
        <f>TBi!N$153</f>
        <v>311.61526666666668</v>
      </c>
      <c r="K463" s="320">
        <f t="shared" ref="K463:K468" si="161">SUM(E463:J463)</f>
        <v>4227.2520877391134</v>
      </c>
      <c r="L463" s="320">
        <f t="shared" ref="L463:L468" si="162">K463*0.15</f>
        <v>634.08781316086697</v>
      </c>
      <c r="M463" s="321">
        <f t="shared" ref="M463:M468" si="163">K463+L463</f>
        <v>4861.3399008999804</v>
      </c>
      <c r="N463" s="320"/>
      <c r="O463" s="320">
        <f>NhanCong!AD$114</f>
        <v>80.278846153846146</v>
      </c>
    </row>
    <row r="464" spans="1:15" ht="26">
      <c r="A464" s="323">
        <v>2.2999999999999998</v>
      </c>
      <c r="B464" s="324" t="str">
        <f>NhanCong!B$115</f>
        <v>Công khai bản đồ địa chính, Hoàn thiện bản đồ địa chính</v>
      </c>
      <c r="C464" s="319" t="s">
        <v>317</v>
      </c>
      <c r="D464" s="319" t="s">
        <v>15</v>
      </c>
      <c r="E464" s="301">
        <f>NhanCong!AC$115</f>
        <v>2058.3841055555558</v>
      </c>
      <c r="F464" s="301"/>
      <c r="G464" s="320">
        <f>Dcu!R$130</f>
        <v>27.624600243589736</v>
      </c>
      <c r="H464" s="320">
        <f>VLieu!P$94</f>
        <v>361.31111111111113</v>
      </c>
      <c r="I464" s="320">
        <f>TBi!N$176</f>
        <v>119.49885019841271</v>
      </c>
      <c r="J464" s="320">
        <f>TBi!N$179</f>
        <v>156.71039999999999</v>
      </c>
      <c r="K464" s="320">
        <f t="shared" si="161"/>
        <v>2723.5290671086691</v>
      </c>
      <c r="L464" s="320">
        <f t="shared" si="162"/>
        <v>408.52936006630034</v>
      </c>
      <c r="M464" s="321">
        <f t="shared" si="163"/>
        <v>3132.0584271749694</v>
      </c>
      <c r="N464" s="320"/>
      <c r="O464" s="320">
        <f>NhanCong!AD$115</f>
        <v>58.276495726495718</v>
      </c>
    </row>
    <row r="465" spans="1:17">
      <c r="A465" s="323">
        <f>NhanCong!A116</f>
        <v>2.4</v>
      </c>
      <c r="B465" s="324" t="str">
        <f>NhanCong!B$116</f>
        <v>Lập sổ mục kê đất đai phạm vi khu đo</v>
      </c>
      <c r="C465" s="319" t="s">
        <v>317</v>
      </c>
      <c r="D465" s="319" t="s">
        <v>15</v>
      </c>
      <c r="E465" s="301">
        <f>NhanCong!AC$116</f>
        <v>171.85025000000005</v>
      </c>
      <c r="F465" s="301"/>
      <c r="G465" s="320">
        <f>Dcu!R$140</f>
        <v>18.834954711538458</v>
      </c>
      <c r="H465" s="320">
        <f>VLieu!P$94</f>
        <v>361.31111111111113</v>
      </c>
      <c r="I465" s="320"/>
      <c r="J465" s="320"/>
      <c r="K465" s="320">
        <f t="shared" si="161"/>
        <v>551.99631582264965</v>
      </c>
      <c r="L465" s="320">
        <f t="shared" si="162"/>
        <v>82.799447373397442</v>
      </c>
      <c r="M465" s="321">
        <f t="shared" si="163"/>
        <v>634.79576319604712</v>
      </c>
      <c r="N465" s="320"/>
      <c r="O465" s="320">
        <f>NhanCong!AD$116</f>
        <v>4.8653846153846159</v>
      </c>
    </row>
    <row r="466" spans="1:17" ht="39">
      <c r="A466" s="323">
        <f>NhanCong!A117</f>
        <v>2.5</v>
      </c>
      <c r="B466" s="324" t="str">
        <f>NhanCong!B$117</f>
        <v>In sản phẩm đo đạc lập bản đồ địa chính gồm sản phẩm chính và sản phẩm trung gian</v>
      </c>
      <c r="C466" s="319" t="s">
        <v>317</v>
      </c>
      <c r="D466" s="319" t="s">
        <v>15</v>
      </c>
      <c r="E466" s="301">
        <f>NhanCong!AC$117</f>
        <v>95.472361111111127</v>
      </c>
      <c r="F466" s="301"/>
      <c r="G466" s="320">
        <f>Dcu!R$152</f>
        <v>25.581492307692304</v>
      </c>
      <c r="H466" s="320">
        <f>VLieu!P$102</f>
        <v>19.027777777777779</v>
      </c>
      <c r="I466" s="320">
        <f>TBi!N$207</f>
        <v>4.2971055555555564</v>
      </c>
      <c r="J466" s="320">
        <f>TBi!N$211</f>
        <v>3.9697</v>
      </c>
      <c r="K466" s="320">
        <f t="shared" si="161"/>
        <v>148.34843675213676</v>
      </c>
      <c r="L466" s="320">
        <f t="shared" si="162"/>
        <v>22.252265512820514</v>
      </c>
      <c r="M466" s="321">
        <f t="shared" si="163"/>
        <v>170.60070226495728</v>
      </c>
      <c r="N466" s="320"/>
      <c r="O466" s="320">
        <f>NhanCong!AD$117</f>
        <v>2.7029914529914527</v>
      </c>
    </row>
    <row r="467" spans="1:17">
      <c r="A467" s="323">
        <f>NhanCong!A118</f>
        <v>2.6</v>
      </c>
      <c r="B467" s="324" t="str">
        <f>NhanCong!B$118</f>
        <v>Trình ký xác nhận hồ sơ</v>
      </c>
      <c r="C467" s="319" t="s">
        <v>317</v>
      </c>
      <c r="D467" s="319" t="s">
        <v>15</v>
      </c>
      <c r="E467" s="301">
        <f>NhanCong!AC$118</f>
        <v>190.94472222222225</v>
      </c>
      <c r="F467" s="301"/>
      <c r="G467" s="320">
        <f>Dcu!R$140</f>
        <v>18.834954711538458</v>
      </c>
      <c r="H467" s="320">
        <f>VLieu!P$94</f>
        <v>361.31111111111113</v>
      </c>
      <c r="I467" s="320"/>
      <c r="J467" s="320"/>
      <c r="K467" s="320">
        <f t="shared" si="161"/>
        <v>571.09078804487183</v>
      </c>
      <c r="L467" s="320">
        <f t="shared" si="162"/>
        <v>85.663618206730774</v>
      </c>
      <c r="M467" s="321">
        <f t="shared" si="163"/>
        <v>656.75440625160263</v>
      </c>
      <c r="N467" s="320"/>
      <c r="O467" s="320">
        <f>NhanCong!AD$118</f>
        <v>5.4059829059829054</v>
      </c>
    </row>
    <row r="468" spans="1:17" ht="26">
      <c r="A468" s="323">
        <f>NhanCong!A119</f>
        <v>2.7</v>
      </c>
      <c r="B468" s="324" t="str">
        <f>NhanCong!B$119</f>
        <v>Giao nộp sản phẩm đo đạc lập bản đồ địa chính</v>
      </c>
      <c r="C468" s="319" t="s">
        <v>317</v>
      </c>
      <c r="D468" s="319" t="s">
        <v>15</v>
      </c>
      <c r="E468" s="301">
        <f>NhanCong!AC$119</f>
        <v>381.88944444444451</v>
      </c>
      <c r="F468" s="301"/>
      <c r="G468" s="320">
        <f>Dcu!R$154</f>
        <v>1.2790746153846153</v>
      </c>
      <c r="H468" s="320">
        <f>VLieu!P$94</f>
        <v>361.31111111111113</v>
      </c>
      <c r="I468" s="320"/>
      <c r="J468" s="320"/>
      <c r="K468" s="320">
        <f t="shared" si="161"/>
        <v>744.47963017094025</v>
      </c>
      <c r="L468" s="320">
        <f t="shared" si="162"/>
        <v>111.67194452564104</v>
      </c>
      <c r="M468" s="321">
        <f t="shared" si="163"/>
        <v>856.15157469658129</v>
      </c>
      <c r="N468" s="320"/>
      <c r="O468" s="320">
        <f>NhanCong!AD$119</f>
        <v>10.811965811965811</v>
      </c>
    </row>
    <row r="469" spans="1:17">
      <c r="A469" s="298" t="str">
        <f>L_CViec!A31</f>
        <v>III</v>
      </c>
      <c r="B469" s="314" t="str">
        <f>L_CViec!B31</f>
        <v>SỐ HOÁ VÀ CHUYỂN HỆ TOẠ ĐỘ BẢN ĐỒ ĐỊA CHÍNH:</v>
      </c>
      <c r="C469" s="300"/>
      <c r="D469" s="300"/>
      <c r="E469" s="301"/>
      <c r="F469" s="301"/>
      <c r="G469" s="301"/>
      <c r="H469" s="301"/>
      <c r="I469" s="301"/>
      <c r="J469" s="301"/>
      <c r="K469" s="301"/>
      <c r="L469" s="301"/>
      <c r="M469" s="315"/>
      <c r="N469" s="301"/>
      <c r="O469" s="301"/>
    </row>
    <row r="470" spans="1:17">
      <c r="A470" s="298">
        <v>1</v>
      </c>
      <c r="B470" s="316" t="s">
        <v>207</v>
      </c>
      <c r="C470" s="333"/>
      <c r="D470" s="333"/>
      <c r="E470" s="301"/>
      <c r="F470" s="301"/>
      <c r="G470" s="301"/>
      <c r="H470" s="301"/>
      <c r="I470" s="301"/>
      <c r="J470" s="301"/>
      <c r="K470" s="301"/>
      <c r="L470" s="301"/>
      <c r="M470" s="302">
        <v>6.25</v>
      </c>
      <c r="N470" s="325" t="s">
        <v>21</v>
      </c>
      <c r="O470" s="301"/>
    </row>
    <row r="471" spans="1:17">
      <c r="A471" s="298" t="s">
        <v>27</v>
      </c>
      <c r="B471" s="316" t="s">
        <v>203</v>
      </c>
      <c r="C471" s="333"/>
      <c r="D471" s="333"/>
      <c r="E471" s="301"/>
      <c r="F471" s="301"/>
      <c r="G471" s="301"/>
      <c r="H471" s="301"/>
      <c r="I471" s="301"/>
      <c r="J471" s="301"/>
      <c r="K471" s="301"/>
      <c r="L471" s="301"/>
      <c r="M471" s="302"/>
      <c r="N471" s="301"/>
      <c r="O471" s="301"/>
    </row>
    <row r="472" spans="1:17">
      <c r="A472" s="300"/>
      <c r="B472" s="299"/>
      <c r="C472" s="333" t="s">
        <v>317</v>
      </c>
      <c r="D472" s="319" t="s">
        <v>18</v>
      </c>
      <c r="E472" s="301">
        <f>(NhanCong!I$126+NhanCong!I$127+NhanCong!I$132+NhanCong!I$133)</f>
        <v>277710.00400000002</v>
      </c>
      <c r="F472" s="301"/>
      <c r="G472" s="320">
        <f>Dcu!M$178</f>
        <v>4048.1521859829049</v>
      </c>
      <c r="H472" s="320">
        <f>VLieu!K$117</f>
        <v>16368</v>
      </c>
      <c r="I472" s="320">
        <f>TBi!N$218</f>
        <v>24369.507314285715</v>
      </c>
      <c r="J472" s="320">
        <f>TBi!N$226</f>
        <v>7942.3680000000004</v>
      </c>
      <c r="K472" s="320">
        <f>SUM(E472:J472)</f>
        <v>330438.03150026867</v>
      </c>
      <c r="L472" s="320">
        <f>K472*0.15</f>
        <v>49565.704725040297</v>
      </c>
      <c r="M472" s="321">
        <f>K472+L472</f>
        <v>380003.73622530897</v>
      </c>
      <c r="N472" s="320"/>
      <c r="O472" s="320">
        <f>(NhanCong!J$126+NhanCong!J$127+NhanCong!J$132+NhanCong!J$133)</f>
        <v>7862.461538461539</v>
      </c>
      <c r="P472" s="334"/>
      <c r="Q472" s="335"/>
    </row>
    <row r="473" spans="1:17">
      <c r="A473" s="300"/>
      <c r="B473" s="299"/>
      <c r="C473" s="319"/>
      <c r="D473" s="319" t="s">
        <v>20</v>
      </c>
      <c r="E473" s="301">
        <f>(NhanCong!I$126+NhanCong!I$128+NhanCong!I$132+NhanCong!I$133)</f>
        <v>306305.8856000001</v>
      </c>
      <c r="F473" s="301"/>
      <c r="G473" s="320">
        <f>Dcu!M$179</f>
        <v>4634.0689497435887</v>
      </c>
      <c r="H473" s="320">
        <f>VLieu!K$117</f>
        <v>16368</v>
      </c>
      <c r="I473" s="320">
        <f>TBi!O$218</f>
        <v>28786.519657142861</v>
      </c>
      <c r="J473" s="320">
        <f>TBi!O$226</f>
        <v>9010.848</v>
      </c>
      <c r="K473" s="320">
        <f>SUM(E473:J473)</f>
        <v>365105.32220688654</v>
      </c>
      <c r="L473" s="320">
        <f>K473*0.15</f>
        <v>54765.79833103298</v>
      </c>
      <c r="M473" s="321">
        <f>K473+L473</f>
        <v>419871.12053791952</v>
      </c>
      <c r="N473" s="320"/>
      <c r="O473" s="320">
        <f>(NhanCong!J$126+NhanCong!J$128+NhanCong!J$132+NhanCong!J$133)</f>
        <v>8672.0615384615376</v>
      </c>
      <c r="P473" s="334"/>
      <c r="Q473" s="335"/>
    </row>
    <row r="474" spans="1:17">
      <c r="A474" s="300"/>
      <c r="B474" s="299"/>
      <c r="C474" s="319"/>
      <c r="D474" s="319" t="s">
        <v>35</v>
      </c>
      <c r="E474" s="301">
        <f>(NhanCong!I$126+NhanCong!I$129+NhanCong!I$132+NhanCong!I$133)</f>
        <v>339851.05440000002</v>
      </c>
      <c r="F474" s="301"/>
      <c r="G474" s="320">
        <f>Dcu!M$180</f>
        <v>5326.5160341880328</v>
      </c>
      <c r="H474" s="320">
        <f>VLieu!K$117</f>
        <v>16368</v>
      </c>
      <c r="I474" s="320">
        <f>TBi!P$218</f>
        <v>34112.717828571433</v>
      </c>
      <c r="J474" s="320">
        <f>TBi!P$226</f>
        <v>10364.256000000001</v>
      </c>
      <c r="K474" s="320">
        <f>SUM(E474:J474)</f>
        <v>406022.5442627595</v>
      </c>
      <c r="L474" s="320">
        <f>K474*0.15</f>
        <v>60903.381639413921</v>
      </c>
      <c r="M474" s="321">
        <f>K474+L474</f>
        <v>466925.92590217345</v>
      </c>
      <c r="N474" s="320"/>
      <c r="O474" s="320">
        <f>(NhanCong!J$126+NhanCong!J$129+NhanCong!J$132+NhanCong!J$133)</f>
        <v>9621.7846153846149</v>
      </c>
      <c r="P474" s="334"/>
      <c r="Q474" s="335"/>
    </row>
    <row r="475" spans="1:17">
      <c r="A475" s="300"/>
      <c r="B475" s="299"/>
      <c r="C475" s="319"/>
      <c r="D475" s="319" t="s">
        <v>33</v>
      </c>
      <c r="E475" s="301">
        <f>(NhanCong!I$126+NhanCong!I$130+NhanCong!I$132+NhanCong!I$133)</f>
        <v>378345.51040000003</v>
      </c>
      <c r="F475" s="301"/>
      <c r="G475" s="320">
        <f>Dcu!M$181</f>
        <v>6125.4934393162375</v>
      </c>
      <c r="H475" s="320">
        <f>VLieu!K$117</f>
        <v>16368</v>
      </c>
      <c r="I475" s="320">
        <f>TBi!Q$218</f>
        <v>40348.101828571424</v>
      </c>
      <c r="J475" s="320">
        <f>TBi!Q$226</f>
        <v>11966.976000000001</v>
      </c>
      <c r="K475" s="320">
        <f>SUM(E475:J475)</f>
        <v>453154.08166788769</v>
      </c>
      <c r="L475" s="320">
        <f>K475*0.15</f>
        <v>67973.112250183156</v>
      </c>
      <c r="M475" s="321">
        <f>K475+L475</f>
        <v>521127.19391807087</v>
      </c>
      <c r="N475" s="320"/>
      <c r="O475" s="320">
        <f>(NhanCong!J$126+NhanCong!J$130+NhanCong!J$132+NhanCong!J$133)</f>
        <v>10711.630769230767</v>
      </c>
      <c r="P475" s="334"/>
      <c r="Q475" s="335"/>
    </row>
    <row r="476" spans="1:17">
      <c r="A476" s="300"/>
      <c r="B476" s="299"/>
      <c r="C476" s="319"/>
      <c r="D476" s="319" t="s">
        <v>13</v>
      </c>
      <c r="E476" s="301">
        <f>(NhanCong!I$126+NhanCong!I$131+NhanCong!I$132+NhanCong!I$133)</f>
        <v>422339.17440000008</v>
      </c>
      <c r="F476" s="301"/>
      <c r="G476" s="320">
        <f>Dcu!M$182</f>
        <v>7031.0011651282039</v>
      </c>
      <c r="H476" s="320">
        <f>VLieu!K$117</f>
        <v>16368</v>
      </c>
      <c r="I476" s="320">
        <f>TBi!R$218</f>
        <v>47852.558971428574</v>
      </c>
      <c r="J476" s="320">
        <f>TBi!R$226</f>
        <v>13854.624</v>
      </c>
      <c r="K476" s="320">
        <f>SUM(E476:J476)</f>
        <v>507445.35853655689</v>
      </c>
      <c r="L476" s="320">
        <f>K476*0.15</f>
        <v>76116.803780483533</v>
      </c>
      <c r="M476" s="321">
        <f>K476+L476</f>
        <v>583562.16231704038</v>
      </c>
      <c r="N476" s="320"/>
      <c r="O476" s="320">
        <f>(NhanCong!J$126+NhanCong!J$131+NhanCong!J$132+NhanCong!J$133)</f>
        <v>11957.16923076923</v>
      </c>
      <c r="P476" s="334"/>
      <c r="Q476" s="335"/>
    </row>
    <row r="477" spans="1:17">
      <c r="A477" s="298" t="s">
        <v>28</v>
      </c>
      <c r="B477" s="316" t="s">
        <v>204</v>
      </c>
      <c r="C477" s="333"/>
      <c r="D477" s="333"/>
      <c r="E477" s="301"/>
      <c r="F477" s="301"/>
      <c r="G477" s="301"/>
      <c r="H477" s="301"/>
      <c r="I477" s="301"/>
      <c r="J477" s="301"/>
      <c r="K477" s="301"/>
      <c r="L477" s="301"/>
      <c r="M477" s="315">
        <v>25</v>
      </c>
      <c r="N477" s="325" t="s">
        <v>21</v>
      </c>
      <c r="O477" s="301"/>
      <c r="P477" s="334"/>
      <c r="Q477" s="335"/>
    </row>
    <row r="478" spans="1:17">
      <c r="A478" s="300"/>
      <c r="B478" s="299"/>
      <c r="C478" s="333" t="s">
        <v>317</v>
      </c>
      <c r="D478" s="319" t="s">
        <v>18</v>
      </c>
      <c r="E478" s="301">
        <f>(NhanCong!M$126+NhanCong!M$127+NhanCong!M$132+NhanCong!M$133)</f>
        <v>116858.17000000004</v>
      </c>
      <c r="F478" s="301"/>
      <c r="G478" s="320">
        <f>Dcu!N$178</f>
        <v>1784.5250543589741</v>
      </c>
      <c r="H478" s="320">
        <f>VLieu!L$117</f>
        <v>4092</v>
      </c>
      <c r="I478" s="320">
        <f>TBi!N$227</f>
        <v>12750.124542857142</v>
      </c>
      <c r="J478" s="320">
        <f>TBi!N$235</f>
        <v>3668.4480000000003</v>
      </c>
      <c r="K478" s="320">
        <f>SUM(E478:J478)</f>
        <v>139153.26759721615</v>
      </c>
      <c r="L478" s="320">
        <f>K478*0.15</f>
        <v>20872.990139582424</v>
      </c>
      <c r="M478" s="321">
        <f>K478+L478</f>
        <v>160026.25773679858</v>
      </c>
      <c r="N478" s="336"/>
      <c r="O478" s="320">
        <f>(NhanCong!N$126+NhanCong!N$127+NhanCong!N$132+NhanCong!N$133)</f>
        <v>3308.4615384615381</v>
      </c>
      <c r="P478" s="334"/>
      <c r="Q478" s="335"/>
    </row>
    <row r="479" spans="1:17">
      <c r="A479" s="300"/>
      <c r="B479" s="299"/>
      <c r="C479" s="319"/>
      <c r="D479" s="319" t="s">
        <v>20</v>
      </c>
      <c r="E479" s="301">
        <f>(NhanCong!M$126+NhanCong!M$128+NhanCong!M$132+NhanCong!M$133)</f>
        <v>130606.19000000003</v>
      </c>
      <c r="F479" s="301"/>
      <c r="G479" s="320">
        <f>Dcu!N$179</f>
        <v>2042.811575384615</v>
      </c>
      <c r="H479" s="320">
        <f>VLieu!L$117</f>
        <v>4092</v>
      </c>
      <c r="I479" s="320">
        <f>TBi!O$227</f>
        <v>13543.004828571427</v>
      </c>
      <c r="J479" s="320">
        <f>TBi!O$235</f>
        <v>3864.3359999999998</v>
      </c>
      <c r="K479" s="320">
        <f>SUM(E479:J479)</f>
        <v>154148.34240395608</v>
      </c>
      <c r="L479" s="320">
        <f>K479*0.15</f>
        <v>23122.251360593411</v>
      </c>
      <c r="M479" s="321">
        <f>K479+L479</f>
        <v>177270.5937645495</v>
      </c>
      <c r="N479" s="336"/>
      <c r="O479" s="320">
        <f>(NhanCong!N$126+NhanCong!N$128+NhanCong!N$132+NhanCong!N$133)</f>
        <v>3697.6923076923072</v>
      </c>
      <c r="P479" s="334"/>
      <c r="Q479" s="335"/>
    </row>
    <row r="480" spans="1:17">
      <c r="A480" s="300"/>
      <c r="B480" s="299"/>
      <c r="C480" s="319"/>
      <c r="D480" s="319" t="s">
        <v>35</v>
      </c>
      <c r="E480" s="301">
        <f>(NhanCong!M$126+NhanCong!M$129+NhanCong!M$132+NhanCong!M$133)</f>
        <v>146416.41300000003</v>
      </c>
      <c r="F480" s="301"/>
      <c r="G480" s="320">
        <f>Dcu!N$180</f>
        <v>2348.0592820512816</v>
      </c>
      <c r="H480" s="320">
        <f>VLieu!L$117</f>
        <v>4092</v>
      </c>
      <c r="I480" s="320">
        <f>TBi!P$227</f>
        <v>15413.223628571428</v>
      </c>
      <c r="J480" s="320">
        <f>TBi!P$235</f>
        <v>4336.2480000000005</v>
      </c>
      <c r="K480" s="320">
        <f>SUM(E480:J480)</f>
        <v>172605.94391062274</v>
      </c>
      <c r="L480" s="320">
        <f>K480*0.15</f>
        <v>25890.89158659341</v>
      </c>
      <c r="M480" s="321">
        <f>K480+L480</f>
        <v>198496.83549721615</v>
      </c>
      <c r="N480" s="336"/>
      <c r="O480" s="320">
        <f>(NhanCong!N$126+NhanCong!N$129+NhanCong!N$132+NhanCong!N$133)</f>
        <v>4145.3076923076924</v>
      </c>
      <c r="P480" s="334"/>
      <c r="Q480" s="335"/>
    </row>
    <row r="481" spans="1:17">
      <c r="A481" s="300"/>
      <c r="B481" s="299"/>
      <c r="C481" s="319"/>
      <c r="D481" s="319" t="s">
        <v>33</v>
      </c>
      <c r="E481" s="301">
        <f>(NhanCong!M$126+NhanCong!M$130+NhanCong!M$132+NhanCong!M$133)</f>
        <v>164563.79940000005</v>
      </c>
      <c r="F481" s="301"/>
      <c r="G481" s="320">
        <f>Dcu!N$181</f>
        <v>2700.2681743589737</v>
      </c>
      <c r="H481" s="320">
        <f>VLieu!L$117</f>
        <v>4092</v>
      </c>
      <c r="I481" s="320">
        <f>TBi!Q$227</f>
        <v>17934.0936</v>
      </c>
      <c r="J481" s="320">
        <f>TBi!Q$235</f>
        <v>4977.3359999999993</v>
      </c>
      <c r="K481" s="320">
        <f>SUM(E481:J481)</f>
        <v>194267.49717435901</v>
      </c>
      <c r="L481" s="320">
        <f>K481*0.15</f>
        <v>29140.124576153852</v>
      </c>
      <c r="M481" s="321">
        <f>K481+L481</f>
        <v>223407.62175051286</v>
      </c>
      <c r="N481" s="336"/>
      <c r="O481" s="320">
        <f>(NhanCong!N$126+NhanCong!N$130+NhanCong!N$132+NhanCong!N$133)</f>
        <v>4659.0923076923082</v>
      </c>
      <c r="P481" s="334"/>
      <c r="Q481" s="335"/>
    </row>
    <row r="482" spans="1:17">
      <c r="A482" s="300"/>
      <c r="B482" s="299"/>
      <c r="C482" s="319"/>
      <c r="D482" s="319" t="s">
        <v>13</v>
      </c>
      <c r="E482" s="301">
        <f>(NhanCong!M$126+NhanCong!M$131+NhanCong!M$132+NhanCong!M$133)</f>
        <v>185460.78980000006</v>
      </c>
      <c r="F482" s="301"/>
      <c r="G482" s="320">
        <f>Dcu!N$182</f>
        <v>3099.438252307692</v>
      </c>
      <c r="H482" s="320">
        <f>VLieu!L$117</f>
        <v>4092</v>
      </c>
      <c r="I482" s="320">
        <f>TBi!R$227</f>
        <v>26065.619971428569</v>
      </c>
      <c r="J482" s="320">
        <f>TBi!R$235</f>
        <v>7034.16</v>
      </c>
      <c r="K482" s="320">
        <f>SUM(E482:J482)</f>
        <v>225752.0080237363</v>
      </c>
      <c r="L482" s="320">
        <f>K482*0.15</f>
        <v>33862.801203560441</v>
      </c>
      <c r="M482" s="321">
        <f>K482+L482</f>
        <v>259614.80922729673</v>
      </c>
      <c r="N482" s="336"/>
      <c r="O482" s="320">
        <f>(NhanCong!N$126+NhanCong!N$131+NhanCong!N$132+NhanCong!N$133)</f>
        <v>5250.7230769230773</v>
      </c>
      <c r="P482" s="334"/>
      <c r="Q482" s="335"/>
    </row>
    <row r="483" spans="1:17">
      <c r="A483" s="298" t="s">
        <v>29</v>
      </c>
      <c r="B483" s="316" t="s">
        <v>205</v>
      </c>
      <c r="C483" s="333"/>
      <c r="D483" s="333"/>
      <c r="E483" s="301"/>
      <c r="F483" s="301"/>
      <c r="G483" s="301"/>
      <c r="H483" s="301"/>
      <c r="I483" s="301"/>
      <c r="J483" s="301"/>
      <c r="K483" s="301"/>
      <c r="L483" s="301"/>
      <c r="M483" s="315">
        <v>100</v>
      </c>
      <c r="N483" s="325" t="s">
        <v>21</v>
      </c>
      <c r="O483" s="301"/>
      <c r="P483" s="334"/>
      <c r="Q483" s="335"/>
    </row>
    <row r="484" spans="1:17">
      <c r="A484" s="300"/>
      <c r="B484" s="299"/>
      <c r="C484" s="333" t="s">
        <v>317</v>
      </c>
      <c r="D484" s="319" t="s">
        <v>18</v>
      </c>
      <c r="E484" s="301">
        <f>(NhanCong!Q$126+NhanCong!Q$127+NhanCong!Q$132+NhanCong!Q$133)</f>
        <v>51726.925250000008</v>
      </c>
      <c r="F484" s="301"/>
      <c r="G484" s="320">
        <f>Dcu!O$178</f>
        <v>595.83065914529925</v>
      </c>
      <c r="H484" s="320">
        <f>VLieu!M$117</f>
        <v>1101</v>
      </c>
      <c r="I484" s="320">
        <f>TBi!N$236</f>
        <v>3876.912864285714</v>
      </c>
      <c r="J484" s="320">
        <f>TBi!N$244</f>
        <v>1241.4402</v>
      </c>
      <c r="K484" s="320">
        <f>SUM(E484:J484)</f>
        <v>58542.108973431023</v>
      </c>
      <c r="L484" s="320">
        <f>K484*0.15</f>
        <v>8781.3163460146534</v>
      </c>
      <c r="M484" s="321">
        <f>K484+L484</f>
        <v>67323.425319445669</v>
      </c>
      <c r="N484" s="336"/>
      <c r="O484" s="320">
        <f>(NhanCong!R$126+NhanCong!R$127+NhanCong!R$132+NhanCong!R$133)</f>
        <v>1464.4807692307691</v>
      </c>
      <c r="P484" s="334"/>
      <c r="Q484" s="335"/>
    </row>
    <row r="485" spans="1:17">
      <c r="A485" s="300"/>
      <c r="B485" s="299"/>
      <c r="C485" s="319"/>
      <c r="D485" s="319" t="s">
        <v>20</v>
      </c>
      <c r="E485" s="301">
        <f>(NhanCong!Q$126+NhanCong!Q$128+NhanCong!Q$132+NhanCong!Q$133)</f>
        <v>58291.604800000008</v>
      </c>
      <c r="F485" s="301"/>
      <c r="G485" s="320">
        <f>Dcu!O$179</f>
        <v>682.06930717948728</v>
      </c>
      <c r="H485" s="320">
        <f>VLieu!M$117</f>
        <v>1101</v>
      </c>
      <c r="I485" s="320">
        <f>TBi!O$236</f>
        <v>4789.8023142857146</v>
      </c>
      <c r="J485" s="320">
        <f>TBi!O$244</f>
        <v>1540.1694</v>
      </c>
      <c r="K485" s="320">
        <f>SUM(E485:J485)</f>
        <v>66404.645821465208</v>
      </c>
      <c r="L485" s="320">
        <f>K485*0.15</f>
        <v>9960.6968732197802</v>
      </c>
      <c r="M485" s="321">
        <f>K485+L485</f>
        <v>76365.342694684994</v>
      </c>
      <c r="N485" s="336"/>
      <c r="O485" s="320">
        <f>(NhanCong!R$126+NhanCong!R$128+NhanCong!R$132+NhanCong!R$133)</f>
        <v>1650.3384615384614</v>
      </c>
      <c r="P485" s="334"/>
      <c r="Q485" s="335"/>
    </row>
    <row r="486" spans="1:17">
      <c r="A486" s="300"/>
      <c r="B486" s="299"/>
      <c r="C486" s="319"/>
      <c r="D486" s="319" t="s">
        <v>35</v>
      </c>
      <c r="E486" s="301">
        <f>(NhanCong!Q$126+NhanCong!Q$129+NhanCong!Q$132+NhanCong!Q$133)</f>
        <v>65818.645750000011</v>
      </c>
      <c r="F486" s="301"/>
      <c r="G486" s="320">
        <f>Dcu!O$180</f>
        <v>783.98770940170948</v>
      </c>
      <c r="H486" s="320">
        <f>VLieu!M$117</f>
        <v>1101</v>
      </c>
      <c r="I486" s="320">
        <f>TBi!P$236</f>
        <v>6322.0746857142849</v>
      </c>
      <c r="J486" s="320">
        <f>TBi!P$244</f>
        <v>2031.8928000000001</v>
      </c>
      <c r="K486" s="320">
        <f>SUM(E486:J486)</f>
        <v>76057.600945116006</v>
      </c>
      <c r="L486" s="320">
        <f>K486*0.15</f>
        <v>11408.640141767401</v>
      </c>
      <c r="M486" s="321">
        <f>K486+L486</f>
        <v>87466.241086883412</v>
      </c>
      <c r="N486" s="336"/>
      <c r="O486" s="320">
        <f>(NhanCong!R$126+NhanCong!R$129+NhanCong!R$132+NhanCong!R$133)</f>
        <v>1863.4423076923078</v>
      </c>
      <c r="P486" s="334"/>
      <c r="Q486" s="335"/>
    </row>
    <row r="487" spans="1:17">
      <c r="A487" s="300"/>
      <c r="B487" s="299"/>
      <c r="C487" s="319"/>
      <c r="D487" s="319" t="s">
        <v>33</v>
      </c>
      <c r="E487" s="301">
        <f>(NhanCong!Q$126+NhanCong!Q$130+NhanCong!Q$132+NhanCong!Q$133)</f>
        <v>74479.898350000018</v>
      </c>
      <c r="F487" s="301"/>
      <c r="G487" s="320">
        <f>Dcu!O$181</f>
        <v>901.58586581196585</v>
      </c>
      <c r="H487" s="320">
        <f>VLieu!M$117</f>
        <v>1101</v>
      </c>
      <c r="I487" s="320">
        <f>TBi!Q$236</f>
        <v>7354.7002928571428</v>
      </c>
      <c r="J487" s="320">
        <f>TBi!Q$244</f>
        <v>2353.5498000000002</v>
      </c>
      <c r="K487" s="320">
        <f>SUM(E487:J487)</f>
        <v>86190.734308669125</v>
      </c>
      <c r="L487" s="320">
        <f>K487*0.15</f>
        <v>12928.610146300369</v>
      </c>
      <c r="M487" s="321">
        <f>K487+L487</f>
        <v>99119.344454969498</v>
      </c>
      <c r="N487" s="336"/>
      <c r="O487" s="320">
        <f>(NhanCong!R$126+NhanCong!R$130+NhanCong!R$132+NhanCong!R$133)</f>
        <v>2108.6576923076923</v>
      </c>
      <c r="P487" s="334"/>
      <c r="Q487" s="335"/>
    </row>
    <row r="488" spans="1:17">
      <c r="A488" s="300"/>
      <c r="B488" s="299"/>
      <c r="C488" s="319"/>
      <c r="D488" s="319" t="s">
        <v>13</v>
      </c>
      <c r="E488" s="301">
        <f>(NhanCong!Q$126+NhanCong!Q$131+NhanCong!Q$132+NhanCong!Q$133)</f>
        <v>84447.212850000011</v>
      </c>
      <c r="F488" s="301"/>
      <c r="G488" s="320">
        <f>Dcu!O$182</f>
        <v>1034.8637764102566</v>
      </c>
      <c r="H488" s="320">
        <f>VLieu!M$117</f>
        <v>1101</v>
      </c>
      <c r="I488" s="320">
        <f>TBi!R$236</f>
        <v>9142.9525428571433</v>
      </c>
      <c r="J488" s="320">
        <f>TBi!R$244</f>
        <v>2912.7209999999995</v>
      </c>
      <c r="K488" s="320">
        <f>SUM(E488:J488)</f>
        <v>98638.750169267427</v>
      </c>
      <c r="L488" s="320">
        <f>K488*0.15</f>
        <v>14795.812525390113</v>
      </c>
      <c r="M488" s="321">
        <f>K488+L488</f>
        <v>113434.56269465754</v>
      </c>
      <c r="N488" s="336"/>
      <c r="O488" s="320">
        <f>(NhanCong!R$126+NhanCong!R$131+NhanCong!R$132+NhanCong!R$133)</f>
        <v>2390.85</v>
      </c>
      <c r="P488" s="334"/>
      <c r="Q488" s="335"/>
    </row>
    <row r="489" spans="1:17">
      <c r="A489" s="298" t="s">
        <v>30</v>
      </c>
      <c r="B489" s="316" t="s">
        <v>206</v>
      </c>
      <c r="C489" s="333"/>
      <c r="D489" s="333"/>
      <c r="E489" s="301"/>
      <c r="F489" s="301"/>
      <c r="G489" s="301"/>
      <c r="H489" s="301"/>
      <c r="I489" s="301"/>
      <c r="J489" s="301"/>
      <c r="K489" s="301"/>
      <c r="L489" s="301"/>
      <c r="M489" s="315">
        <v>900</v>
      </c>
      <c r="N489" s="325" t="s">
        <v>21</v>
      </c>
      <c r="O489" s="301"/>
      <c r="P489" s="334"/>
      <c r="Q489" s="335"/>
    </row>
    <row r="490" spans="1:17">
      <c r="A490" s="300"/>
      <c r="B490" s="299"/>
      <c r="C490" s="333" t="s">
        <v>317</v>
      </c>
      <c r="D490" s="319" t="s">
        <v>18</v>
      </c>
      <c r="E490" s="301">
        <f>(NhanCong!U$126+NhanCong!U$127+NhanCong!U$132+NhanCong!U$133)</f>
        <v>9967.3145000000022</v>
      </c>
      <c r="F490" s="301"/>
      <c r="G490" s="320">
        <f>Dcu!P$178</f>
        <v>104.53232886989554</v>
      </c>
      <c r="H490" s="320">
        <f>VLieu!N$117</f>
        <v>122.33333333333333</v>
      </c>
      <c r="I490" s="320">
        <f>TBi!N$245</f>
        <v>745.40651428571425</v>
      </c>
      <c r="J490" s="320">
        <f>TBi!N$253</f>
        <v>237.04426666666666</v>
      </c>
      <c r="K490" s="320">
        <f>SUM(E490:J490)</f>
        <v>11176.630943155611</v>
      </c>
      <c r="L490" s="320">
        <f>K490*0.15</f>
        <v>1676.4946414733415</v>
      </c>
      <c r="M490" s="321">
        <f>K490+L490</f>
        <v>12853.125584628953</v>
      </c>
      <c r="N490" s="320"/>
      <c r="O490" s="320">
        <f>(NhanCong!V$126+NhanCong!V$127+NhanCong!V$132+NhanCong!V$133)</f>
        <v>282.19230769230762</v>
      </c>
      <c r="P490" s="334"/>
      <c r="Q490" s="335"/>
    </row>
    <row r="491" spans="1:17">
      <c r="A491" s="300"/>
      <c r="B491" s="299"/>
      <c r="C491" s="319"/>
      <c r="D491" s="319" t="s">
        <v>20</v>
      </c>
      <c r="E491" s="301">
        <f>(NhanCong!U$126+NhanCong!U$128+NhanCong!U$132+NhanCong!U$133)</f>
        <v>11296.28976666667</v>
      </c>
      <c r="F491" s="301"/>
      <c r="G491" s="320">
        <f>Dcu!P$179</f>
        <v>119.66200804843304</v>
      </c>
      <c r="H491" s="320">
        <f>VLieu!N$117</f>
        <v>122.33333333333333</v>
      </c>
      <c r="I491" s="320">
        <f>TBi!O$245</f>
        <v>980.23466190476177</v>
      </c>
      <c r="J491" s="320">
        <f>TBi!O$253</f>
        <v>313.12399999999997</v>
      </c>
      <c r="K491" s="320">
        <f>SUM(E491:J491)</f>
        <v>12831.6437699532</v>
      </c>
      <c r="L491" s="320">
        <f>K491*0.15</f>
        <v>1924.7465654929799</v>
      </c>
      <c r="M491" s="321">
        <f>K491+L491</f>
        <v>14756.39033544618</v>
      </c>
      <c r="N491" s="320"/>
      <c r="O491" s="320">
        <f>(NhanCong!V$126+NhanCong!V$128+NhanCong!V$132+NhanCong!V$133)</f>
        <v>319.8179487179487</v>
      </c>
      <c r="P491" s="334"/>
      <c r="Q491" s="335"/>
    </row>
    <row r="492" spans="1:17">
      <c r="A492" s="300"/>
      <c r="B492" s="299"/>
      <c r="C492" s="319"/>
      <c r="D492" s="319" t="s">
        <v>35</v>
      </c>
      <c r="E492" s="301">
        <f>(NhanCong!U$126+NhanCong!U$129+NhanCong!U$132+NhanCong!U$133)</f>
        <v>12827.666438888891</v>
      </c>
      <c r="F492" s="301"/>
      <c r="G492" s="320">
        <f>Dcu!P$180</f>
        <v>137.54253798670464</v>
      </c>
      <c r="H492" s="320">
        <f>VLieu!N$117</f>
        <v>122.33333333333333</v>
      </c>
      <c r="I492" s="320">
        <f>TBi!P$245</f>
        <v>1171.2626928571428</v>
      </c>
      <c r="J492" s="320">
        <f>TBi!P$253</f>
        <v>373.02813333333336</v>
      </c>
      <c r="K492" s="320">
        <f>SUM(E492:J492)</f>
        <v>14631.833136399406</v>
      </c>
      <c r="L492" s="320">
        <f>K492*0.15</f>
        <v>2194.7749704599109</v>
      </c>
      <c r="M492" s="321">
        <f>K492+L492</f>
        <v>16826.608106859316</v>
      </c>
      <c r="N492" s="320"/>
      <c r="O492" s="320">
        <f>(NhanCong!V$126+NhanCong!V$129+NhanCong!V$132+NhanCong!V$133)</f>
        <v>363.17393162393154</v>
      </c>
      <c r="P492" s="334"/>
      <c r="Q492" s="335"/>
    </row>
    <row r="493" spans="1:17">
      <c r="A493" s="300"/>
      <c r="B493" s="299"/>
      <c r="C493" s="319"/>
      <c r="D493" s="319" t="s">
        <v>33</v>
      </c>
      <c r="E493" s="301">
        <f>(NhanCong!U$126+NhanCong!U$130+NhanCong!U$132+NhanCong!U$133)</f>
        <v>14588.17677777778</v>
      </c>
      <c r="F493" s="301"/>
      <c r="G493" s="320">
        <f>Dcu!P$181</f>
        <v>158.17391868471032</v>
      </c>
      <c r="H493" s="320">
        <f>VLieu!N$117</f>
        <v>122.33333333333333</v>
      </c>
      <c r="I493" s="320">
        <f>TBi!Q$245</f>
        <v>1401.003676984127</v>
      </c>
      <c r="J493" s="320">
        <f>TBi!Q$253</f>
        <v>444.80426666666671</v>
      </c>
      <c r="K493" s="320">
        <f>SUM(E493:J493)</f>
        <v>16714.491973446617</v>
      </c>
      <c r="L493" s="320">
        <f>K493*0.15</f>
        <v>2507.1737960169926</v>
      </c>
      <c r="M493" s="321">
        <f>K493+L493</f>
        <v>19221.665769463609</v>
      </c>
      <c r="N493" s="320"/>
      <c r="O493" s="320">
        <f>(NhanCong!V$126+NhanCong!V$130+NhanCong!V$132+NhanCong!V$133)</f>
        <v>413.01709401709394</v>
      </c>
      <c r="P493" s="334"/>
      <c r="Q493" s="335"/>
    </row>
    <row r="494" spans="1:17">
      <c r="A494" s="298">
        <v>2</v>
      </c>
      <c r="B494" s="316" t="str">
        <f>NhanCong!B134</f>
        <v>Chuyển đổi bản đồi số dạng vector từ hệ HN-72 sang hệ VN-2000</v>
      </c>
      <c r="C494" s="333"/>
      <c r="D494" s="333"/>
      <c r="E494" s="301"/>
      <c r="F494" s="301"/>
      <c r="G494" s="301"/>
      <c r="H494" s="301"/>
      <c r="I494" s="301"/>
      <c r="J494" s="301"/>
      <c r="K494" s="301"/>
      <c r="L494" s="301"/>
      <c r="M494" s="302"/>
      <c r="N494" s="325"/>
      <c r="O494" s="301"/>
    </row>
    <row r="495" spans="1:17">
      <c r="A495" s="298" t="s">
        <v>27</v>
      </c>
      <c r="B495" s="316" t="s">
        <v>203</v>
      </c>
      <c r="C495" s="333"/>
      <c r="D495" s="333"/>
      <c r="E495" s="301"/>
      <c r="F495" s="301"/>
      <c r="G495" s="301"/>
      <c r="H495" s="301"/>
      <c r="I495" s="301"/>
      <c r="J495" s="301"/>
      <c r="K495" s="301"/>
      <c r="L495" s="301"/>
      <c r="M495" s="302">
        <v>6.25</v>
      </c>
      <c r="N495" s="325" t="s">
        <v>21</v>
      </c>
      <c r="O495" s="301"/>
    </row>
    <row r="496" spans="1:17">
      <c r="A496" s="300"/>
      <c r="B496" s="299"/>
      <c r="C496" s="333" t="s">
        <v>317</v>
      </c>
      <c r="D496" s="319" t="s">
        <v>18</v>
      </c>
      <c r="E496" s="301">
        <f>(NhanCong!I$135+NhanCong!I$137+NhanCong!I$142+NhanCong!I$143+NhanCong!I$144)/M$495</f>
        <v>318542.58480000007</v>
      </c>
      <c r="F496" s="301"/>
      <c r="G496" s="320">
        <f>Dcu!Q$178*0.65/M$495</f>
        <v>2414.3856711111116</v>
      </c>
      <c r="H496" s="320">
        <f>VLieu!O$120/M$495</f>
        <v>9441.5999999999985</v>
      </c>
      <c r="I496" s="320">
        <f>TBi!N$256/M$495</f>
        <v>14625.994399999998</v>
      </c>
      <c r="J496" s="320">
        <f>TBi!N$263/M$495</f>
        <v>4013.9232000000002</v>
      </c>
      <c r="K496" s="320">
        <f>SUM(E496:J496)</f>
        <v>349038.48807111121</v>
      </c>
      <c r="L496" s="320">
        <f>K496*0.15</f>
        <v>52355.773210666681</v>
      </c>
      <c r="M496" s="321">
        <f>K496+L496</f>
        <v>401394.26128177787</v>
      </c>
      <c r="N496" s="336"/>
      <c r="O496" s="301">
        <f>(NhanCong!J$135+NhanCong!J$137+NhanCong!J$142+NhanCong!J$143+NhanCong!J$144)/M$495</f>
        <v>9045.7230769230755</v>
      </c>
    </row>
    <row r="497" spans="1:15">
      <c r="A497" s="300"/>
      <c r="B497" s="299"/>
      <c r="C497" s="319"/>
      <c r="D497" s="319" t="s">
        <v>20</v>
      </c>
      <c r="E497" s="301">
        <f>(NhanCong!I$135+NhanCong!I$138+NhanCong!I$142+NhanCong!I$143+NhanCong!I$144)/M$495</f>
        <v>336140.05040000007</v>
      </c>
      <c r="F497" s="301"/>
      <c r="G497" s="320">
        <f>Dcu!Q$179*0.65/M$495</f>
        <v>2716.1838800000005</v>
      </c>
      <c r="H497" s="320">
        <f>VLieu!O$120/M$495</f>
        <v>9441.5999999999985</v>
      </c>
      <c r="I497" s="320">
        <f>TBi!O$256/M$495</f>
        <v>16108.060685714285</v>
      </c>
      <c r="J497" s="320">
        <f>TBi!O$263/M$495</f>
        <v>4473.3696</v>
      </c>
      <c r="K497" s="320">
        <f>SUM(E497:J497)</f>
        <v>368879.26456571434</v>
      </c>
      <c r="L497" s="320">
        <f>K497*0.15</f>
        <v>55331.889684857153</v>
      </c>
      <c r="M497" s="321">
        <f>K497+L497</f>
        <v>424211.1542505715</v>
      </c>
      <c r="N497" s="336"/>
      <c r="O497" s="301">
        <f>(NhanCong!J$135+NhanCong!J$138+NhanCong!J$142+NhanCong!J$143+NhanCong!J$144)/M$495</f>
        <v>9543.9384615384606</v>
      </c>
    </row>
    <row r="498" spans="1:15">
      <c r="A498" s="300"/>
      <c r="B498" s="299"/>
      <c r="C498" s="319"/>
      <c r="D498" s="319" t="s">
        <v>35</v>
      </c>
      <c r="E498" s="301">
        <f>(NhanCong!I$135+NhanCong!I$139+NhanCong!I$142+NhanCong!I$143+NhanCong!I$144)/M$495</f>
        <v>353737.51600000006</v>
      </c>
      <c r="F498" s="301"/>
      <c r="G498" s="320">
        <f>Dcu!Q$180*0.65/M$495</f>
        <v>3017.9820888888894</v>
      </c>
      <c r="H498" s="320">
        <f>VLieu!O$120/M$495</f>
        <v>9441.5999999999985</v>
      </c>
      <c r="I498" s="320">
        <f>TBi!P$256/M$495</f>
        <v>17777.897599999997</v>
      </c>
      <c r="J498" s="320">
        <f>TBi!P$263/M$495</f>
        <v>4886.5151999999998</v>
      </c>
      <c r="K498" s="320">
        <f>SUM(E498:J498)</f>
        <v>388861.51088888897</v>
      </c>
      <c r="L498" s="320">
        <f>K498*0.15</f>
        <v>58329.226633333346</v>
      </c>
      <c r="M498" s="321">
        <f>K498+L498</f>
        <v>447190.73752222233</v>
      </c>
      <c r="N498" s="336"/>
      <c r="O498" s="301">
        <f>(NhanCong!J$135+NhanCong!J$139+NhanCong!J$142+NhanCong!J$143+NhanCong!J$144)/M$495</f>
        <v>10042.153846153846</v>
      </c>
    </row>
    <row r="499" spans="1:15">
      <c r="A499" s="300"/>
      <c r="B499" s="299"/>
      <c r="C499" s="319"/>
      <c r="D499" s="319" t="s">
        <v>33</v>
      </c>
      <c r="E499" s="301">
        <f>(NhanCong!I$135+NhanCong!I$140+NhanCong!I$142+NhanCong!I$143+NhanCong!I$144)/M$495</f>
        <v>371334.98160000006</v>
      </c>
      <c r="F499" s="301"/>
      <c r="G499" s="320">
        <f>Dcu!Q$181*0.65/M$495</f>
        <v>3319.7802977777783</v>
      </c>
      <c r="H499" s="320">
        <f>VLieu!O$120/M$495</f>
        <v>9441.5999999999985</v>
      </c>
      <c r="I499" s="320">
        <f>TBi!Q$256/M$495</f>
        <v>19451.698514285716</v>
      </c>
      <c r="J499" s="320">
        <f>TBi!Q$263/M$495</f>
        <v>5363.7695999999996</v>
      </c>
      <c r="K499" s="320">
        <f>SUM(E499:J499)</f>
        <v>408911.83001206355</v>
      </c>
      <c r="L499" s="320">
        <f>K499*0.15</f>
        <v>61336.77450180953</v>
      </c>
      <c r="M499" s="321">
        <f>K499+L499</f>
        <v>470248.60451387311</v>
      </c>
      <c r="N499" s="336"/>
      <c r="O499" s="301">
        <f>(NhanCong!J$135+NhanCong!J$140+NhanCong!J$142+NhanCong!J$143+NhanCong!J$144)/M$495</f>
        <v>10540.369230769231</v>
      </c>
    </row>
    <row r="500" spans="1:15">
      <c r="A500" s="300"/>
      <c r="B500" s="299"/>
      <c r="C500" s="319"/>
      <c r="D500" s="319" t="s">
        <v>13</v>
      </c>
      <c r="E500" s="301">
        <f>(NhanCong!I$135+NhanCong!I$141+NhanCong!I$142+NhanCong!I$143+NhanCong!I$144)/M$495</f>
        <v>397731.18000000005</v>
      </c>
      <c r="F500" s="301"/>
      <c r="G500" s="320">
        <f>Dcu!Q$182*0.65/M$495</f>
        <v>3923.3767155555565</v>
      </c>
      <c r="H500" s="320">
        <f>VLieu!O$120/M$495</f>
        <v>9441.5999999999985</v>
      </c>
      <c r="I500" s="320">
        <f>TBi!R$256/M$495</f>
        <v>20360.884342857142</v>
      </c>
      <c r="J500" s="320">
        <f>TBi!R$263/M$495</f>
        <v>5613.0816000000004</v>
      </c>
      <c r="K500" s="320">
        <f>SUM(E500:J500)</f>
        <v>437070.12265841273</v>
      </c>
      <c r="L500" s="320">
        <f>K500*0.15</f>
        <v>65560.518398761909</v>
      </c>
      <c r="M500" s="321">
        <f>K500+L500</f>
        <v>502630.64105717465</v>
      </c>
      <c r="N500" s="336"/>
      <c r="O500" s="301">
        <f>(NhanCong!J$135+NhanCong!J$141+NhanCong!J$142+NhanCong!J$143+NhanCong!J$144)/M$495</f>
        <v>11287.692307692307</v>
      </c>
    </row>
    <row r="501" spans="1:15">
      <c r="A501" s="298" t="s">
        <v>28</v>
      </c>
      <c r="B501" s="316" t="s">
        <v>204</v>
      </c>
      <c r="C501" s="333"/>
      <c r="D501" s="333"/>
      <c r="E501" s="301"/>
      <c r="F501" s="301"/>
      <c r="G501" s="301"/>
      <c r="H501" s="301"/>
      <c r="I501" s="301"/>
      <c r="J501" s="301"/>
      <c r="K501" s="301"/>
      <c r="L501" s="301"/>
      <c r="M501" s="315">
        <v>25</v>
      </c>
      <c r="N501" s="325" t="s">
        <v>21</v>
      </c>
      <c r="O501" s="301"/>
    </row>
    <row r="502" spans="1:15">
      <c r="A502" s="300"/>
      <c r="B502" s="299"/>
      <c r="C502" s="333" t="s">
        <v>317</v>
      </c>
      <c r="D502" s="319" t="s">
        <v>18</v>
      </c>
      <c r="E502" s="301">
        <f>(NhanCong!M$135+NhanCong!M$137+NhanCong!M$142+NhanCong!M$143+NhanCong!M$144)/M$501</f>
        <v>93933.587000000014</v>
      </c>
      <c r="F502" s="301"/>
      <c r="G502" s="320">
        <f>Dcu!Q$178*0.8/M$501</f>
        <v>742.88789880341892</v>
      </c>
      <c r="H502" s="320">
        <f>VLieu!O$120/M$501</f>
        <v>2360.3999999999996</v>
      </c>
      <c r="I502" s="320">
        <f>TBi!N$264/M$501</f>
        <v>4592.1512000000002</v>
      </c>
      <c r="J502" s="320">
        <f>TBi!N$271/M$501</f>
        <v>1180.6704</v>
      </c>
      <c r="K502" s="320">
        <f>SUM(E502:J502)</f>
        <v>102809.69649880342</v>
      </c>
      <c r="L502" s="320">
        <f>K502*0.15</f>
        <v>15421.454474820512</v>
      </c>
      <c r="M502" s="321">
        <f>K502+L502</f>
        <v>118231.15097362392</v>
      </c>
      <c r="N502" s="320"/>
      <c r="O502" s="301">
        <f>(NhanCong!N$135+NhanCong!N$137+NhanCong!N$142+NhanCong!N$143+NhanCong!N$144)/M$501</f>
        <v>2666.2307692307695</v>
      </c>
    </row>
    <row r="503" spans="1:15">
      <c r="A503" s="300"/>
      <c r="B503" s="299"/>
      <c r="C503" s="319"/>
      <c r="D503" s="319" t="s">
        <v>20</v>
      </c>
      <c r="E503" s="301">
        <f>(NhanCong!M$135+NhanCong!M$138+NhanCong!M$142+NhanCong!M$143+NhanCong!M$144)/M$501</f>
        <v>99432.794999999998</v>
      </c>
      <c r="F503" s="301"/>
      <c r="G503" s="320">
        <f>Dcu!Q$179*0.8/M$501</f>
        <v>835.74888615384634</v>
      </c>
      <c r="H503" s="320">
        <f>VLieu!O$120/M$501</f>
        <v>2360.3999999999996</v>
      </c>
      <c r="I503" s="320">
        <f>TBi!O$264/M$501</f>
        <v>5009.6104285714282</v>
      </c>
      <c r="J503" s="320">
        <f>TBi!O$271/M$501</f>
        <v>1234.0944</v>
      </c>
      <c r="K503" s="320">
        <f>SUM(E503:J503)</f>
        <v>108872.64871472526</v>
      </c>
      <c r="L503" s="320">
        <f>K503*0.15</f>
        <v>16330.897307208788</v>
      </c>
      <c r="M503" s="321">
        <f>K503+L503</f>
        <v>125203.54602193405</v>
      </c>
      <c r="N503" s="320"/>
      <c r="O503" s="301">
        <f>(NhanCong!N$135+NhanCong!N$138+NhanCong!N$142+NhanCong!N$143+NhanCong!N$144)/M$501</f>
        <v>2821.9230769230767</v>
      </c>
    </row>
    <row r="504" spans="1:15">
      <c r="A504" s="300"/>
      <c r="B504" s="299"/>
      <c r="C504" s="319"/>
      <c r="D504" s="319" t="s">
        <v>35</v>
      </c>
      <c r="E504" s="301">
        <f>(NhanCong!M$135+NhanCong!M$139+NhanCong!M$142+NhanCong!M$143+NhanCong!M$144)/M$501</f>
        <v>104932.00300000001</v>
      </c>
      <c r="F504" s="301"/>
      <c r="G504" s="320">
        <f>Dcu!Q$180*0.8/M$501</f>
        <v>928.60987350427376</v>
      </c>
      <c r="H504" s="320">
        <f>VLieu!O$120/M$501</f>
        <v>2360.3999999999996</v>
      </c>
      <c r="I504" s="320">
        <f>TBi!P$264/M$501</f>
        <v>5548.2796857142857</v>
      </c>
      <c r="J504" s="320">
        <f>TBi!P$271/M$501</f>
        <v>1419.2976000000001</v>
      </c>
      <c r="K504" s="320">
        <f>SUM(E504:J504)</f>
        <v>115188.59015921857</v>
      </c>
      <c r="L504" s="320">
        <f>K504*0.15</f>
        <v>17278.288523882784</v>
      </c>
      <c r="M504" s="321">
        <f>K504+L504</f>
        <v>132466.87868310136</v>
      </c>
      <c r="N504" s="320"/>
      <c r="O504" s="301">
        <f>(NhanCong!N$135+NhanCong!N$139+NhanCong!N$142+NhanCong!N$143+NhanCong!N$144)/M$501</f>
        <v>2977.6153846153843</v>
      </c>
    </row>
    <row r="505" spans="1:15">
      <c r="A505" s="300"/>
      <c r="B505" s="299"/>
      <c r="C505" s="319"/>
      <c r="D505" s="319" t="s">
        <v>33</v>
      </c>
      <c r="E505" s="301">
        <f>(NhanCong!M$135+NhanCong!M$140+NhanCong!M$142+NhanCong!M$143+NhanCong!M$144)/M$501</f>
        <v>110431.21100000001</v>
      </c>
      <c r="F505" s="301"/>
      <c r="G505" s="320">
        <f>Dcu!Q$181*0.8/M$501</f>
        <v>1021.4708608547011</v>
      </c>
      <c r="H505" s="320">
        <f>VLieu!O$120/M$501</f>
        <v>2360.3999999999996</v>
      </c>
      <c r="I505" s="320">
        <f>TBi!Q$264/M$501</f>
        <v>6086.9489428571424</v>
      </c>
      <c r="J505" s="320">
        <f>TBi!Q$271/M$501</f>
        <v>1555.5287999999998</v>
      </c>
      <c r="K505" s="320">
        <f>SUM(E505:J505)</f>
        <v>121455.55960371185</v>
      </c>
      <c r="L505" s="320">
        <f>K505*0.15</f>
        <v>18218.333940556779</v>
      </c>
      <c r="M505" s="321">
        <f>K505+L505</f>
        <v>139673.89354426862</v>
      </c>
      <c r="N505" s="320"/>
      <c r="O505" s="301">
        <f>(NhanCong!N$135+NhanCong!N$140+NhanCong!N$142+NhanCong!N$143+NhanCong!N$144)/M$501</f>
        <v>3133.3076923076919</v>
      </c>
    </row>
    <row r="506" spans="1:15">
      <c r="A506" s="300"/>
      <c r="B506" s="299"/>
      <c r="C506" s="319"/>
      <c r="D506" s="319" t="s">
        <v>13</v>
      </c>
      <c r="E506" s="301">
        <f>(NhanCong!M$135+NhanCong!M$141+NhanCong!M$142+NhanCong!M$143+NhanCong!M$144)/M$501</f>
        <v>118680.02299999997</v>
      </c>
      <c r="F506" s="301"/>
      <c r="G506" s="320">
        <f>Dcu!Q$182*0.8/M$501</f>
        <v>1207.1928355555558</v>
      </c>
      <c r="H506" s="320">
        <f>VLieu!O$120/M$501</f>
        <v>2360.3999999999996</v>
      </c>
      <c r="I506" s="320">
        <f>TBi!R$264/M$501</f>
        <v>6357.2745714285711</v>
      </c>
      <c r="J506" s="320">
        <f>TBi!R$271/M$501</f>
        <v>1640.1168000000002</v>
      </c>
      <c r="K506" s="320">
        <f>SUM(E506:J506)</f>
        <v>130245.0072069841</v>
      </c>
      <c r="L506" s="320">
        <f>K506*0.15</f>
        <v>19536.751081047612</v>
      </c>
      <c r="M506" s="321">
        <f>K506+L506</f>
        <v>149781.75828803171</v>
      </c>
      <c r="N506" s="320"/>
      <c r="O506" s="301">
        <f>(NhanCong!N$135+NhanCong!N$141+NhanCong!N$142+NhanCong!N$143+NhanCong!N$144)/M$501</f>
        <v>3366.8461538461534</v>
      </c>
    </row>
    <row r="507" spans="1:15">
      <c r="A507" s="298" t="s">
        <v>29</v>
      </c>
      <c r="B507" s="316" t="s">
        <v>205</v>
      </c>
      <c r="C507" s="333"/>
      <c r="D507" s="333"/>
      <c r="E507" s="301"/>
      <c r="F507" s="301"/>
      <c r="G507" s="301"/>
      <c r="H507" s="301"/>
      <c r="I507" s="301"/>
      <c r="J507" s="301"/>
      <c r="K507" s="301"/>
      <c r="L507" s="301"/>
      <c r="M507" s="315">
        <v>100</v>
      </c>
      <c r="N507" s="325" t="s">
        <v>21</v>
      </c>
      <c r="O507" s="301"/>
    </row>
    <row r="508" spans="1:15">
      <c r="A508" s="300"/>
      <c r="B508" s="299"/>
      <c r="C508" s="333" t="s">
        <v>317</v>
      </c>
      <c r="D508" s="319" t="s">
        <v>18</v>
      </c>
      <c r="E508" s="301">
        <f>(NhanCong!Q$135+NhanCong!Q$137+NhanCong!Q$142+NhanCong!Q$143+NhanCong!Q$144)/M$507</f>
        <v>28192.093600000004</v>
      </c>
      <c r="F508" s="301"/>
      <c r="G508" s="320">
        <f>Dcu!Q178/M$507</f>
        <v>232.15246837606844</v>
      </c>
      <c r="H508" s="320">
        <f>VLieu!O$117/M$507</f>
        <v>843</v>
      </c>
      <c r="I508" s="320">
        <f>TBi!N$272/M$507</f>
        <v>1433.3917285714283</v>
      </c>
      <c r="J508" s="320">
        <f>TBi!N$279/M$507</f>
        <v>367.29</v>
      </c>
      <c r="K508" s="320">
        <f>SUM(E508:J508)</f>
        <v>31067.927796947501</v>
      </c>
      <c r="L508" s="320">
        <f>K508*0.15</f>
        <v>4660.1891695421245</v>
      </c>
      <c r="M508" s="321">
        <f>K508+L508</f>
        <v>35728.116966489622</v>
      </c>
      <c r="N508" s="336"/>
      <c r="O508" s="301">
        <f>(NhanCong!R$135+NhanCong!R$137+NhanCong!R$142+NhanCong!R$143+NhanCong!R$144)/M$507</f>
        <v>799.86923076923063</v>
      </c>
    </row>
    <row r="509" spans="1:15">
      <c r="A509" s="300"/>
      <c r="B509" s="299"/>
      <c r="C509" s="319"/>
      <c r="D509" s="319" t="s">
        <v>20</v>
      </c>
      <c r="E509" s="301">
        <f>(NhanCong!Q$135+NhanCong!Q$138+NhanCong!Q$142+NhanCong!Q$143+NhanCong!Q$144)/M$507</f>
        <v>29910.596100000002</v>
      </c>
      <c r="F509" s="301"/>
      <c r="G509" s="320">
        <f>Dcu!Q179/M$507</f>
        <v>261.17152692307695</v>
      </c>
      <c r="H509" s="320">
        <f>VLieu!O$117/M$507</f>
        <v>843</v>
      </c>
      <c r="I509" s="320">
        <f>TBi!O$272/M$507</f>
        <v>1568.0590428571429</v>
      </c>
      <c r="J509" s="320">
        <f>TBi!O$279/M$507</f>
        <v>400.68</v>
      </c>
      <c r="K509" s="320">
        <f>SUM(E509:J509)</f>
        <v>32983.506669780218</v>
      </c>
      <c r="L509" s="320">
        <f>K509*0.15</f>
        <v>4947.5260004670326</v>
      </c>
      <c r="M509" s="321">
        <f>K509+L509</f>
        <v>37931.032670247252</v>
      </c>
      <c r="N509" s="336"/>
      <c r="O509" s="301">
        <f>(NhanCong!R$135+NhanCong!R$138+NhanCong!R$142+NhanCong!R$143+NhanCong!R$144)/M$507</f>
        <v>848.52307692307693</v>
      </c>
    </row>
    <row r="510" spans="1:15">
      <c r="A510" s="300"/>
      <c r="B510" s="299"/>
      <c r="C510" s="319"/>
      <c r="D510" s="319" t="s">
        <v>35</v>
      </c>
      <c r="E510" s="301">
        <f>(NhanCong!Q$135+NhanCong!Q$139+NhanCong!Q$142+NhanCong!Q$143+NhanCong!Q$144)/M$507</f>
        <v>31629.098600000005</v>
      </c>
      <c r="F510" s="301"/>
      <c r="G510" s="320">
        <f>Dcu!Q180/M$507</f>
        <v>290.19058547008552</v>
      </c>
      <c r="H510" s="320">
        <f>VLieu!O$117/M$507</f>
        <v>843</v>
      </c>
      <c r="I510" s="320">
        <f>TBi!P$272/M$507</f>
        <v>1734.5027357142858</v>
      </c>
      <c r="J510" s="320">
        <f>TBi!P$279/M$507</f>
        <v>442.97399999999993</v>
      </c>
      <c r="K510" s="320">
        <f>SUM(E510:J510)</f>
        <v>34939.765921184378</v>
      </c>
      <c r="L510" s="320">
        <f>K510*0.15</f>
        <v>5240.9648881776566</v>
      </c>
      <c r="M510" s="321">
        <f>K510+L510</f>
        <v>40180.730809362038</v>
      </c>
      <c r="N510" s="336"/>
      <c r="O510" s="301">
        <f>(NhanCong!R$135+NhanCong!R$139+NhanCong!R$142+NhanCong!R$143+NhanCong!R$144)/M$507</f>
        <v>897.17692307692312</v>
      </c>
    </row>
    <row r="511" spans="1:15">
      <c r="A511" s="300"/>
      <c r="B511" s="299"/>
      <c r="C511" s="319"/>
      <c r="D511" s="319" t="s">
        <v>33</v>
      </c>
      <c r="E511" s="301">
        <f>(NhanCong!Q$135+NhanCong!Q$140+NhanCong!Q$142+NhanCong!Q$143+NhanCong!Q$144)/M$507</f>
        <v>33347.6011</v>
      </c>
      <c r="F511" s="301"/>
      <c r="G511" s="320">
        <f>Dcu!Q181/M$507</f>
        <v>319.20964401709409</v>
      </c>
      <c r="H511" s="320">
        <f>VLieu!O$117/M$507</f>
        <v>843</v>
      </c>
      <c r="I511" s="320">
        <f>TBi!Q$272/M$507</f>
        <v>1900.9464285714284</v>
      </c>
      <c r="J511" s="320">
        <f>TBi!Q$279/M$507</f>
        <v>485.26800000000003</v>
      </c>
      <c r="K511" s="320">
        <f>SUM(E511:J511)</f>
        <v>36896.025172588517</v>
      </c>
      <c r="L511" s="320">
        <f>K511*0.15</f>
        <v>5534.4037758882778</v>
      </c>
      <c r="M511" s="321">
        <f>K511+L511</f>
        <v>42430.428948476794</v>
      </c>
      <c r="N511" s="336"/>
      <c r="O511" s="301">
        <f>(NhanCong!R$135+NhanCong!R$140+NhanCong!R$142+NhanCong!R$143+NhanCong!R$144)/M$507</f>
        <v>945.83076923076942</v>
      </c>
    </row>
    <row r="512" spans="1:15">
      <c r="A512" s="300"/>
      <c r="B512" s="299"/>
      <c r="C512" s="319"/>
      <c r="D512" s="319" t="s">
        <v>13</v>
      </c>
      <c r="E512" s="301">
        <f>(NhanCong!Q$135+NhanCong!Q$141+NhanCong!Q$142+NhanCong!Q$143+NhanCong!Q$144)/M$507</f>
        <v>35925.354850000003</v>
      </c>
      <c r="F512" s="301"/>
      <c r="G512" s="320">
        <f>Dcu!Q182/M$507</f>
        <v>377.24776111111117</v>
      </c>
      <c r="H512" s="320">
        <f>VLieu!O$117/M$507</f>
        <v>843</v>
      </c>
      <c r="I512" s="320">
        <f>TBi!R$272/M$507</f>
        <v>1988.3208000000002</v>
      </c>
      <c r="J512" s="320">
        <f>TBi!R$279/M$507</f>
        <v>513.09300000000007</v>
      </c>
      <c r="K512" s="320">
        <f>SUM(E512:J512)</f>
        <v>39647.016411111115</v>
      </c>
      <c r="L512" s="320">
        <f>K512*0.15</f>
        <v>5947.0524616666671</v>
      </c>
      <c r="M512" s="321">
        <f>K512+L512</f>
        <v>45594.068872777782</v>
      </c>
      <c r="N512" s="336"/>
      <c r="O512" s="301">
        <f>(NhanCong!R$135+NhanCong!R$141+NhanCong!R$142+NhanCong!R$143+NhanCong!R$144)/M$507</f>
        <v>1018.8115384615385</v>
      </c>
    </row>
    <row r="513" spans="1:17">
      <c r="A513" s="298" t="s">
        <v>30</v>
      </c>
      <c r="B513" s="316" t="s">
        <v>206</v>
      </c>
      <c r="C513" s="333"/>
      <c r="D513" s="333"/>
      <c r="E513" s="301"/>
      <c r="F513" s="301"/>
      <c r="G513" s="301"/>
      <c r="H513" s="301"/>
      <c r="I513" s="301"/>
      <c r="J513" s="301"/>
      <c r="K513" s="301"/>
      <c r="L513" s="301"/>
      <c r="M513" s="315">
        <v>900</v>
      </c>
      <c r="N513" s="325" t="s">
        <v>21</v>
      </c>
      <c r="O513" s="301"/>
    </row>
    <row r="514" spans="1:17">
      <c r="A514" s="300"/>
      <c r="B514" s="299"/>
      <c r="C514" s="333" t="s">
        <v>317</v>
      </c>
      <c r="D514" s="319" t="s">
        <v>18</v>
      </c>
      <c r="E514" s="301">
        <f>(NhanCong!U$135+NhanCong!U$137+NhanCong!U$142+NhanCong!U$143+NhanCong!U$144)/M$513</f>
        <v>4159.7374500000005</v>
      </c>
      <c r="F514" s="301"/>
      <c r="G514" s="320">
        <f>Dcu!R178/M$513</f>
        <v>41.845118547008546</v>
      </c>
      <c r="H514" s="320">
        <f>VLieu!P$117/M$513</f>
        <v>94</v>
      </c>
      <c r="I514" s="320">
        <f>TBi!N$280/M$513</f>
        <v>212.84151746031745</v>
      </c>
      <c r="J514" s="320">
        <f>TBi!N$287/M$513</f>
        <v>56.639333333333326</v>
      </c>
      <c r="K514" s="320">
        <f>SUM(E514:J514)</f>
        <v>4565.0634193406604</v>
      </c>
      <c r="L514" s="320">
        <f>K514*0.15</f>
        <v>684.75951290109901</v>
      </c>
      <c r="M514" s="321">
        <f>K514+L514</f>
        <v>5249.8229322417592</v>
      </c>
      <c r="N514" s="336"/>
      <c r="O514" s="301">
        <f>(NhanCong!V$135+NhanCong!V$137+NhanCong!V$142+NhanCong!V$143+NhanCong!V$144)/M$513</f>
        <v>117.958547008547</v>
      </c>
    </row>
    <row r="515" spans="1:17">
      <c r="A515" s="300"/>
      <c r="B515" s="299"/>
      <c r="C515" s="319"/>
      <c r="D515" s="319" t="s">
        <v>20</v>
      </c>
      <c r="E515" s="301">
        <f>(NhanCong!U$135+NhanCong!U$138+NhanCong!U$142+NhanCong!U$143+NhanCong!U$144)/M$513</f>
        <v>4350.682172222223</v>
      </c>
      <c r="F515" s="301"/>
      <c r="G515" s="320">
        <f>Dcu!R179/M$513</f>
        <v>46.494576163342828</v>
      </c>
      <c r="H515" s="320">
        <f>VLieu!P$117/M$513</f>
        <v>94</v>
      </c>
      <c r="I515" s="320">
        <f>TBi!O$280/M$513</f>
        <v>240.62396746031746</v>
      </c>
      <c r="J515" s="320">
        <f>TBi!O$287/M$513</f>
        <v>64.306666666666672</v>
      </c>
      <c r="K515" s="320">
        <f>SUM(E515:J515)</f>
        <v>4796.1073825125495</v>
      </c>
      <c r="L515" s="320">
        <f>K515*0.15</f>
        <v>719.41610737688245</v>
      </c>
      <c r="M515" s="321">
        <f>K515+L515</f>
        <v>5515.5234898894323</v>
      </c>
      <c r="N515" s="336"/>
      <c r="O515" s="301">
        <f>(NhanCong!V$135+NhanCong!V$138+NhanCong!V$142+NhanCong!V$143+NhanCong!V$144)/M$513</f>
        <v>123.36452991452991</v>
      </c>
    </row>
    <row r="516" spans="1:17">
      <c r="A516" s="300"/>
      <c r="B516" s="299"/>
      <c r="C516" s="319"/>
      <c r="D516" s="319" t="s">
        <v>35</v>
      </c>
      <c r="E516" s="301">
        <f>(NhanCong!U$135+NhanCong!U$139+NhanCong!U$142+NhanCong!U$143+NhanCong!U$144)/M$513</f>
        <v>4541.6268944444455</v>
      </c>
      <c r="F516" s="301"/>
      <c r="G516" s="320">
        <f>Dcu!R180/M$513</f>
        <v>46.494576163342828</v>
      </c>
      <c r="H516" s="320">
        <f>VLieu!P$117/M$513</f>
        <v>94</v>
      </c>
      <c r="I516" s="320">
        <f>TBi!P$280/M$513</f>
        <v>259.11771111111113</v>
      </c>
      <c r="J516" s="320">
        <f>TBi!P$287/M$513</f>
        <v>69.006</v>
      </c>
      <c r="K516" s="320">
        <f>SUM(E516:J516)</f>
        <v>5010.2451817188994</v>
      </c>
      <c r="L516" s="320">
        <f>K516*0.15</f>
        <v>751.53677725783484</v>
      </c>
      <c r="M516" s="321">
        <f>K516+L516</f>
        <v>5761.7819589767341</v>
      </c>
      <c r="N516" s="336"/>
      <c r="O516" s="301">
        <f>(NhanCong!V$135+NhanCong!V$139+NhanCong!V$142+NhanCong!V$143+NhanCong!V$144)/M$513</f>
        <v>128.77051282051283</v>
      </c>
    </row>
    <row r="517" spans="1:17">
      <c r="A517" s="300"/>
      <c r="B517" s="299"/>
      <c r="C517" s="319"/>
      <c r="D517" s="319" t="s">
        <v>33</v>
      </c>
      <c r="E517" s="301">
        <f>(NhanCong!U$135+NhanCong!U$140+NhanCong!U$142+NhanCong!U$143+NhanCong!U$144)/M$513</f>
        <v>4732.571616666668</v>
      </c>
      <c r="F517" s="301"/>
      <c r="G517" s="320">
        <f>Dcu!R181/M$513</f>
        <v>51.144033779677123</v>
      </c>
      <c r="H517" s="320">
        <f>VLieu!P$117/M$513</f>
        <v>94</v>
      </c>
      <c r="I517" s="320">
        <f>TBi!Q$280/M$513</f>
        <v>277.61145476190478</v>
      </c>
      <c r="J517" s="320">
        <f>TBi!Q$287/M$513</f>
        <v>73.705333333333343</v>
      </c>
      <c r="K517" s="320">
        <f>SUM(E517:J517)</f>
        <v>5229.0324385415834</v>
      </c>
      <c r="L517" s="320">
        <f>K517*0.15</f>
        <v>784.35486578123744</v>
      </c>
      <c r="M517" s="321">
        <f>K517+L517</f>
        <v>6013.3873043228205</v>
      </c>
      <c r="N517" s="336"/>
      <c r="O517" s="301">
        <f>(NhanCong!V$135+NhanCong!V$140+NhanCong!V$142+NhanCong!V$143+NhanCong!V$144)/M$513</f>
        <v>134.17649572649572</v>
      </c>
    </row>
    <row r="518" spans="1:17">
      <c r="A518" s="298" t="str">
        <f>L_CViec!A44</f>
        <v>IV</v>
      </c>
      <c r="B518" s="314" t="str">
        <f>L_CViec!B44</f>
        <v>ĐO ĐẠC CHỈNH LÝ BẢN ĐỒ ĐỊA CHÍNH:</v>
      </c>
      <c r="C518" s="300"/>
      <c r="D518" s="300"/>
      <c r="E518" s="300"/>
      <c r="F518" s="301"/>
      <c r="G518" s="301"/>
      <c r="H518" s="301"/>
      <c r="I518" s="301"/>
      <c r="J518" s="301"/>
      <c r="K518" s="301"/>
      <c r="L518" s="301"/>
      <c r="M518" s="315"/>
      <c r="N518" s="301"/>
      <c r="O518" s="301"/>
    </row>
    <row r="519" spans="1:17">
      <c r="A519" s="298" t="s">
        <v>27</v>
      </c>
      <c r="B519" s="316" t="s">
        <v>202</v>
      </c>
      <c r="C519" s="337" t="s">
        <v>349</v>
      </c>
      <c r="D519" s="333"/>
      <c r="E519" s="301"/>
      <c r="F519" s="301"/>
      <c r="G519" s="301"/>
      <c r="H519" s="301"/>
      <c r="I519" s="301"/>
      <c r="J519" s="301"/>
      <c r="K519" s="301"/>
      <c r="L519" s="301"/>
      <c r="M519" s="315">
        <v>1</v>
      </c>
      <c r="N519" s="301" t="s">
        <v>49</v>
      </c>
      <c r="O519" s="301"/>
    </row>
    <row r="520" spans="1:17" s="308" customFormat="1" ht="12.75" customHeight="1">
      <c r="A520" s="1036"/>
      <c r="B520" s="1035" t="s">
        <v>190</v>
      </c>
      <c r="C520" s="298">
        <f>HeSoKK!B30</f>
        <v>67</v>
      </c>
      <c r="D520" s="298">
        <v>1</v>
      </c>
      <c r="E520" s="301">
        <f>E562/C520+(E566+E570)/100</f>
        <v>590048.55532182846</v>
      </c>
      <c r="F520" s="301">
        <f>F562/C520+(F566+F570)/100</f>
        <v>30399.34615384616</v>
      </c>
      <c r="G520" s="301">
        <f>G562/C520+(G566+G570)/100</f>
        <v>3772.6312150784543</v>
      </c>
      <c r="H520" s="301">
        <f>H562/C520+(H566+H570)/100</f>
        <v>63041.162574626862</v>
      </c>
      <c r="I520" s="301">
        <f>I562/C520+(I566+I570)/100</f>
        <v>8320.9685714285697</v>
      </c>
      <c r="J520" s="301">
        <f>J562/C520+(J566+J570)/100</f>
        <v>85.701000000000008</v>
      </c>
      <c r="K520" s="301">
        <f t="shared" ref="K520:K527" si="164">SUM(E520:J520)</f>
        <v>695668.36483680841</v>
      </c>
      <c r="L520" s="301">
        <f>K520*0.25</f>
        <v>173917.0912092021</v>
      </c>
      <c r="M520" s="315">
        <f t="shared" ref="M520:M527" si="165">K520+L520</f>
        <v>869585.45604601048</v>
      </c>
      <c r="N520" s="301">
        <f>M520+M524</f>
        <v>976626.50091866043</v>
      </c>
      <c r="O520" s="301">
        <f>O562/C520+(O566+O570)/100</f>
        <v>16780.221369115956</v>
      </c>
      <c r="Q520" s="338"/>
    </row>
    <row r="521" spans="1:17" s="308" customFormat="1" ht="12.75" customHeight="1">
      <c r="A521" s="1036"/>
      <c r="B521" s="1035"/>
      <c r="C521" s="298">
        <f>HeSoKK!D30</f>
        <v>82</v>
      </c>
      <c r="D521" s="298">
        <v>2</v>
      </c>
      <c r="E521" s="301">
        <f>E563/C521+(E567+E571)/100</f>
        <v>705394.64153963432</v>
      </c>
      <c r="F521" s="301">
        <f>F563/C521+(F567+F571)/100</f>
        <v>36493.769230769227</v>
      </c>
      <c r="G521" s="301">
        <f>G563/C521+(G567+G571)/100</f>
        <v>4647.9799054096311</v>
      </c>
      <c r="H521" s="301">
        <f>H563/C521+(H567+H571)/100</f>
        <v>51991.836036585366</v>
      </c>
      <c r="I521" s="301">
        <f>I563/C521+(I567+I571)/100</f>
        <v>10397.507142857145</v>
      </c>
      <c r="J521" s="301">
        <f>J563/C521+(J567+J571)/100</f>
        <v>107.73840000000001</v>
      </c>
      <c r="K521" s="301">
        <f t="shared" si="164"/>
        <v>809033.47225525579</v>
      </c>
      <c r="L521" s="301">
        <f>K521*0.25</f>
        <v>202258.36806381395</v>
      </c>
      <c r="M521" s="315">
        <f t="shared" si="165"/>
        <v>1011291.8403190698</v>
      </c>
      <c r="N521" s="301">
        <f>M521+M525</f>
        <v>1124399.5895739868</v>
      </c>
      <c r="O521" s="301">
        <f>O563/C521+(O567+O571)/100</f>
        <v>20050.428001876175</v>
      </c>
      <c r="Q521" s="338"/>
    </row>
    <row r="522" spans="1:17" s="308" customFormat="1" ht="12.75" customHeight="1">
      <c r="A522" s="1036"/>
      <c r="B522" s="1035"/>
      <c r="C522" s="298">
        <f>HeSoKK!F30</f>
        <v>97</v>
      </c>
      <c r="D522" s="298">
        <v>3</v>
      </c>
      <c r="E522" s="301">
        <f>E564/C522+(E568+E572)/100</f>
        <v>849584.65795103123</v>
      </c>
      <c r="F522" s="301">
        <f>F564/C522+(F568+F572)/100</f>
        <v>43788.884615384617</v>
      </c>
      <c r="G522" s="301">
        <f>G564/C522+(G568+G572)/100</f>
        <v>6134.8569103004675</v>
      </c>
      <c r="H522" s="301">
        <f>H564/C522+(H568+H572)/100</f>
        <v>44359.826984536077</v>
      </c>
      <c r="I522" s="301">
        <f>I564/C522+(I568+I572)/100</f>
        <v>13865.087142857143</v>
      </c>
      <c r="J522" s="301">
        <f>J564/C522+(J568+J572)/100</f>
        <v>143.7996</v>
      </c>
      <c r="K522" s="301">
        <f t="shared" si="164"/>
        <v>957877.1132041096</v>
      </c>
      <c r="L522" s="301">
        <f>K522*0.25</f>
        <v>239469.2783010274</v>
      </c>
      <c r="M522" s="315">
        <f t="shared" si="165"/>
        <v>1197346.3915051371</v>
      </c>
      <c r="N522" s="301">
        <f>M522+M526</f>
        <v>1317742.5736754015</v>
      </c>
      <c r="O522" s="301">
        <f>O564/C522+(O568+O572)/100</f>
        <v>24140.583862014279</v>
      </c>
      <c r="Q522" s="338"/>
    </row>
    <row r="523" spans="1:17" s="308" customFormat="1" ht="12.75" customHeight="1">
      <c r="A523" s="1036"/>
      <c r="B523" s="1035"/>
      <c r="C523" s="339">
        <f>HeSoKK!H30</f>
        <v>112.5</v>
      </c>
      <c r="D523" s="298">
        <v>4</v>
      </c>
      <c r="E523" s="301">
        <f>E565/C523+(E569+E573)/100</f>
        <v>1016055.4564722223</v>
      </c>
      <c r="F523" s="301">
        <f>F565/C523+(F569+F573)/100</f>
        <v>52539.384615384617</v>
      </c>
      <c r="G523" s="301">
        <f>G565/C523+(G569+G573)/100</f>
        <v>7305.3849287749299</v>
      </c>
      <c r="H523" s="301">
        <f>H565/C523+(H569+H573)/100</f>
        <v>38611.510833333334</v>
      </c>
      <c r="I523" s="301">
        <f>I565/C523+(I569+I573)/100</f>
        <v>16640.16</v>
      </c>
      <c r="J523" s="301">
        <f>J565/C523+(J569+J573)/100</f>
        <v>170.95680000000002</v>
      </c>
      <c r="K523" s="301">
        <f t="shared" si="164"/>
        <v>1131322.8536497152</v>
      </c>
      <c r="L523" s="301">
        <f>K523*0.25</f>
        <v>282830.7134124288</v>
      </c>
      <c r="M523" s="315">
        <f t="shared" si="165"/>
        <v>1414153.5670621439</v>
      </c>
      <c r="N523" s="301">
        <f>M523+M527</f>
        <v>1542551.6053231319</v>
      </c>
      <c r="O523" s="301">
        <f>O565/C523+(O569+O573)/100</f>
        <v>28864.164529914524</v>
      </c>
      <c r="Q523" s="338"/>
    </row>
    <row r="524" spans="1:17" s="308" customFormat="1" ht="12.75" customHeight="1">
      <c r="A524" s="1036"/>
      <c r="B524" s="1035" t="s">
        <v>192</v>
      </c>
      <c r="C524" s="339">
        <f>C520</f>
        <v>67</v>
      </c>
      <c r="D524" s="298">
        <v>1</v>
      </c>
      <c r="E524" s="301">
        <f>(E575+E586+E587+E588)/C524+(E580+E584+E585)/100</f>
        <v>69203.595244776137</v>
      </c>
      <c r="F524" s="301">
        <f>(F575+F586+F587+F588)/C524+(F580+F584+F585)/100</f>
        <v>0</v>
      </c>
      <c r="G524" s="301">
        <f>(G575+G586+G587+G588)/C524+(G580+G584+G585)/100</f>
        <v>980.17701647179479</v>
      </c>
      <c r="H524" s="301">
        <f>(H575+H586+H587+H588)/C524+(H580+H584+H585)/100</f>
        <v>20885.298507462685</v>
      </c>
      <c r="I524" s="301">
        <f>(I575+I586+I587+I588)/C524+(I580+I584+I585)/100</f>
        <v>719.30441114072482</v>
      </c>
      <c r="J524" s="301">
        <f>(J575+J586+J587+J588)/C524+(J580+J584+J585)/100</f>
        <v>1290.7942746268654</v>
      </c>
      <c r="K524" s="301">
        <f t="shared" si="164"/>
        <v>93079.169454478193</v>
      </c>
      <c r="L524" s="301">
        <f>K524*0.15</f>
        <v>13961.875418171729</v>
      </c>
      <c r="M524" s="315">
        <f t="shared" si="165"/>
        <v>107041.04487264992</v>
      </c>
      <c r="N524" s="301"/>
      <c r="O524" s="301">
        <f>(O575+O586+O587+O588)/C524+(O580+O584+O585)/100</f>
        <v>1819.9152698048222</v>
      </c>
      <c r="P524" s="338"/>
    </row>
    <row r="525" spans="1:17" s="308" customFormat="1" ht="12.75" customHeight="1">
      <c r="A525" s="1036"/>
      <c r="B525" s="1035"/>
      <c r="C525" s="339">
        <f>C521</f>
        <v>82</v>
      </c>
      <c r="D525" s="298">
        <v>2</v>
      </c>
      <c r="E525" s="301">
        <f>(E576+E586+E587+E588)/C525+(E581+E584+E585)/100</f>
        <v>75744.614187804895</v>
      </c>
      <c r="F525" s="301">
        <f>(F576+F586+F587+F588)/C525+(F581+F584+F585)/100</f>
        <v>0</v>
      </c>
      <c r="G525" s="301">
        <f>(G576+G586+G587+G588)/C525+(G581+G584+G585)/100</f>
        <v>1012.6313625244424</v>
      </c>
      <c r="H525" s="301">
        <f>(H576+H586+H587+H588)/C525+(H581+H584+H585)/100</f>
        <v>19578.414634146342</v>
      </c>
      <c r="I525" s="301">
        <f>(I576+I586+I587+I588)/C525+(I581+I584+I585)/100</f>
        <v>703.81073135888505</v>
      </c>
      <c r="J525" s="301">
        <f>(J576+J586+J587+J588)/C525+(J581+J584+J585)/100</f>
        <v>1315.0936536585366</v>
      </c>
      <c r="K525" s="301">
        <f t="shared" si="164"/>
        <v>98354.564569493101</v>
      </c>
      <c r="L525" s="301">
        <f>K525*0.15</f>
        <v>14753.184685423965</v>
      </c>
      <c r="M525" s="315">
        <f t="shared" si="165"/>
        <v>113107.74925491707</v>
      </c>
      <c r="N525" s="301"/>
      <c r="O525" s="301">
        <f>(O576+O586+O587+O588)/C525+(O581+O584+O585)/100</f>
        <v>1977.339774859287</v>
      </c>
      <c r="P525" s="338"/>
    </row>
    <row r="526" spans="1:17" s="308" customFormat="1" ht="12.75" customHeight="1">
      <c r="A526" s="1036"/>
      <c r="B526" s="1035"/>
      <c r="C526" s="298">
        <f>C522</f>
        <v>97</v>
      </c>
      <c r="D526" s="298">
        <v>3</v>
      </c>
      <c r="E526" s="301">
        <f>(E577+E586+E587+E588)/C526+(E582+E584+E585)/100</f>
        <v>82785.450294845374</v>
      </c>
      <c r="F526" s="301">
        <f>(F577+F586+F587+F588)/C526+(F582+F584+F585)/100</f>
        <v>0</v>
      </c>
      <c r="G526" s="301">
        <f>(G577+G586+G587+G588)/C526+(G582+G584+G585)/100</f>
        <v>1095.4611478895056</v>
      </c>
      <c r="H526" s="301">
        <f>(H577+H586+H587+H588)/C526+(H582+H584+H585)/100</f>
        <v>18675.721649484534</v>
      </c>
      <c r="I526" s="301">
        <f>(I577+I586+I587+I588)/C526+(I582+I584+I585)/100</f>
        <v>722.60689160530183</v>
      </c>
      <c r="J526" s="301">
        <f>(J577+J586+J587+J588)/C526+(J582+J584+J585)/100</f>
        <v>1413.0923381443301</v>
      </c>
      <c r="K526" s="301">
        <f t="shared" si="164"/>
        <v>104692.33232196905</v>
      </c>
      <c r="L526" s="301">
        <f>K526*0.15</f>
        <v>15703.849848295356</v>
      </c>
      <c r="M526" s="315">
        <f t="shared" si="165"/>
        <v>120396.18217026441</v>
      </c>
      <c r="N526" s="301"/>
      <c r="O526" s="301">
        <f>(O577+O586+O587+O588)/C526+(O582+O584+O585)/100</f>
        <v>2148.9149881046787</v>
      </c>
      <c r="P526" s="338"/>
    </row>
    <row r="527" spans="1:17" s="308" customFormat="1" ht="12.75" customHeight="1">
      <c r="A527" s="1036"/>
      <c r="B527" s="1035"/>
      <c r="C527" s="298">
        <f>C523</f>
        <v>112.5</v>
      </c>
      <c r="D527" s="298">
        <v>4</v>
      </c>
      <c r="E527" s="301">
        <f>(E578+E586+E587+E588)/C527+(E583+E584+E585)/100</f>
        <v>90251.839470222229</v>
      </c>
      <c r="F527" s="301">
        <f>(F578+F586+F587+F588)/C527+(F583+F584+F585)/100</f>
        <v>0</v>
      </c>
      <c r="G527" s="301">
        <f>(G578+G586+G587+G588)/C527+(G583+G584+G585)/100</f>
        <v>1163.331156874264</v>
      </c>
      <c r="H527" s="301">
        <f>(H578+H586+H587+H588)/C527+(H583+H584+H585)/100</f>
        <v>17995.826666666668</v>
      </c>
      <c r="I527" s="301">
        <f>(I578+I586+I587+I588)/C527+(I583+I584+I585)/100</f>
        <v>744.44463926984122</v>
      </c>
      <c r="J527" s="301">
        <f>(J578+J586+J587+J588)/C527+(J583+J584+J585)/100</f>
        <v>1495.02612</v>
      </c>
      <c r="K527" s="301">
        <f t="shared" si="164"/>
        <v>111650.46805303299</v>
      </c>
      <c r="L527" s="301">
        <f>K527*0.15</f>
        <v>16747.570207954948</v>
      </c>
      <c r="M527" s="315">
        <f t="shared" si="165"/>
        <v>128398.03826098795</v>
      </c>
      <c r="N527" s="301"/>
      <c r="O527" s="301">
        <f>(O578+O586+O587+O588)/C527+(O583+O584+O585)/100</f>
        <v>2331.9939829059826</v>
      </c>
      <c r="P527" s="338"/>
    </row>
    <row r="528" spans="1:17" s="308" customFormat="1" ht="12.75" customHeight="1">
      <c r="A528" s="298"/>
      <c r="B528" s="340" t="s">
        <v>332</v>
      </c>
      <c r="C528" s="298"/>
      <c r="D528" s="298"/>
      <c r="E528" s="301"/>
      <c r="F528" s="301"/>
      <c r="G528" s="301"/>
      <c r="H528" s="301"/>
      <c r="I528" s="301"/>
      <c r="J528" s="301"/>
      <c r="K528" s="301"/>
      <c r="L528" s="301"/>
      <c r="M528" s="315"/>
      <c r="N528" s="301"/>
      <c r="O528" s="301"/>
    </row>
    <row r="529" spans="1:15" s="308" customFormat="1" ht="13.5">
      <c r="A529" s="298" t="s">
        <v>323</v>
      </c>
      <c r="B529" s="340" t="s">
        <v>333</v>
      </c>
      <c r="C529" s="298"/>
      <c r="D529" s="298"/>
      <c r="E529" s="301"/>
      <c r="F529" s="301"/>
      <c r="G529" s="301"/>
      <c r="H529" s="301"/>
      <c r="I529" s="301"/>
      <c r="J529" s="301"/>
      <c r="K529" s="301"/>
      <c r="L529" s="301"/>
      <c r="M529" s="315"/>
      <c r="N529" s="301"/>
      <c r="O529" s="301"/>
    </row>
    <row r="530" spans="1:15" s="308" customFormat="1">
      <c r="A530" s="1036"/>
      <c r="B530" s="1037" t="s">
        <v>330</v>
      </c>
      <c r="C530" s="1036" t="s">
        <v>49</v>
      </c>
      <c r="D530" s="298">
        <v>1</v>
      </c>
      <c r="E530" s="301">
        <f t="shared" ref="E530:J533" si="166">E520-E566/100</f>
        <v>548589.68250932847</v>
      </c>
      <c r="F530" s="301">
        <f t="shared" si="166"/>
        <v>30399.34615384616</v>
      </c>
      <c r="G530" s="301">
        <f t="shared" si="166"/>
        <v>3146.8730740528131</v>
      </c>
      <c r="H530" s="301">
        <f t="shared" si="166"/>
        <v>62915.53507462686</v>
      </c>
      <c r="I530" s="301">
        <f t="shared" si="166"/>
        <v>7736.2628571428559</v>
      </c>
      <c r="J530" s="301">
        <f t="shared" si="166"/>
        <v>77.910000000000011</v>
      </c>
      <c r="K530" s="301">
        <f t="shared" ref="K530:K537" si="167">SUM(E530:J530)</f>
        <v>652865.60966899723</v>
      </c>
      <c r="L530" s="301">
        <f>K530*0.25</f>
        <v>163216.40241724931</v>
      </c>
      <c r="M530" s="315">
        <f t="shared" ref="M530:M537" si="168">K530+L530</f>
        <v>816082.01208624651</v>
      </c>
      <c r="N530" s="301">
        <f>M530+M534</f>
        <v>923123.05695889646</v>
      </c>
      <c r="O530" s="301">
        <f>O520-O566/100</f>
        <v>15606.447330654417</v>
      </c>
    </row>
    <row r="531" spans="1:15" s="308" customFormat="1" ht="15" customHeight="1">
      <c r="A531" s="1036"/>
      <c r="B531" s="1035"/>
      <c r="C531" s="1036"/>
      <c r="D531" s="298">
        <v>2</v>
      </c>
      <c r="E531" s="301">
        <f t="shared" si="166"/>
        <v>653409.94091463427</v>
      </c>
      <c r="F531" s="301">
        <f t="shared" si="166"/>
        <v>36493.769230769227</v>
      </c>
      <c r="G531" s="301">
        <f t="shared" si="166"/>
        <v>3865.7822291275797</v>
      </c>
      <c r="H531" s="301">
        <f t="shared" si="166"/>
        <v>51866.208536585364</v>
      </c>
      <c r="I531" s="301">
        <f t="shared" si="166"/>
        <v>9666.9700000000012</v>
      </c>
      <c r="J531" s="301">
        <f t="shared" si="166"/>
        <v>97.944000000000017</v>
      </c>
      <c r="K531" s="301">
        <f t="shared" si="167"/>
        <v>755400.61491111643</v>
      </c>
      <c r="L531" s="301">
        <f>K531*0.25</f>
        <v>188850.15372777911</v>
      </c>
      <c r="M531" s="315">
        <f t="shared" si="168"/>
        <v>944250.76863889559</v>
      </c>
      <c r="N531" s="301">
        <f>M531+M535</f>
        <v>1057358.5178938126</v>
      </c>
      <c r="O531" s="301">
        <f>O521-O567/100</f>
        <v>18578.649155722327</v>
      </c>
    </row>
    <row r="532" spans="1:15" s="308" customFormat="1" ht="15" customHeight="1">
      <c r="A532" s="1036"/>
      <c r="B532" s="1035"/>
      <c r="C532" s="1036"/>
      <c r="D532" s="298">
        <v>3</v>
      </c>
      <c r="E532" s="301">
        <f t="shared" si="166"/>
        <v>780414.93232603115</v>
      </c>
      <c r="F532" s="301">
        <f t="shared" si="166"/>
        <v>43788.884615384617</v>
      </c>
      <c r="G532" s="301">
        <f t="shared" si="166"/>
        <v>5091.9266752577323</v>
      </c>
      <c r="H532" s="301">
        <f t="shared" si="166"/>
        <v>44234.199484536075</v>
      </c>
      <c r="I532" s="301">
        <f t="shared" si="166"/>
        <v>12893.081428571428</v>
      </c>
      <c r="J532" s="301">
        <f t="shared" si="166"/>
        <v>131.334</v>
      </c>
      <c r="K532" s="301">
        <f t="shared" si="167"/>
        <v>886554.35852978099</v>
      </c>
      <c r="L532" s="301">
        <f>K532*0.25</f>
        <v>221638.58963244525</v>
      </c>
      <c r="M532" s="315">
        <f t="shared" si="168"/>
        <v>1108192.9481622262</v>
      </c>
      <c r="N532" s="301">
        <f>M532+M536</f>
        <v>1228589.1303324907</v>
      </c>
      <c r="O532" s="301">
        <f>O522-O568/100</f>
        <v>22182.26655432197</v>
      </c>
    </row>
    <row r="533" spans="1:15" s="308" customFormat="1" ht="15" customHeight="1">
      <c r="A533" s="1036"/>
      <c r="B533" s="1035"/>
      <c r="C533" s="1036"/>
      <c r="D533" s="298">
        <v>4</v>
      </c>
      <c r="E533" s="301">
        <f t="shared" si="166"/>
        <v>933137.71084722236</v>
      </c>
      <c r="F533" s="301">
        <f t="shared" si="166"/>
        <v>52539.384615384617</v>
      </c>
      <c r="G533" s="301">
        <f t="shared" si="166"/>
        <v>6053.8686467236475</v>
      </c>
      <c r="H533" s="301">
        <f t="shared" si="166"/>
        <v>38485.883333333331</v>
      </c>
      <c r="I533" s="301">
        <f t="shared" si="166"/>
        <v>15471.835714285715</v>
      </c>
      <c r="J533" s="301">
        <f t="shared" si="166"/>
        <v>155.82000000000002</v>
      </c>
      <c r="K533" s="301">
        <f t="shared" si="167"/>
        <v>1045844.5031569496</v>
      </c>
      <c r="L533" s="301">
        <f>K533*0.25</f>
        <v>261461.12578923741</v>
      </c>
      <c r="M533" s="315">
        <f t="shared" si="168"/>
        <v>1307305.628946187</v>
      </c>
      <c r="N533" s="301">
        <f>M533+M537</f>
        <v>1435703.6672071749</v>
      </c>
      <c r="O533" s="301">
        <f>O523-O569/100</f>
        <v>26516.616452991446</v>
      </c>
    </row>
    <row r="534" spans="1:15" s="308" customFormat="1" ht="12.75" customHeight="1">
      <c r="A534" s="1036"/>
      <c r="B534" s="1037" t="s">
        <v>331</v>
      </c>
      <c r="C534" s="1036" t="s">
        <v>49</v>
      </c>
      <c r="D534" s="298">
        <v>1</v>
      </c>
      <c r="E534" s="301">
        <f t="shared" ref="E534:J537" si="169">E524</f>
        <v>69203.595244776137</v>
      </c>
      <c r="F534" s="301">
        <f t="shared" si="169"/>
        <v>0</v>
      </c>
      <c r="G534" s="301">
        <f t="shared" si="169"/>
        <v>980.17701647179479</v>
      </c>
      <c r="H534" s="301">
        <f t="shared" si="169"/>
        <v>20885.298507462685</v>
      </c>
      <c r="I534" s="301">
        <f t="shared" si="169"/>
        <v>719.30441114072482</v>
      </c>
      <c r="J534" s="301">
        <f t="shared" si="169"/>
        <v>1290.7942746268654</v>
      </c>
      <c r="K534" s="301">
        <f t="shared" si="167"/>
        <v>93079.169454478193</v>
      </c>
      <c r="L534" s="301">
        <f>K534*0.15</f>
        <v>13961.875418171729</v>
      </c>
      <c r="M534" s="315">
        <f t="shared" si="168"/>
        <v>107041.04487264992</v>
      </c>
      <c r="N534" s="301"/>
      <c r="O534" s="301">
        <f>O524</f>
        <v>1819.9152698048222</v>
      </c>
    </row>
    <row r="535" spans="1:15" s="308" customFormat="1" ht="12.75" customHeight="1">
      <c r="A535" s="1036"/>
      <c r="B535" s="1035"/>
      <c r="C535" s="1036"/>
      <c r="D535" s="298">
        <v>2</v>
      </c>
      <c r="E535" s="301">
        <f t="shared" si="169"/>
        <v>75744.614187804895</v>
      </c>
      <c r="F535" s="301">
        <f t="shared" si="169"/>
        <v>0</v>
      </c>
      <c r="G535" s="301">
        <f t="shared" si="169"/>
        <v>1012.6313625244424</v>
      </c>
      <c r="H535" s="301">
        <f t="shared" si="169"/>
        <v>19578.414634146342</v>
      </c>
      <c r="I535" s="301">
        <f t="shared" si="169"/>
        <v>703.81073135888505</v>
      </c>
      <c r="J535" s="301">
        <f t="shared" si="169"/>
        <v>1315.0936536585366</v>
      </c>
      <c r="K535" s="301">
        <f t="shared" si="167"/>
        <v>98354.564569493101</v>
      </c>
      <c r="L535" s="301">
        <f>K535*0.15</f>
        <v>14753.184685423965</v>
      </c>
      <c r="M535" s="315">
        <f t="shared" si="168"/>
        <v>113107.74925491707</v>
      </c>
      <c r="N535" s="301"/>
      <c r="O535" s="301">
        <f>O525</f>
        <v>1977.339774859287</v>
      </c>
    </row>
    <row r="536" spans="1:15" s="308" customFormat="1" ht="12.75" customHeight="1">
      <c r="A536" s="1036"/>
      <c r="B536" s="1035"/>
      <c r="C536" s="1036"/>
      <c r="D536" s="298">
        <v>3</v>
      </c>
      <c r="E536" s="301">
        <f t="shared" si="169"/>
        <v>82785.450294845374</v>
      </c>
      <c r="F536" s="301">
        <f t="shared" si="169"/>
        <v>0</v>
      </c>
      <c r="G536" s="301">
        <f t="shared" si="169"/>
        <v>1095.4611478895056</v>
      </c>
      <c r="H536" s="301">
        <f t="shared" si="169"/>
        <v>18675.721649484534</v>
      </c>
      <c r="I536" s="301">
        <f t="shared" si="169"/>
        <v>722.60689160530183</v>
      </c>
      <c r="J536" s="301">
        <f t="shared" si="169"/>
        <v>1413.0923381443301</v>
      </c>
      <c r="K536" s="301">
        <f t="shared" si="167"/>
        <v>104692.33232196905</v>
      </c>
      <c r="L536" s="301">
        <f>K536*0.15</f>
        <v>15703.849848295356</v>
      </c>
      <c r="M536" s="315">
        <f t="shared" si="168"/>
        <v>120396.18217026441</v>
      </c>
      <c r="N536" s="301"/>
      <c r="O536" s="301">
        <f>O526</f>
        <v>2148.9149881046787</v>
      </c>
    </row>
    <row r="537" spans="1:15" s="308" customFormat="1" ht="12.75" customHeight="1">
      <c r="A537" s="1036"/>
      <c r="B537" s="1035"/>
      <c r="C537" s="1036"/>
      <c r="D537" s="298">
        <v>4</v>
      </c>
      <c r="E537" s="301">
        <f t="shared" si="169"/>
        <v>90251.839470222229</v>
      </c>
      <c r="F537" s="301">
        <f t="shared" si="169"/>
        <v>0</v>
      </c>
      <c r="G537" s="301">
        <f t="shared" si="169"/>
        <v>1163.331156874264</v>
      </c>
      <c r="H537" s="301">
        <f t="shared" si="169"/>
        <v>17995.826666666668</v>
      </c>
      <c r="I537" s="301">
        <f t="shared" si="169"/>
        <v>744.44463926984122</v>
      </c>
      <c r="J537" s="301">
        <f t="shared" si="169"/>
        <v>1495.02612</v>
      </c>
      <c r="K537" s="301">
        <f t="shared" si="167"/>
        <v>111650.46805303299</v>
      </c>
      <c r="L537" s="301">
        <f>K537*0.15</f>
        <v>16747.570207954948</v>
      </c>
      <c r="M537" s="315">
        <f t="shared" si="168"/>
        <v>128398.03826098795</v>
      </c>
      <c r="N537" s="301"/>
      <c r="O537" s="301">
        <f>O527</f>
        <v>2331.9939829059826</v>
      </c>
    </row>
    <row r="538" spans="1:15" s="308" customFormat="1" ht="13.5">
      <c r="A538" s="298" t="s">
        <v>325</v>
      </c>
      <c r="B538" s="340" t="s">
        <v>423</v>
      </c>
      <c r="C538" s="298"/>
      <c r="D538" s="298"/>
      <c r="E538" s="301"/>
      <c r="F538" s="301"/>
      <c r="G538" s="301"/>
      <c r="H538" s="301"/>
      <c r="I538" s="301"/>
      <c r="J538" s="301"/>
      <c r="K538" s="301"/>
      <c r="L538" s="301"/>
      <c r="M538" s="315"/>
      <c r="N538" s="301"/>
      <c r="O538" s="301"/>
    </row>
    <row r="539" spans="1:15" s="308" customFormat="1">
      <c r="A539" s="1036"/>
      <c r="B539" s="1037" t="s">
        <v>330</v>
      </c>
      <c r="C539" s="1036" t="s">
        <v>49</v>
      </c>
      <c r="D539" s="298">
        <v>1</v>
      </c>
      <c r="E539" s="301">
        <f t="shared" ref="E539:G546" si="170">E520*0.9</f>
        <v>531043.69978964562</v>
      </c>
      <c r="F539" s="301">
        <f t="shared" si="170"/>
        <v>27359.411538461543</v>
      </c>
      <c r="G539" s="301">
        <f t="shared" si="170"/>
        <v>3395.3680935706088</v>
      </c>
      <c r="H539" s="301">
        <f t="shared" ref="H539:H546" si="171">H520</f>
        <v>63041.162574626862</v>
      </c>
      <c r="I539" s="301">
        <f t="shared" ref="I539:J546" si="172">I520*0.9</f>
        <v>7488.8717142857131</v>
      </c>
      <c r="J539" s="301">
        <f t="shared" si="172"/>
        <v>77.130900000000011</v>
      </c>
      <c r="K539" s="301">
        <f t="shared" ref="K539:K546" si="173">SUM(E539:J539)</f>
        <v>632405.6446105903</v>
      </c>
      <c r="L539" s="301">
        <f>K539*0.25</f>
        <v>158101.41115264758</v>
      </c>
      <c r="M539" s="315">
        <f t="shared" ref="M539:M546" si="174">K539+L539</f>
        <v>790507.05576323788</v>
      </c>
      <c r="N539" s="301">
        <f>M539+M543</f>
        <v>889245.80547698098</v>
      </c>
      <c r="O539" s="301">
        <f t="shared" ref="O539:O546" si="175">O520*0.9</f>
        <v>15102.199232204361</v>
      </c>
    </row>
    <row r="540" spans="1:15" s="308" customFormat="1" ht="15" customHeight="1">
      <c r="A540" s="1036"/>
      <c r="B540" s="1035"/>
      <c r="C540" s="1036"/>
      <c r="D540" s="298">
        <v>2</v>
      </c>
      <c r="E540" s="301">
        <f t="shared" si="170"/>
        <v>634855.17738567095</v>
      </c>
      <c r="F540" s="301">
        <f t="shared" si="170"/>
        <v>32844.392307692302</v>
      </c>
      <c r="G540" s="301">
        <f t="shared" si="170"/>
        <v>4183.1819148686682</v>
      </c>
      <c r="H540" s="301">
        <f t="shared" si="171"/>
        <v>51991.836036585366</v>
      </c>
      <c r="I540" s="301">
        <f t="shared" si="172"/>
        <v>9357.7564285714307</v>
      </c>
      <c r="J540" s="301">
        <f t="shared" si="172"/>
        <v>96.96456000000002</v>
      </c>
      <c r="K540" s="301">
        <f t="shared" si="173"/>
        <v>733329.30863338872</v>
      </c>
      <c r="L540" s="301">
        <f>K540*0.25</f>
        <v>183332.32715834718</v>
      </c>
      <c r="M540" s="315">
        <f t="shared" si="174"/>
        <v>916661.63579173596</v>
      </c>
      <c r="N540" s="301">
        <f>M540+M544</f>
        <v>1020710.1278040882</v>
      </c>
      <c r="O540" s="301">
        <f t="shared" si="175"/>
        <v>18045.385201688558</v>
      </c>
    </row>
    <row r="541" spans="1:15" s="308" customFormat="1" ht="15" customHeight="1">
      <c r="A541" s="1036"/>
      <c r="B541" s="1035"/>
      <c r="C541" s="1036"/>
      <c r="D541" s="298">
        <v>3</v>
      </c>
      <c r="E541" s="301">
        <f t="shared" si="170"/>
        <v>764626.19215592812</v>
      </c>
      <c r="F541" s="301">
        <f t="shared" si="170"/>
        <v>39409.996153846158</v>
      </c>
      <c r="G541" s="301">
        <f t="shared" si="170"/>
        <v>5521.3712192704206</v>
      </c>
      <c r="H541" s="301">
        <f t="shared" si="171"/>
        <v>44359.826984536077</v>
      </c>
      <c r="I541" s="301">
        <f t="shared" si="172"/>
        <v>12478.578428571429</v>
      </c>
      <c r="J541" s="301">
        <f t="shared" si="172"/>
        <v>129.41964000000002</v>
      </c>
      <c r="K541" s="301">
        <f t="shared" si="173"/>
        <v>866525.38458215224</v>
      </c>
      <c r="L541" s="301">
        <f>K541*0.25</f>
        <v>216631.34614553806</v>
      </c>
      <c r="M541" s="315">
        <f t="shared" si="174"/>
        <v>1083156.7307276903</v>
      </c>
      <c r="N541" s="301">
        <f>M541+M545</f>
        <v>1193661.0026706189</v>
      </c>
      <c r="O541" s="301">
        <f t="shared" si="175"/>
        <v>21726.52547581285</v>
      </c>
    </row>
    <row r="542" spans="1:15" s="308" customFormat="1" ht="15" customHeight="1">
      <c r="A542" s="1036"/>
      <c r="B542" s="1035"/>
      <c r="C542" s="1036"/>
      <c r="D542" s="298">
        <v>4</v>
      </c>
      <c r="E542" s="301">
        <f t="shared" si="170"/>
        <v>914449.91082500014</v>
      </c>
      <c r="F542" s="301">
        <f t="shared" si="170"/>
        <v>47285.446153846155</v>
      </c>
      <c r="G542" s="301">
        <f t="shared" si="170"/>
        <v>6574.846435897437</v>
      </c>
      <c r="H542" s="301">
        <f t="shared" si="171"/>
        <v>38611.510833333334</v>
      </c>
      <c r="I542" s="301">
        <f t="shared" si="172"/>
        <v>14976.144</v>
      </c>
      <c r="J542" s="301">
        <f t="shared" si="172"/>
        <v>153.86112000000003</v>
      </c>
      <c r="K542" s="301">
        <f t="shared" si="173"/>
        <v>1022051.719368077</v>
      </c>
      <c r="L542" s="301">
        <f>K542*0.25</f>
        <v>255512.92984201925</v>
      </c>
      <c r="M542" s="315">
        <f t="shared" si="174"/>
        <v>1277564.6492100963</v>
      </c>
      <c r="N542" s="301">
        <f>M542+M546</f>
        <v>1395192.4037116522</v>
      </c>
      <c r="O542" s="301">
        <f t="shared" si="175"/>
        <v>25977.748076923071</v>
      </c>
    </row>
    <row r="543" spans="1:15" s="308" customFormat="1" ht="12.75" customHeight="1">
      <c r="A543" s="1036"/>
      <c r="B543" s="1037" t="s">
        <v>331</v>
      </c>
      <c r="C543" s="1036" t="s">
        <v>49</v>
      </c>
      <c r="D543" s="333" t="s">
        <v>18</v>
      </c>
      <c r="E543" s="301">
        <f t="shared" si="170"/>
        <v>62283.235720298522</v>
      </c>
      <c r="F543" s="301">
        <f t="shared" si="170"/>
        <v>0</v>
      </c>
      <c r="G543" s="301">
        <f t="shared" si="170"/>
        <v>882.15931482461531</v>
      </c>
      <c r="H543" s="301">
        <f t="shared" si="171"/>
        <v>20885.298507462685</v>
      </c>
      <c r="I543" s="301">
        <f t="shared" si="172"/>
        <v>647.37397002665239</v>
      </c>
      <c r="J543" s="301">
        <f t="shared" si="172"/>
        <v>1161.714847164179</v>
      </c>
      <c r="K543" s="301">
        <f t="shared" si="173"/>
        <v>85859.782359776655</v>
      </c>
      <c r="L543" s="301">
        <f>K543*0.15</f>
        <v>12878.967353966498</v>
      </c>
      <c r="M543" s="315">
        <f t="shared" si="174"/>
        <v>98738.749713743149</v>
      </c>
      <c r="N543" s="301"/>
      <c r="O543" s="301">
        <f t="shared" si="175"/>
        <v>1637.92374282434</v>
      </c>
    </row>
    <row r="544" spans="1:15" s="308" customFormat="1" ht="12.75" customHeight="1">
      <c r="A544" s="1036"/>
      <c r="B544" s="1035"/>
      <c r="C544" s="1036"/>
      <c r="D544" s="298">
        <v>2</v>
      </c>
      <c r="E544" s="301">
        <f t="shared" si="170"/>
        <v>68170.152769024411</v>
      </c>
      <c r="F544" s="301">
        <f t="shared" si="170"/>
        <v>0</v>
      </c>
      <c r="G544" s="301">
        <f t="shared" si="170"/>
        <v>911.36822627199808</v>
      </c>
      <c r="H544" s="301">
        <f t="shared" si="171"/>
        <v>19578.414634146342</v>
      </c>
      <c r="I544" s="301">
        <f t="shared" si="172"/>
        <v>633.42965822299652</v>
      </c>
      <c r="J544" s="301">
        <f t="shared" si="172"/>
        <v>1183.5842882926829</v>
      </c>
      <c r="K544" s="301">
        <f t="shared" si="173"/>
        <v>90476.949575958424</v>
      </c>
      <c r="L544" s="301">
        <f>K544*0.15</f>
        <v>13571.542436393764</v>
      </c>
      <c r="M544" s="315">
        <f t="shared" si="174"/>
        <v>104048.49201235219</v>
      </c>
      <c r="N544" s="301"/>
      <c r="O544" s="301">
        <f t="shared" si="175"/>
        <v>1779.6057973733584</v>
      </c>
    </row>
    <row r="545" spans="1:15" s="308" customFormat="1" ht="12.75" customHeight="1">
      <c r="A545" s="1036"/>
      <c r="B545" s="1035"/>
      <c r="C545" s="1036"/>
      <c r="D545" s="298">
        <v>3</v>
      </c>
      <c r="E545" s="301">
        <f t="shared" si="170"/>
        <v>74506.905265360838</v>
      </c>
      <c r="F545" s="301">
        <f t="shared" si="170"/>
        <v>0</v>
      </c>
      <c r="G545" s="301">
        <f t="shared" si="170"/>
        <v>985.91503310055509</v>
      </c>
      <c r="H545" s="301">
        <f t="shared" si="171"/>
        <v>18675.721649484534</v>
      </c>
      <c r="I545" s="301">
        <f t="shared" si="172"/>
        <v>650.34620244477162</v>
      </c>
      <c r="J545" s="301">
        <f t="shared" si="172"/>
        <v>1271.7831043298972</v>
      </c>
      <c r="K545" s="301">
        <f t="shared" si="173"/>
        <v>96090.671254720583</v>
      </c>
      <c r="L545" s="301">
        <f>K545*0.15</f>
        <v>14413.600688208087</v>
      </c>
      <c r="M545" s="315">
        <f t="shared" si="174"/>
        <v>110504.27194292867</v>
      </c>
      <c r="N545" s="301"/>
      <c r="O545" s="301">
        <f t="shared" si="175"/>
        <v>1934.023489294211</v>
      </c>
    </row>
    <row r="546" spans="1:15" s="308" customFormat="1" ht="12.75" customHeight="1">
      <c r="A546" s="1036"/>
      <c r="B546" s="1035"/>
      <c r="C546" s="1036"/>
      <c r="D546" s="298">
        <v>4</v>
      </c>
      <c r="E546" s="301">
        <f t="shared" si="170"/>
        <v>81226.65552320001</v>
      </c>
      <c r="F546" s="301">
        <f t="shared" si="170"/>
        <v>0</v>
      </c>
      <c r="G546" s="301">
        <f t="shared" si="170"/>
        <v>1046.9980411868376</v>
      </c>
      <c r="H546" s="301">
        <f t="shared" si="171"/>
        <v>17995.826666666668</v>
      </c>
      <c r="I546" s="301">
        <f t="shared" si="172"/>
        <v>670.00017534285712</v>
      </c>
      <c r="J546" s="301">
        <f t="shared" si="172"/>
        <v>1345.523508</v>
      </c>
      <c r="K546" s="301">
        <f t="shared" si="173"/>
        <v>102285.00391439637</v>
      </c>
      <c r="L546" s="301">
        <f>K546*0.15</f>
        <v>15342.750587159455</v>
      </c>
      <c r="M546" s="315">
        <f t="shared" si="174"/>
        <v>117627.75450155581</v>
      </c>
      <c r="N546" s="301"/>
      <c r="O546" s="301">
        <f t="shared" si="175"/>
        <v>2098.7945846153843</v>
      </c>
    </row>
    <row r="547" spans="1:15" s="308" customFormat="1" ht="12.75" customHeight="1">
      <c r="A547" s="298" t="s">
        <v>334</v>
      </c>
      <c r="B547" s="340" t="s">
        <v>424</v>
      </c>
      <c r="C547" s="298"/>
      <c r="D547" s="298"/>
      <c r="E547" s="301"/>
      <c r="F547" s="301"/>
      <c r="G547" s="301"/>
      <c r="H547" s="301"/>
      <c r="I547" s="301"/>
      <c r="J547" s="301"/>
      <c r="K547" s="301"/>
      <c r="L547" s="301"/>
      <c r="M547" s="315"/>
      <c r="N547" s="301"/>
      <c r="O547" s="301"/>
    </row>
    <row r="548" spans="1:15" s="308" customFormat="1">
      <c r="A548" s="1036"/>
      <c r="B548" s="1037" t="s">
        <v>330</v>
      </c>
      <c r="C548" s="1036" t="s">
        <v>49</v>
      </c>
      <c r="D548" s="298">
        <v>1</v>
      </c>
      <c r="E548" s="301">
        <f t="shared" ref="E548:G555" si="176">E520*0.8</f>
        <v>472038.84425746277</v>
      </c>
      <c r="F548" s="301">
        <f t="shared" si="176"/>
        <v>24319.476923076931</v>
      </c>
      <c r="G548" s="301">
        <f t="shared" si="176"/>
        <v>3018.1049720627634</v>
      </c>
      <c r="H548" s="301">
        <f t="shared" ref="H548:H555" si="177">H520</f>
        <v>63041.162574626862</v>
      </c>
      <c r="I548" s="301">
        <f t="shared" ref="I548:J555" si="178">I520*0.8</f>
        <v>6656.7748571428565</v>
      </c>
      <c r="J548" s="301">
        <f t="shared" si="178"/>
        <v>68.560800000000015</v>
      </c>
      <c r="K548" s="301">
        <f t="shared" ref="K548:K555" si="179">SUM(E548:J548)</f>
        <v>569142.92438437208</v>
      </c>
      <c r="L548" s="301">
        <f>K548*0.25</f>
        <v>142285.73109609302</v>
      </c>
      <c r="M548" s="315">
        <f t="shared" ref="M548:M555" si="180">K548+L548</f>
        <v>711428.65548046515</v>
      </c>
      <c r="N548" s="301">
        <f>M548+M552</f>
        <v>801865.11003530154</v>
      </c>
      <c r="O548" s="301">
        <f t="shared" ref="O548:O555" si="181">O520*0.8</f>
        <v>13424.177095292765</v>
      </c>
    </row>
    <row r="549" spans="1:15" s="308" customFormat="1" ht="15" customHeight="1">
      <c r="A549" s="1036"/>
      <c r="B549" s="1035"/>
      <c r="C549" s="1036"/>
      <c r="D549" s="298">
        <v>2</v>
      </c>
      <c r="E549" s="301">
        <f t="shared" si="176"/>
        <v>564315.71323170746</v>
      </c>
      <c r="F549" s="301">
        <f t="shared" si="176"/>
        <v>29195.015384615384</v>
      </c>
      <c r="G549" s="301">
        <f t="shared" si="176"/>
        <v>3718.3839243277052</v>
      </c>
      <c r="H549" s="301">
        <f t="shared" si="177"/>
        <v>51991.836036585366</v>
      </c>
      <c r="I549" s="301">
        <f t="shared" si="178"/>
        <v>8318.0057142857167</v>
      </c>
      <c r="J549" s="301">
        <f t="shared" si="178"/>
        <v>86.190720000000013</v>
      </c>
      <c r="K549" s="301">
        <f t="shared" si="179"/>
        <v>657625.14501152164</v>
      </c>
      <c r="L549" s="301">
        <f>K549*0.25</f>
        <v>164406.28625288041</v>
      </c>
      <c r="M549" s="315">
        <f t="shared" si="180"/>
        <v>822031.43126440211</v>
      </c>
      <c r="N549" s="301">
        <f>M549+M553</f>
        <v>917020.6660341894</v>
      </c>
      <c r="O549" s="301">
        <f t="shared" si="181"/>
        <v>16040.34240150094</v>
      </c>
    </row>
    <row r="550" spans="1:15" s="308" customFormat="1" ht="15" customHeight="1">
      <c r="A550" s="1036"/>
      <c r="B550" s="1035"/>
      <c r="C550" s="1036"/>
      <c r="D550" s="298">
        <v>3</v>
      </c>
      <c r="E550" s="301">
        <f t="shared" si="176"/>
        <v>679667.72636082501</v>
      </c>
      <c r="F550" s="301">
        <f t="shared" si="176"/>
        <v>35031.107692307698</v>
      </c>
      <c r="G550" s="301">
        <f t="shared" si="176"/>
        <v>4907.8855282403738</v>
      </c>
      <c r="H550" s="301">
        <f t="shared" si="177"/>
        <v>44359.826984536077</v>
      </c>
      <c r="I550" s="301">
        <f t="shared" si="178"/>
        <v>11092.069714285715</v>
      </c>
      <c r="J550" s="301">
        <f t="shared" si="178"/>
        <v>115.03968</v>
      </c>
      <c r="K550" s="301">
        <f t="shared" si="179"/>
        <v>775173.65596019488</v>
      </c>
      <c r="L550" s="301">
        <f>K550*0.25</f>
        <v>193793.41399004872</v>
      </c>
      <c r="M550" s="315">
        <f t="shared" si="180"/>
        <v>968967.06995024357</v>
      </c>
      <c r="N550" s="301">
        <f>M550+M554</f>
        <v>1069579.4316658366</v>
      </c>
      <c r="O550" s="301">
        <f t="shared" si="181"/>
        <v>19312.467089611422</v>
      </c>
    </row>
    <row r="551" spans="1:15" s="308" customFormat="1" ht="15" customHeight="1">
      <c r="A551" s="1036"/>
      <c r="B551" s="1035"/>
      <c r="C551" s="1036"/>
      <c r="D551" s="298">
        <v>4</v>
      </c>
      <c r="E551" s="301">
        <f t="shared" si="176"/>
        <v>812844.36517777795</v>
      </c>
      <c r="F551" s="301">
        <f t="shared" si="176"/>
        <v>42031.507692307699</v>
      </c>
      <c r="G551" s="301">
        <f t="shared" si="176"/>
        <v>5844.3079430199441</v>
      </c>
      <c r="H551" s="301">
        <f t="shared" si="177"/>
        <v>38611.510833333334</v>
      </c>
      <c r="I551" s="301">
        <f t="shared" si="178"/>
        <v>13312.128000000001</v>
      </c>
      <c r="J551" s="301">
        <f t="shared" si="178"/>
        <v>136.76544000000001</v>
      </c>
      <c r="K551" s="301">
        <f t="shared" si="179"/>
        <v>912780.58508643892</v>
      </c>
      <c r="L551" s="301">
        <f>K551*0.25</f>
        <v>228195.14627160973</v>
      </c>
      <c r="M551" s="315">
        <f t="shared" si="180"/>
        <v>1140975.7313580487</v>
      </c>
      <c r="N551" s="301">
        <f>M551+M555</f>
        <v>1247833.2021001724</v>
      </c>
      <c r="O551" s="301">
        <f t="shared" si="181"/>
        <v>23091.331623931619</v>
      </c>
    </row>
    <row r="552" spans="1:15" s="308" customFormat="1" ht="12.75" customHeight="1">
      <c r="A552" s="1036"/>
      <c r="B552" s="1037" t="s">
        <v>331</v>
      </c>
      <c r="C552" s="1036" t="s">
        <v>49</v>
      </c>
      <c r="D552" s="333" t="s">
        <v>18</v>
      </c>
      <c r="E552" s="301">
        <f t="shared" si="176"/>
        <v>55362.876195820914</v>
      </c>
      <c r="F552" s="301">
        <f t="shared" si="176"/>
        <v>0</v>
      </c>
      <c r="G552" s="301">
        <f t="shared" si="176"/>
        <v>784.14161317743583</v>
      </c>
      <c r="H552" s="301">
        <f t="shared" si="177"/>
        <v>20885.298507462685</v>
      </c>
      <c r="I552" s="301">
        <f t="shared" si="178"/>
        <v>575.44352891257984</v>
      </c>
      <c r="J552" s="301">
        <f t="shared" si="178"/>
        <v>1032.6354197014923</v>
      </c>
      <c r="K552" s="301">
        <f t="shared" si="179"/>
        <v>78640.395265075116</v>
      </c>
      <c r="L552" s="301">
        <f>K552*0.15</f>
        <v>11796.059289761268</v>
      </c>
      <c r="M552" s="315">
        <f t="shared" si="180"/>
        <v>90436.454554836382</v>
      </c>
      <c r="N552" s="301"/>
      <c r="O552" s="301">
        <f t="shared" si="181"/>
        <v>1455.9322158438579</v>
      </c>
    </row>
    <row r="553" spans="1:15" s="308" customFormat="1" ht="12.75" customHeight="1">
      <c r="A553" s="1036"/>
      <c r="B553" s="1035"/>
      <c r="C553" s="1036"/>
      <c r="D553" s="298">
        <v>2</v>
      </c>
      <c r="E553" s="301">
        <f t="shared" si="176"/>
        <v>60595.69135024392</v>
      </c>
      <c r="F553" s="301">
        <f t="shared" si="176"/>
        <v>0</v>
      </c>
      <c r="G553" s="301">
        <f t="shared" si="176"/>
        <v>810.10509001955393</v>
      </c>
      <c r="H553" s="301">
        <f t="shared" si="177"/>
        <v>19578.414634146342</v>
      </c>
      <c r="I553" s="301">
        <f t="shared" si="178"/>
        <v>563.04858508710811</v>
      </c>
      <c r="J553" s="301">
        <f t="shared" si="178"/>
        <v>1052.0749229268292</v>
      </c>
      <c r="K553" s="301">
        <f t="shared" si="179"/>
        <v>82599.334582423748</v>
      </c>
      <c r="L553" s="301">
        <f>K553*0.15</f>
        <v>12389.900187363563</v>
      </c>
      <c r="M553" s="315">
        <f t="shared" si="180"/>
        <v>94989.234769787305</v>
      </c>
      <c r="N553" s="301"/>
      <c r="O553" s="301">
        <f t="shared" si="181"/>
        <v>1581.8718198874296</v>
      </c>
    </row>
    <row r="554" spans="1:15" s="308" customFormat="1" ht="12.75" customHeight="1">
      <c r="A554" s="1036"/>
      <c r="B554" s="1035"/>
      <c r="C554" s="1036"/>
      <c r="D554" s="298">
        <v>3</v>
      </c>
      <c r="E554" s="301">
        <f t="shared" si="176"/>
        <v>66228.360235876302</v>
      </c>
      <c r="F554" s="301">
        <f t="shared" si="176"/>
        <v>0</v>
      </c>
      <c r="G554" s="301">
        <f t="shared" si="176"/>
        <v>876.36891831160449</v>
      </c>
      <c r="H554" s="301">
        <f t="shared" si="177"/>
        <v>18675.721649484534</v>
      </c>
      <c r="I554" s="301">
        <f t="shared" si="178"/>
        <v>578.08551328424153</v>
      </c>
      <c r="J554" s="301">
        <f t="shared" si="178"/>
        <v>1130.4738705154641</v>
      </c>
      <c r="K554" s="301">
        <f t="shared" si="179"/>
        <v>87489.010187472144</v>
      </c>
      <c r="L554" s="301">
        <f>K554*0.15</f>
        <v>13123.351528120822</v>
      </c>
      <c r="M554" s="315">
        <f t="shared" si="180"/>
        <v>100612.36171559297</v>
      </c>
      <c r="N554" s="301"/>
      <c r="O554" s="301">
        <f t="shared" si="181"/>
        <v>1719.131990483743</v>
      </c>
    </row>
    <row r="555" spans="1:15" s="308" customFormat="1" ht="12.75" customHeight="1">
      <c r="A555" s="1036"/>
      <c r="B555" s="1035"/>
      <c r="C555" s="1036"/>
      <c r="D555" s="298">
        <v>4</v>
      </c>
      <c r="E555" s="301">
        <f t="shared" si="176"/>
        <v>72201.471576177792</v>
      </c>
      <c r="F555" s="301">
        <f t="shared" si="176"/>
        <v>0</v>
      </c>
      <c r="G555" s="301">
        <f t="shared" si="176"/>
        <v>930.66492549941131</v>
      </c>
      <c r="H555" s="301">
        <f t="shared" si="177"/>
        <v>17995.826666666668</v>
      </c>
      <c r="I555" s="301">
        <f t="shared" si="178"/>
        <v>595.55571141587302</v>
      </c>
      <c r="J555" s="301">
        <f t="shared" si="178"/>
        <v>1196.020896</v>
      </c>
      <c r="K555" s="301">
        <f t="shared" si="179"/>
        <v>92919.539775759753</v>
      </c>
      <c r="L555" s="301">
        <f>K555*0.15</f>
        <v>13937.930966363963</v>
      </c>
      <c r="M555" s="315">
        <f t="shared" si="180"/>
        <v>106857.47074212371</v>
      </c>
      <c r="N555" s="301"/>
      <c r="O555" s="301">
        <f t="shared" si="181"/>
        <v>1865.5951863247863</v>
      </c>
    </row>
    <row r="556" spans="1:15" s="308" customFormat="1" ht="12.75" customHeight="1">
      <c r="A556" s="298" t="s">
        <v>335</v>
      </c>
      <c r="B556" s="340" t="s">
        <v>491</v>
      </c>
      <c r="C556" s="298"/>
      <c r="D556" s="298"/>
      <c r="E556" s="301"/>
      <c r="F556" s="301"/>
      <c r="G556" s="301"/>
      <c r="H556" s="301"/>
      <c r="I556" s="301"/>
      <c r="J556" s="301"/>
      <c r="K556" s="301"/>
      <c r="L556" s="301"/>
      <c r="M556" s="315"/>
      <c r="N556" s="301"/>
      <c r="O556" s="301"/>
    </row>
    <row r="557" spans="1:15" s="308" customFormat="1" ht="13.9" customHeight="1">
      <c r="A557" s="1036"/>
      <c r="B557" s="1035" t="s">
        <v>389</v>
      </c>
      <c r="C557" s="1036" t="s">
        <v>49</v>
      </c>
      <c r="D557" s="333" t="s">
        <v>18</v>
      </c>
      <c r="E557" s="301">
        <f>E$584/100+(E$586+E$587)/$C524</f>
        <v>14979.185970149258</v>
      </c>
      <c r="F557" s="301"/>
      <c r="G557" s="301">
        <f t="shared" ref="G557:J560" si="182">G520</f>
        <v>3772.6312150784543</v>
      </c>
      <c r="H557" s="301">
        <f t="shared" si="182"/>
        <v>63041.162574626862</v>
      </c>
      <c r="I557" s="301">
        <f t="shared" si="182"/>
        <v>8320.9685714285697</v>
      </c>
      <c r="J557" s="301">
        <f t="shared" si="182"/>
        <v>85.701000000000008</v>
      </c>
      <c r="K557" s="301">
        <f>SUM(E557:J557)</f>
        <v>90199.649331283144</v>
      </c>
      <c r="L557" s="301">
        <f>K557*0.15</f>
        <v>13529.947399692472</v>
      </c>
      <c r="M557" s="315">
        <f>K557+L557</f>
        <v>103729.59673097561</v>
      </c>
      <c r="N557" s="301">
        <f>M557</f>
        <v>103729.59673097561</v>
      </c>
      <c r="O557" s="301">
        <f>O$584/100+(O$586+O$587)/$C524</f>
        <v>424.08725602755453</v>
      </c>
    </row>
    <row r="558" spans="1:15" s="308" customFormat="1" ht="13.9" customHeight="1">
      <c r="A558" s="1036"/>
      <c r="B558" s="1035"/>
      <c r="C558" s="1036"/>
      <c r="D558" s="333" t="s">
        <v>20</v>
      </c>
      <c r="E558" s="301">
        <f>E$584/100+(E$586+E$587)/$C525</f>
        <v>14125.252256097565</v>
      </c>
      <c r="F558" s="301"/>
      <c r="G558" s="301">
        <f t="shared" si="182"/>
        <v>4647.9799054096311</v>
      </c>
      <c r="H558" s="301">
        <f t="shared" si="182"/>
        <v>51991.836036585366</v>
      </c>
      <c r="I558" s="301">
        <f t="shared" si="182"/>
        <v>10397.507142857145</v>
      </c>
      <c r="J558" s="301">
        <f t="shared" si="182"/>
        <v>107.73840000000001</v>
      </c>
      <c r="K558" s="301">
        <f>SUM(E558:J558)</f>
        <v>81270.313740949699</v>
      </c>
      <c r="L558" s="301">
        <f>K558*0.15</f>
        <v>12190.547061142455</v>
      </c>
      <c r="M558" s="315">
        <f>K558+L558</f>
        <v>93460.860802092153</v>
      </c>
      <c r="N558" s="301">
        <f>M558</f>
        <v>93460.860802092153</v>
      </c>
      <c r="O558" s="301">
        <f>O$584/100+(O$586+O$587)/$C525</f>
        <v>399.9108818011257</v>
      </c>
    </row>
    <row r="559" spans="1:15" s="308" customFormat="1" ht="13.9" customHeight="1">
      <c r="A559" s="1036"/>
      <c r="B559" s="1035"/>
      <c r="C559" s="1036"/>
      <c r="D559" s="333" t="s">
        <v>35</v>
      </c>
      <c r="E559" s="301">
        <f>E$584/100+(E$586+E$587)/$C526</f>
        <v>13535.421752577324</v>
      </c>
      <c r="F559" s="301"/>
      <c r="G559" s="301">
        <f t="shared" si="182"/>
        <v>6134.8569103004675</v>
      </c>
      <c r="H559" s="301">
        <f t="shared" si="182"/>
        <v>44359.826984536077</v>
      </c>
      <c r="I559" s="301">
        <f t="shared" si="182"/>
        <v>13865.087142857143</v>
      </c>
      <c r="J559" s="301">
        <f t="shared" si="182"/>
        <v>143.7996</v>
      </c>
      <c r="K559" s="301">
        <f>SUM(E559:J559)</f>
        <v>78038.992390271014</v>
      </c>
      <c r="L559" s="301">
        <f>K559*0.15</f>
        <v>11705.848858540652</v>
      </c>
      <c r="M559" s="315">
        <f>K559+L559</f>
        <v>89744.841248811659</v>
      </c>
      <c r="N559" s="301">
        <f>M559</f>
        <v>89744.841248811659</v>
      </c>
      <c r="O559" s="301">
        <f>O$584/100+(O$586+O$587)/$C526</f>
        <v>383.21173671689132</v>
      </c>
    </row>
    <row r="560" spans="1:15" s="308" customFormat="1" ht="13.9" customHeight="1">
      <c r="A560" s="1036"/>
      <c r="B560" s="1035"/>
      <c r="C560" s="1036"/>
      <c r="D560" s="333" t="s">
        <v>33</v>
      </c>
      <c r="E560" s="301">
        <f>E$584/100+(E$586+E$587)/$C527</f>
        <v>13091.170155555559</v>
      </c>
      <c r="F560" s="301"/>
      <c r="G560" s="301">
        <f t="shared" si="182"/>
        <v>7305.3849287749299</v>
      </c>
      <c r="H560" s="301">
        <f t="shared" si="182"/>
        <v>38611.510833333334</v>
      </c>
      <c r="I560" s="301">
        <f t="shared" si="182"/>
        <v>16640.16</v>
      </c>
      <c r="J560" s="301">
        <f t="shared" si="182"/>
        <v>170.95680000000002</v>
      </c>
      <c r="K560" s="301">
        <f>SUM(E560:J560)</f>
        <v>75819.182717663818</v>
      </c>
      <c r="L560" s="301">
        <f>K560*0.15</f>
        <v>11372.877407649572</v>
      </c>
      <c r="M560" s="315">
        <f>K560+L560</f>
        <v>87192.060125313394</v>
      </c>
      <c r="N560" s="301">
        <f>M560</f>
        <v>87192.060125313394</v>
      </c>
      <c r="O560" s="301">
        <f>O$584/100+(O$586+O$587)/$C527</f>
        <v>370.63418803418801</v>
      </c>
    </row>
    <row r="561" spans="1:15">
      <c r="A561" s="298">
        <v>1</v>
      </c>
      <c r="B561" s="316" t="s">
        <v>190</v>
      </c>
      <c r="C561" s="333"/>
      <c r="D561" s="333"/>
      <c r="E561" s="301"/>
      <c r="F561" s="301"/>
      <c r="G561" s="301"/>
      <c r="H561" s="301"/>
      <c r="I561" s="301"/>
      <c r="J561" s="301"/>
      <c r="K561" s="301"/>
      <c r="L561" s="301"/>
      <c r="M561" s="302"/>
      <c r="N561" s="301"/>
      <c r="O561" s="301"/>
    </row>
    <row r="562" spans="1:15">
      <c r="A562" s="1043">
        <v>1.1000000000000001</v>
      </c>
      <c r="B562" s="1038" t="str">
        <f>NhanCong!B$150</f>
        <v>Đối soát thực địa (công nhóm/mảnh)</v>
      </c>
      <c r="C562" s="1039" t="s">
        <v>317</v>
      </c>
      <c r="D562" s="319" t="s">
        <v>18</v>
      </c>
      <c r="E562" s="301">
        <f>NhanCong!I$150</f>
        <v>2357533.0625000005</v>
      </c>
      <c r="F562" s="301"/>
      <c r="G562" s="320">
        <f>Dcu!M$200</f>
        <v>19868.974358974359</v>
      </c>
      <c r="H562" s="320">
        <f>VLieu!F$133</f>
        <v>4047000</v>
      </c>
      <c r="I562" s="320"/>
      <c r="J562" s="320"/>
      <c r="K562" s="320">
        <f t="shared" ref="K562:K565" si="183">SUM(E562:J562)</f>
        <v>6424402.036858975</v>
      </c>
      <c r="L562" s="320">
        <f>K562*0.25</f>
        <v>1606100.5092147437</v>
      </c>
      <c r="M562" s="321">
        <f t="shared" ref="M562:M565" si="184">K562+L562</f>
        <v>8030502.5460737189</v>
      </c>
      <c r="N562" s="320"/>
      <c r="O562" s="320">
        <f>NhanCong!J$150</f>
        <v>71764.423076923078</v>
      </c>
    </row>
    <row r="563" spans="1:15">
      <c r="A563" s="1043"/>
      <c r="B563" s="1038"/>
      <c r="C563" s="1039"/>
      <c r="D563" s="319" t="s">
        <v>20</v>
      </c>
      <c r="E563" s="301">
        <f>NhanCong!I$151</f>
        <v>3060797.1625000006</v>
      </c>
      <c r="F563" s="301"/>
      <c r="G563" s="320">
        <f>Dcu!M$201</f>
        <v>24836.217948717949</v>
      </c>
      <c r="H563" s="320">
        <f>VLieu!F$133</f>
        <v>4047000</v>
      </c>
      <c r="I563" s="320"/>
      <c r="J563" s="320"/>
      <c r="K563" s="320">
        <f t="shared" si="183"/>
        <v>7132633.3804487186</v>
      </c>
      <c r="L563" s="320">
        <f t="shared" ref="L563:L573" si="185">K563*0.25</f>
        <v>1783158.3451121796</v>
      </c>
      <c r="M563" s="321">
        <f t="shared" si="184"/>
        <v>8915791.725560898</v>
      </c>
      <c r="N563" s="320"/>
      <c r="O563" s="320">
        <f>NhanCong!J$151</f>
        <v>93172.11538461539</v>
      </c>
    </row>
    <row r="564" spans="1:15">
      <c r="A564" s="1043"/>
      <c r="B564" s="1038"/>
      <c r="C564" s="1039"/>
      <c r="D564" s="319" t="s">
        <v>35</v>
      </c>
      <c r="E564" s="301">
        <f>NhanCong!I$152</f>
        <v>3979835.475000001</v>
      </c>
      <c r="F564" s="301"/>
      <c r="G564" s="320">
        <f>Dcu!M$202</f>
        <v>33114.957264957266</v>
      </c>
      <c r="H564" s="320">
        <f>VLieu!F$133</f>
        <v>4047000</v>
      </c>
      <c r="I564" s="320"/>
      <c r="J564" s="320"/>
      <c r="K564" s="320">
        <f t="shared" si="183"/>
        <v>8059950.4322649585</v>
      </c>
      <c r="L564" s="320">
        <f t="shared" si="185"/>
        <v>2014987.6080662396</v>
      </c>
      <c r="M564" s="321">
        <f t="shared" si="184"/>
        <v>10074938.040331198</v>
      </c>
      <c r="N564" s="320"/>
      <c r="O564" s="320">
        <f>NhanCong!J$152</f>
        <v>121148.07692307694</v>
      </c>
    </row>
    <row r="565" spans="1:15">
      <c r="A565" s="1043"/>
      <c r="B565" s="1038"/>
      <c r="C565" s="1039"/>
      <c r="D565" s="319" t="s">
        <v>33</v>
      </c>
      <c r="E565" s="301">
        <f>NhanCong!I$153</f>
        <v>5170589.4625000013</v>
      </c>
      <c r="F565" s="301"/>
      <c r="G565" s="320">
        <f>Dcu!M$203</f>
        <v>39737.948717948719</v>
      </c>
      <c r="H565" s="320">
        <f>VLieu!F$133</f>
        <v>4047000</v>
      </c>
      <c r="I565" s="320"/>
      <c r="J565" s="320"/>
      <c r="K565" s="320">
        <f t="shared" si="183"/>
        <v>9257327.4112179503</v>
      </c>
      <c r="L565" s="320">
        <f t="shared" si="185"/>
        <v>2314331.8528044876</v>
      </c>
      <c r="M565" s="321">
        <f t="shared" si="184"/>
        <v>11571659.264022438</v>
      </c>
      <c r="N565" s="320"/>
      <c r="O565" s="320">
        <f>NhanCong!J$153</f>
        <v>157395.19230769231</v>
      </c>
    </row>
    <row r="566" spans="1:15">
      <c r="A566" s="1043">
        <v>1.2</v>
      </c>
      <c r="B566" s="1038" t="str">
        <f>NhanCong!B$156</f>
        <v>Lưới đo vẽ (công nhóm/100 thửa có biến động cần chỉnh lý)</v>
      </c>
      <c r="C566" s="1040" t="s">
        <v>329</v>
      </c>
      <c r="D566" s="319" t="s">
        <v>18</v>
      </c>
      <c r="E566" s="301">
        <f>NhanCong!I$156</f>
        <v>4145887.2812500009</v>
      </c>
      <c r="F566" s="301"/>
      <c r="G566" s="320">
        <f>Dcu!M$222</f>
        <v>62575.814102564109</v>
      </c>
      <c r="H566" s="320">
        <f>VLieu!K$135</f>
        <v>12562.75</v>
      </c>
      <c r="I566" s="320">
        <f>TBi!N$307</f>
        <v>58470.57142857142</v>
      </c>
      <c r="J566" s="320">
        <f>TBi!N$311</f>
        <v>779.09999999999991</v>
      </c>
      <c r="K566" s="320">
        <f t="shared" ref="K566:K569" si="186">SUM(E566:J566)</f>
        <v>4280275.5167811364</v>
      </c>
      <c r="L566" s="320">
        <f t="shared" si="185"/>
        <v>1070068.8791952841</v>
      </c>
      <c r="M566" s="321">
        <f t="shared" ref="M566:M569" si="187">K566+L566</f>
        <v>5350344.3959764205</v>
      </c>
      <c r="N566" s="320"/>
      <c r="O566" s="320">
        <f>NhanCong!J$156</f>
        <v>117377.40384615384</v>
      </c>
    </row>
    <row r="567" spans="1:15">
      <c r="A567" s="1043"/>
      <c r="B567" s="1038"/>
      <c r="C567" s="1039" t="s">
        <v>49</v>
      </c>
      <c r="D567" s="319" t="s">
        <v>20</v>
      </c>
      <c r="E567" s="301">
        <f>NhanCong!I$157</f>
        <v>5198470.0625000019</v>
      </c>
      <c r="F567" s="301"/>
      <c r="G567" s="320">
        <f>Dcu!M$223</f>
        <v>78219.76762820514</v>
      </c>
      <c r="H567" s="320">
        <f>VLieu!K$135</f>
        <v>12562.75</v>
      </c>
      <c r="I567" s="320">
        <f>TBi!O$307</f>
        <v>73053.71428571429</v>
      </c>
      <c r="J567" s="320">
        <f>TBi!O$311</f>
        <v>979.44</v>
      </c>
      <c r="K567" s="320">
        <f t="shared" si="186"/>
        <v>5363285.7344139218</v>
      </c>
      <c r="L567" s="320">
        <f t="shared" si="185"/>
        <v>1340821.4336034805</v>
      </c>
      <c r="M567" s="321">
        <f t="shared" si="187"/>
        <v>6704107.1680174023</v>
      </c>
      <c r="N567" s="320"/>
      <c r="O567" s="320">
        <f>NhanCong!J$157</f>
        <v>147177.88461538462</v>
      </c>
    </row>
    <row r="568" spans="1:15">
      <c r="A568" s="1043"/>
      <c r="B568" s="1038"/>
      <c r="C568" s="1039"/>
      <c r="D568" s="319" t="s">
        <v>35</v>
      </c>
      <c r="E568" s="301">
        <f>NhanCong!I$158</f>
        <v>6916972.5625000019</v>
      </c>
      <c r="F568" s="301"/>
      <c r="G568" s="320">
        <f>Dcu!M$224</f>
        <v>104293.02350427351</v>
      </c>
      <c r="H568" s="320">
        <f>VLieu!K$135</f>
        <v>12562.75</v>
      </c>
      <c r="I568" s="320">
        <f>TBi!P$307</f>
        <v>97200.571428571435</v>
      </c>
      <c r="J568" s="320">
        <f>TBi!P$311</f>
        <v>1246.5600000000002</v>
      </c>
      <c r="K568" s="320">
        <f t="shared" si="186"/>
        <v>7132275.4674328472</v>
      </c>
      <c r="L568" s="320">
        <f t="shared" si="185"/>
        <v>1783068.8668582118</v>
      </c>
      <c r="M568" s="321">
        <f t="shared" si="187"/>
        <v>8915344.3342910595</v>
      </c>
      <c r="N568" s="320"/>
      <c r="O568" s="320">
        <f>NhanCong!J$158</f>
        <v>195831.73076923078</v>
      </c>
    </row>
    <row r="569" spans="1:15">
      <c r="A569" s="1043"/>
      <c r="B569" s="1038"/>
      <c r="C569" s="1039"/>
      <c r="D569" s="319" t="s">
        <v>33</v>
      </c>
      <c r="E569" s="301">
        <f>NhanCong!I$159</f>
        <v>8291774.5625000019</v>
      </c>
      <c r="F569" s="301"/>
      <c r="G569" s="320">
        <f>Dcu!M$225</f>
        <v>125151.62820512822</v>
      </c>
      <c r="H569" s="320">
        <f>VLieu!K$135</f>
        <v>12562.75</v>
      </c>
      <c r="I569" s="320">
        <f>TBi!Q$307</f>
        <v>116832.42857142855</v>
      </c>
      <c r="J569" s="320">
        <f>TBi!Q$311</f>
        <v>1513.68</v>
      </c>
      <c r="K569" s="320">
        <f t="shared" si="186"/>
        <v>8547835.0492765587</v>
      </c>
      <c r="L569" s="320">
        <f t="shared" si="185"/>
        <v>2136958.7623191397</v>
      </c>
      <c r="M569" s="321">
        <f t="shared" si="187"/>
        <v>10684793.811595699</v>
      </c>
      <c r="N569" s="320"/>
      <c r="O569" s="320">
        <f>NhanCong!J$159</f>
        <v>234754.80769230769</v>
      </c>
    </row>
    <row r="570" spans="1:15" ht="12.75" customHeight="1">
      <c r="A570" s="1043">
        <v>1.3</v>
      </c>
      <c r="B570" s="1038" t="str">
        <f>NhanCong!B$162</f>
        <v>Đo đạc ranh giới thửa đất và các đối tượng địa lý có liên quan (công nhóm/100 thửa có biến động cần chỉnh lý)</v>
      </c>
      <c r="C570" s="1040" t="s">
        <v>329</v>
      </c>
      <c r="D570" s="319" t="s">
        <v>18</v>
      </c>
      <c r="E570" s="301">
        <f>NhanCong!I$162</f>
        <v>51340262.187500007</v>
      </c>
      <c r="F570" s="301">
        <f>NhanCong!I$163</f>
        <v>3039934.615384616</v>
      </c>
      <c r="G570" s="320">
        <f>Dcu!M$246</f>
        <v>285032.12179487181</v>
      </c>
      <c r="H570" s="320">
        <f>VLieu!K$145</f>
        <v>251255</v>
      </c>
      <c r="I570" s="320">
        <f>TBi!N$342</f>
        <v>773626.28571428568</v>
      </c>
      <c r="J570" s="320">
        <f>TBi!N$346</f>
        <v>7791</v>
      </c>
      <c r="K570" s="320">
        <f>SUM(E570:J570)</f>
        <v>55697901.210393779</v>
      </c>
      <c r="L570" s="320">
        <f t="shared" si="185"/>
        <v>13924475.302598445</v>
      </c>
      <c r="M570" s="321">
        <f>K570+L570</f>
        <v>69622376.512992218</v>
      </c>
      <c r="N570" s="320"/>
      <c r="O570" s="320">
        <f>NhanCong!J$162</f>
        <v>1453533.6538461538</v>
      </c>
    </row>
    <row r="571" spans="1:15" ht="15" customHeight="1">
      <c r="A571" s="1043"/>
      <c r="B571" s="1038"/>
      <c r="C571" s="1039" t="s">
        <v>49</v>
      </c>
      <c r="D571" s="319" t="s">
        <v>20</v>
      </c>
      <c r="E571" s="301">
        <f>NhanCong!I$164</f>
        <v>61608314.625000015</v>
      </c>
      <c r="F571" s="301">
        <f>NhanCong!I$165</f>
        <v>3649376.923076923</v>
      </c>
      <c r="G571" s="320">
        <f>Dcu!M$247</f>
        <v>356290.15224358975</v>
      </c>
      <c r="H571" s="320">
        <f>VLieu!K$145</f>
        <v>251255</v>
      </c>
      <c r="I571" s="320">
        <f>TBi!O$342</f>
        <v>966697.00000000012</v>
      </c>
      <c r="J571" s="320">
        <f>TBi!O$346</f>
        <v>9794.4000000000015</v>
      </c>
      <c r="K571" s="320">
        <f>SUM(E571:J571)</f>
        <v>66841728.100320525</v>
      </c>
      <c r="L571" s="320">
        <f t="shared" si="185"/>
        <v>16710432.025080131</v>
      </c>
      <c r="M571" s="321">
        <f>K571+L571</f>
        <v>83552160.125400662</v>
      </c>
      <c r="N571" s="320"/>
      <c r="O571" s="320">
        <f>NhanCong!J$164</f>
        <v>1744240.3846153847</v>
      </c>
    </row>
    <row r="572" spans="1:15" ht="15" customHeight="1">
      <c r="A572" s="1043"/>
      <c r="B572" s="1038"/>
      <c r="C572" s="1039"/>
      <c r="D572" s="319" t="s">
        <v>35</v>
      </c>
      <c r="E572" s="301">
        <f>NhanCong!I$166</f>
        <v>73938570.06250003</v>
      </c>
      <c r="F572" s="301">
        <f>NhanCong!I$167</f>
        <v>4378888.461538462</v>
      </c>
      <c r="G572" s="320">
        <f>Dcu!M$248</f>
        <v>475053.53632478637</v>
      </c>
      <c r="H572" s="320">
        <f>VLieu!K$145</f>
        <v>251255</v>
      </c>
      <c r="I572" s="320">
        <f>TBi!P$342</f>
        <v>1289308.142857143</v>
      </c>
      <c r="J572" s="320">
        <f>TBi!P$346</f>
        <v>13133.400000000001</v>
      </c>
      <c r="K572" s="320">
        <f>SUM(E572:J572)</f>
        <v>80346208.603220433</v>
      </c>
      <c r="L572" s="320">
        <f t="shared" si="185"/>
        <v>20086552.150805108</v>
      </c>
      <c r="M572" s="321">
        <f>K572+L572</f>
        <v>100432760.75402555</v>
      </c>
      <c r="N572" s="320"/>
      <c r="O572" s="320">
        <f>NhanCong!J$166</f>
        <v>2093331.730769231</v>
      </c>
    </row>
    <row r="573" spans="1:15" ht="15" customHeight="1">
      <c r="A573" s="1043"/>
      <c r="B573" s="1038"/>
      <c r="C573" s="1039"/>
      <c r="D573" s="319" t="s">
        <v>33</v>
      </c>
      <c r="E573" s="301">
        <f>NhanCong!I$168</f>
        <v>88717691.562500015</v>
      </c>
      <c r="F573" s="301">
        <f>NhanCong!I$169</f>
        <v>5253938.461538462</v>
      </c>
      <c r="G573" s="320">
        <f>Dcu!M$249</f>
        <v>570064.24358974362</v>
      </c>
      <c r="H573" s="320">
        <f>VLieu!K$145</f>
        <v>251255</v>
      </c>
      <c r="I573" s="320">
        <f>TBi!Q$342</f>
        <v>1547183.5714285714</v>
      </c>
      <c r="J573" s="320">
        <f>TBi!Q$346</f>
        <v>15582</v>
      </c>
      <c r="K573" s="320">
        <f>SUM(E573:J573)</f>
        <v>96355714.83905679</v>
      </c>
      <c r="L573" s="320">
        <f t="shared" si="185"/>
        <v>24088928.709764197</v>
      </c>
      <c r="M573" s="321">
        <f>K573+L573</f>
        <v>120444643.54882099</v>
      </c>
      <c r="N573" s="320"/>
      <c r="O573" s="320">
        <f>NhanCong!J$168</f>
        <v>2511754.8076923075</v>
      </c>
    </row>
    <row r="574" spans="1:15">
      <c r="A574" s="298">
        <v>2</v>
      </c>
      <c r="B574" s="316" t="s">
        <v>192</v>
      </c>
      <c r="C574" s="319"/>
      <c r="D574" s="319"/>
      <c r="E574" s="301"/>
      <c r="F574" s="301"/>
      <c r="G574" s="320"/>
      <c r="H574" s="320"/>
      <c r="I574" s="320"/>
      <c r="J574" s="320"/>
      <c r="K574" s="320"/>
      <c r="L574" s="320"/>
      <c r="M574" s="321"/>
      <c r="N574" s="320"/>
      <c r="O574" s="320"/>
    </row>
    <row r="575" spans="1:15" ht="12.75" customHeight="1">
      <c r="A575" s="1043" t="s">
        <v>268</v>
      </c>
      <c r="B575" s="1038" t="str">
        <f>NhanCong!B$173</f>
        <v>Số hóa BĐĐC: Áp dụng theo mức quy định tại Điều 8, Chương I</v>
      </c>
      <c r="C575" s="1039" t="s">
        <v>317</v>
      </c>
      <c r="D575" s="319" t="s">
        <v>18</v>
      </c>
      <c r="E575" s="301">
        <f t="shared" ref="E575:J579" si="188">E472</f>
        <v>277710.00400000002</v>
      </c>
      <c r="F575" s="301">
        <f t="shared" si="188"/>
        <v>0</v>
      </c>
      <c r="G575" s="301">
        <f t="shared" si="188"/>
        <v>4048.1521859829049</v>
      </c>
      <c r="H575" s="301">
        <f t="shared" si="188"/>
        <v>16368</v>
      </c>
      <c r="I575" s="301">
        <f t="shared" si="188"/>
        <v>24369.507314285715</v>
      </c>
      <c r="J575" s="301">
        <f t="shared" si="188"/>
        <v>7942.3680000000004</v>
      </c>
      <c r="K575" s="320">
        <f t="shared" ref="K575:K585" si="189">SUM(E575:J575)</f>
        <v>330438.03150026867</v>
      </c>
      <c r="L575" s="320">
        <f>K575*0.15</f>
        <v>49565.704725040297</v>
      </c>
      <c r="M575" s="321">
        <f t="shared" ref="M575:M585" si="190">K575+L575</f>
        <v>380003.73622530897</v>
      </c>
      <c r="N575" s="301">
        <f t="shared" ref="N575:O579" si="191">N472</f>
        <v>0</v>
      </c>
      <c r="O575" s="301">
        <f t="shared" si="191"/>
        <v>7862.461538461539</v>
      </c>
    </row>
    <row r="576" spans="1:15">
      <c r="A576" s="1043"/>
      <c r="B576" s="1038"/>
      <c r="C576" s="1039"/>
      <c r="D576" s="319" t="s">
        <v>20</v>
      </c>
      <c r="E576" s="301">
        <f t="shared" si="188"/>
        <v>306305.8856000001</v>
      </c>
      <c r="F576" s="301">
        <f t="shared" si="188"/>
        <v>0</v>
      </c>
      <c r="G576" s="301">
        <f t="shared" si="188"/>
        <v>4634.0689497435887</v>
      </c>
      <c r="H576" s="301">
        <f t="shared" si="188"/>
        <v>16368</v>
      </c>
      <c r="I576" s="301">
        <f t="shared" si="188"/>
        <v>28786.519657142861</v>
      </c>
      <c r="J576" s="301">
        <f t="shared" si="188"/>
        <v>9010.848</v>
      </c>
      <c r="K576" s="320">
        <f t="shared" si="189"/>
        <v>365105.32220688654</v>
      </c>
      <c r="L576" s="320">
        <f>K576*0.15</f>
        <v>54765.79833103298</v>
      </c>
      <c r="M576" s="321">
        <f t="shared" si="190"/>
        <v>419871.12053791952</v>
      </c>
      <c r="N576" s="301">
        <f t="shared" si="191"/>
        <v>0</v>
      </c>
      <c r="O576" s="301">
        <f t="shared" si="191"/>
        <v>8672.0615384615376</v>
      </c>
    </row>
    <row r="577" spans="1:17">
      <c r="A577" s="1043"/>
      <c r="B577" s="1038"/>
      <c r="C577" s="1039"/>
      <c r="D577" s="319" t="s">
        <v>35</v>
      </c>
      <c r="E577" s="301">
        <f t="shared" si="188"/>
        <v>339851.05440000002</v>
      </c>
      <c r="F577" s="301">
        <f t="shared" si="188"/>
        <v>0</v>
      </c>
      <c r="G577" s="301">
        <f t="shared" si="188"/>
        <v>5326.5160341880328</v>
      </c>
      <c r="H577" s="301">
        <f t="shared" si="188"/>
        <v>16368</v>
      </c>
      <c r="I577" s="301">
        <f t="shared" si="188"/>
        <v>34112.717828571433</v>
      </c>
      <c r="J577" s="301">
        <f t="shared" si="188"/>
        <v>10364.256000000001</v>
      </c>
      <c r="K577" s="320">
        <f t="shared" si="189"/>
        <v>406022.5442627595</v>
      </c>
      <c r="L577" s="320">
        <f>K577*0.15</f>
        <v>60903.381639413921</v>
      </c>
      <c r="M577" s="321">
        <f t="shared" si="190"/>
        <v>466925.92590217345</v>
      </c>
      <c r="N577" s="301">
        <f t="shared" si="191"/>
        <v>0</v>
      </c>
      <c r="O577" s="301">
        <f t="shared" si="191"/>
        <v>9621.7846153846149</v>
      </c>
    </row>
    <row r="578" spans="1:17">
      <c r="A578" s="1043"/>
      <c r="B578" s="1038"/>
      <c r="C578" s="1039"/>
      <c r="D578" s="319" t="s">
        <v>33</v>
      </c>
      <c r="E578" s="301">
        <f t="shared" si="188"/>
        <v>378345.51040000003</v>
      </c>
      <c r="F578" s="301">
        <f t="shared" si="188"/>
        <v>0</v>
      </c>
      <c r="G578" s="301">
        <f t="shared" si="188"/>
        <v>6125.4934393162375</v>
      </c>
      <c r="H578" s="301">
        <f t="shared" si="188"/>
        <v>16368</v>
      </c>
      <c r="I578" s="301">
        <f t="shared" si="188"/>
        <v>40348.101828571424</v>
      </c>
      <c r="J578" s="301">
        <f t="shared" si="188"/>
        <v>11966.976000000001</v>
      </c>
      <c r="K578" s="320">
        <f t="shared" si="189"/>
        <v>453154.08166788769</v>
      </c>
      <c r="L578" s="320">
        <f>K578*0.15</f>
        <v>67973.112250183156</v>
      </c>
      <c r="M578" s="321">
        <f t="shared" si="190"/>
        <v>521127.19391807087</v>
      </c>
      <c r="N578" s="301">
        <f t="shared" si="191"/>
        <v>0</v>
      </c>
      <c r="O578" s="301">
        <f t="shared" si="191"/>
        <v>10711.630769230767</v>
      </c>
    </row>
    <row r="579" spans="1:17">
      <c r="A579" s="1043"/>
      <c r="B579" s="1038"/>
      <c r="C579" s="1039"/>
      <c r="D579" s="319" t="s">
        <v>13</v>
      </c>
      <c r="E579" s="301">
        <f t="shared" si="188"/>
        <v>422339.17440000008</v>
      </c>
      <c r="F579" s="301">
        <f t="shared" si="188"/>
        <v>0</v>
      </c>
      <c r="G579" s="301">
        <f t="shared" si="188"/>
        <v>7031.0011651282039</v>
      </c>
      <c r="H579" s="301">
        <f t="shared" si="188"/>
        <v>16368</v>
      </c>
      <c r="I579" s="301">
        <f t="shared" si="188"/>
        <v>47852.558971428574</v>
      </c>
      <c r="J579" s="301">
        <f t="shared" si="188"/>
        <v>13854.624</v>
      </c>
      <c r="K579" s="320">
        <f t="shared" si="189"/>
        <v>507445.35853655689</v>
      </c>
      <c r="L579" s="320">
        <f>K579*0.15</f>
        <v>76116.803780483533</v>
      </c>
      <c r="M579" s="321">
        <f t="shared" si="190"/>
        <v>583562.16231704038</v>
      </c>
      <c r="N579" s="301">
        <f t="shared" si="191"/>
        <v>0</v>
      </c>
      <c r="O579" s="301">
        <f t="shared" si="191"/>
        <v>11957.16923076923</v>
      </c>
    </row>
    <row r="580" spans="1:17">
      <c r="A580" s="1043" t="s">
        <v>34</v>
      </c>
      <c r="B580" s="1038" t="str">
        <f>NhanCong!B$174</f>
        <v>Lập bản vẽ BĐĐC (Công nhóm/100 thửa chỉnh lý)</v>
      </c>
      <c r="C580" s="1040" t="s">
        <v>329</v>
      </c>
      <c r="D580" s="319" t="s">
        <v>18</v>
      </c>
      <c r="E580" s="301">
        <f>NhanCong!I$174</f>
        <v>4011729.9200000013</v>
      </c>
      <c r="F580" s="301"/>
      <c r="G580" s="320">
        <f>Dcu!M$271</f>
        <v>24310.638060000001</v>
      </c>
      <c r="H580" s="320">
        <f>VLieu!K$159</f>
        <v>626800</v>
      </c>
      <c r="I580" s="320">
        <f>TBi!N$379</f>
        <v>16060.242499999998</v>
      </c>
      <c r="J580" s="320">
        <f>TBi!N$383</f>
        <v>63930.719999999994</v>
      </c>
      <c r="K580" s="320">
        <f t="shared" si="189"/>
        <v>4742831.520560001</v>
      </c>
      <c r="L580" s="320">
        <f t="shared" ref="L580:L587" si="192">K580*0.15</f>
        <v>711424.72808400018</v>
      </c>
      <c r="M580" s="321">
        <f t="shared" si="190"/>
        <v>5454256.2486440009</v>
      </c>
      <c r="N580" s="320"/>
      <c r="O580" s="320">
        <f>NhanCong!J$174</f>
        <v>99643.076923076922</v>
      </c>
    </row>
    <row r="581" spans="1:17">
      <c r="A581" s="1043"/>
      <c r="B581" s="1038"/>
      <c r="C581" s="1039"/>
      <c r="D581" s="319" t="s">
        <v>20</v>
      </c>
      <c r="E581" s="301">
        <f>NhanCong!I$175</f>
        <v>4810941.7400000012</v>
      </c>
      <c r="F581" s="301"/>
      <c r="G581" s="320">
        <f>Dcu!M$272</f>
        <v>30388.297575000001</v>
      </c>
      <c r="H581" s="320">
        <f>VLieu!K$159</f>
        <v>626800</v>
      </c>
      <c r="I581" s="320">
        <f>TBi!O$379</f>
        <v>18083.802857142859</v>
      </c>
      <c r="J581" s="320">
        <f>TBi!O$383</f>
        <v>71966.58</v>
      </c>
      <c r="K581" s="320">
        <f t="shared" si="189"/>
        <v>5558180.4204321438</v>
      </c>
      <c r="L581" s="320">
        <f t="shared" si="192"/>
        <v>833727.06306482153</v>
      </c>
      <c r="M581" s="321">
        <f t="shared" si="190"/>
        <v>6391907.4834969658</v>
      </c>
      <c r="N581" s="320"/>
      <c r="O581" s="320">
        <f>NhanCong!J$175</f>
        <v>119493.84615384614</v>
      </c>
    </row>
    <row r="582" spans="1:17">
      <c r="A582" s="1043"/>
      <c r="B582" s="1038"/>
      <c r="C582" s="1039"/>
      <c r="D582" s="319" t="s">
        <v>35</v>
      </c>
      <c r="E582" s="301">
        <f>NhanCong!I$176</f>
        <v>5610153.5600000015</v>
      </c>
      <c r="F582" s="301"/>
      <c r="G582" s="320">
        <f>Dcu!M$273</f>
        <v>40517.730100000001</v>
      </c>
      <c r="H582" s="320">
        <f>VLieu!K$159</f>
        <v>626800</v>
      </c>
      <c r="I582" s="320">
        <f>TBi!P$379</f>
        <v>21494.012857142858</v>
      </c>
      <c r="J582" s="320">
        <f>TBi!P$383</f>
        <v>85344.840000000011</v>
      </c>
      <c r="K582" s="320">
        <f t="shared" si="189"/>
        <v>6384310.1429571444</v>
      </c>
      <c r="L582" s="320">
        <f t="shared" si="192"/>
        <v>957646.52144357166</v>
      </c>
      <c r="M582" s="321">
        <f t="shared" si="190"/>
        <v>7341956.6644007163</v>
      </c>
      <c r="N582" s="320"/>
      <c r="O582" s="320">
        <f>NhanCong!J$176</f>
        <v>139344.61538461538</v>
      </c>
    </row>
    <row r="583" spans="1:17">
      <c r="A583" s="1043"/>
      <c r="B583" s="1038"/>
      <c r="C583" s="1039"/>
      <c r="D583" s="319" t="s">
        <v>33</v>
      </c>
      <c r="E583" s="301">
        <f>NhanCong!I$177</f>
        <v>6425036.2000000011</v>
      </c>
      <c r="F583" s="301"/>
      <c r="G583" s="320">
        <f>Dcu!M$274</f>
        <v>48621.276120000002</v>
      </c>
      <c r="H583" s="320">
        <f>VLieu!K$159</f>
        <v>626800</v>
      </c>
      <c r="I583" s="320">
        <f>TBi!Q$379</f>
        <v>24180.256428571429</v>
      </c>
      <c r="J583" s="320">
        <f>TBi!Q$383</f>
        <v>96051.9</v>
      </c>
      <c r="K583" s="320">
        <f t="shared" si="189"/>
        <v>7220689.6325485725</v>
      </c>
      <c r="L583" s="320">
        <f t="shared" si="192"/>
        <v>1083103.4448822858</v>
      </c>
      <c r="M583" s="321">
        <f t="shared" si="190"/>
        <v>8303793.0774308583</v>
      </c>
      <c r="N583" s="320"/>
      <c r="O583" s="320">
        <f>NhanCong!J$177</f>
        <v>159584.61538461538</v>
      </c>
    </row>
    <row r="584" spans="1:17" s="345" customFormat="1" ht="26">
      <c r="A584" s="323" t="s">
        <v>246</v>
      </c>
      <c r="B584" s="324" t="str">
        <f>NhanCong!B$179</f>
        <v>Lập Phiếu đo đạc chỉnh lý thửa đất (Công/100 thửa chỉnh lý)</v>
      </c>
      <c r="C584" s="341" t="s">
        <v>329</v>
      </c>
      <c r="D584" s="341" t="s">
        <v>15</v>
      </c>
      <c r="E584" s="342">
        <f>NhanCong!I$179</f>
        <v>1031101.5000000002</v>
      </c>
      <c r="F584" s="342"/>
      <c r="G584" s="343">
        <f>Dcu!M$270</f>
        <v>40517.730100000001</v>
      </c>
      <c r="H584" s="320">
        <f>VLieu!K$159</f>
        <v>626800</v>
      </c>
      <c r="I584" s="343"/>
      <c r="J584" s="343"/>
      <c r="K584" s="343">
        <f t="shared" si="189"/>
        <v>1698419.2301000003</v>
      </c>
      <c r="L584" s="320">
        <f t="shared" si="192"/>
        <v>254762.88451500004</v>
      </c>
      <c r="M584" s="344">
        <f t="shared" si="190"/>
        <v>1953182.1146150003</v>
      </c>
      <c r="N584" s="343"/>
      <c r="O584" s="343">
        <f>NhanCong!J$179</f>
        <v>29192.307692307691</v>
      </c>
    </row>
    <row r="585" spans="1:17" s="345" customFormat="1" ht="26">
      <c r="A585" s="323" t="s">
        <v>271</v>
      </c>
      <c r="B585" s="324" t="str">
        <f>NhanCong!B$180</f>
        <v>Bổ sung sổ mục kê (công nhóm/100 thửa chỉnh lý)</v>
      </c>
      <c r="C585" s="341" t="s">
        <v>329</v>
      </c>
      <c r="D585" s="341" t="s">
        <v>15</v>
      </c>
      <c r="E585" s="342">
        <f>NhanCong!I$180</f>
        <v>893621.30000000016</v>
      </c>
      <c r="F585" s="342"/>
      <c r="G585" s="343">
        <f>Dcu!M$290</f>
        <v>13800.392222222223</v>
      </c>
      <c r="H585" s="343">
        <f>VLieu!J$170</f>
        <v>120500</v>
      </c>
      <c r="I585" s="343">
        <f>TBi!N$411</f>
        <v>6891.4414285714283</v>
      </c>
      <c r="J585" s="343">
        <f>TBi!N$414</f>
        <v>27379.800000000003</v>
      </c>
      <c r="K585" s="343">
        <f t="shared" si="189"/>
        <v>1062192.9336507937</v>
      </c>
      <c r="L585" s="320">
        <f t="shared" si="192"/>
        <v>159328.94004761905</v>
      </c>
      <c r="M585" s="344">
        <f t="shared" si="190"/>
        <v>1221521.8736984129</v>
      </c>
      <c r="N585" s="343"/>
      <c r="O585" s="343">
        <f>NhanCong!J$180</f>
        <v>25300</v>
      </c>
    </row>
    <row r="586" spans="1:17" s="345" customFormat="1" ht="26">
      <c r="A586" s="323" t="s">
        <v>365</v>
      </c>
      <c r="B586" s="324" t="str">
        <f>NhanCong!B$181</f>
        <v>Biên tập bản đồ và in (công nhóm/mảnh)</v>
      </c>
      <c r="C586" s="341" t="s">
        <v>317</v>
      </c>
      <c r="D586" s="341" t="s">
        <v>15</v>
      </c>
      <c r="E586" s="342">
        <f>NhanCong!I$181</f>
        <v>175287.25500000003</v>
      </c>
      <c r="F586" s="342"/>
      <c r="G586" s="343">
        <f>Dcu!M$304</f>
        <v>2980.8128205128205</v>
      </c>
      <c r="H586" s="343">
        <f>VLieu!K$181</f>
        <v>154100</v>
      </c>
      <c r="I586" s="343">
        <f>TBi!N$418</f>
        <v>2815.42</v>
      </c>
      <c r="J586" s="343">
        <f>TBi!N$422</f>
        <v>5787.6</v>
      </c>
      <c r="K586" s="343">
        <f>SUM(E586:J586)</f>
        <v>340971.08782051282</v>
      </c>
      <c r="L586" s="320">
        <f t="shared" si="192"/>
        <v>51145.663173076922</v>
      </c>
      <c r="M586" s="344">
        <f>K586+L586</f>
        <v>392116.75099358975</v>
      </c>
      <c r="N586" s="343"/>
      <c r="O586" s="343">
        <f>NhanCong!J$181</f>
        <v>4962.6923076923076</v>
      </c>
    </row>
    <row r="587" spans="1:17" s="345" customFormat="1" ht="26">
      <c r="A587" s="323" t="s">
        <v>366</v>
      </c>
      <c r="B587" s="324" t="str">
        <f>NhanCong!B$182</f>
        <v>Xác nhận hồ sơ các cấp (công nhóm/mảnh)</v>
      </c>
      <c r="C587" s="341" t="s">
        <v>317</v>
      </c>
      <c r="D587" s="341" t="s">
        <v>15</v>
      </c>
      <c r="E587" s="342">
        <f>NhanCong!I$182</f>
        <v>137480.20000000004</v>
      </c>
      <c r="F587" s="342"/>
      <c r="G587" s="343">
        <f>Dcu!M$304</f>
        <v>2980.8128205128205</v>
      </c>
      <c r="H587" s="343">
        <f>VLieu!K$181</f>
        <v>154100</v>
      </c>
      <c r="I587" s="343">
        <f>TBi!N$418</f>
        <v>2815.42</v>
      </c>
      <c r="J587" s="343">
        <f>TBi!N$422</f>
        <v>5787.6</v>
      </c>
      <c r="K587" s="343">
        <f>SUM(E587:J587)</f>
        <v>303164.03282051283</v>
      </c>
      <c r="L587" s="320">
        <f t="shared" si="192"/>
        <v>45474.60492307692</v>
      </c>
      <c r="M587" s="344">
        <f>K587+L587</f>
        <v>348638.63774358976</v>
      </c>
      <c r="N587" s="343"/>
      <c r="O587" s="343">
        <f>NhanCong!J$182</f>
        <v>3892.3076923076924</v>
      </c>
    </row>
    <row r="588" spans="1:17" s="345" customFormat="1" ht="26">
      <c r="A588" s="323" t="s">
        <v>367</v>
      </c>
      <c r="B588" s="324" t="str">
        <f>NhanCong!B$183</f>
        <v>Giao nộp sản phẩm (công nhóm/mảnh)</v>
      </c>
      <c r="C588" s="341" t="s">
        <v>317</v>
      </c>
      <c r="D588" s="341" t="s">
        <v>15</v>
      </c>
      <c r="E588" s="342">
        <f>NhanCong!I$183</f>
        <v>68740.10000000002</v>
      </c>
      <c r="F588" s="342"/>
      <c r="G588" s="343">
        <f>Dcu!M$304</f>
        <v>2980.8128205128205</v>
      </c>
      <c r="H588" s="343">
        <f>VLieu!K$181</f>
        <v>154100</v>
      </c>
      <c r="I588" s="343">
        <f>TBi!N$418</f>
        <v>2815.42</v>
      </c>
      <c r="J588" s="343">
        <f>TBi!N$422</f>
        <v>5787.6</v>
      </c>
      <c r="K588" s="343">
        <f>SUM(E588:J588)</f>
        <v>234423.93282051285</v>
      </c>
      <c r="L588" s="320">
        <f>K588*0.15</f>
        <v>35163.589923076928</v>
      </c>
      <c r="M588" s="344">
        <f>K588+L588</f>
        <v>269587.52274358977</v>
      </c>
      <c r="N588" s="343"/>
      <c r="O588" s="343">
        <f>NhanCong!J$183</f>
        <v>1946.1538461538462</v>
      </c>
    </row>
    <row r="589" spans="1:17" s="345" customFormat="1">
      <c r="A589" s="298" t="s">
        <v>27</v>
      </c>
      <c r="B589" s="316" t="s">
        <v>203</v>
      </c>
      <c r="C589" s="337" t="s">
        <v>349</v>
      </c>
      <c r="D589" s="333"/>
      <c r="E589" s="301"/>
      <c r="F589" s="301"/>
      <c r="G589" s="301"/>
      <c r="H589" s="301"/>
      <c r="I589" s="301"/>
      <c r="J589" s="301"/>
      <c r="K589" s="301"/>
      <c r="L589" s="301"/>
      <c r="M589" s="302">
        <v>6.25</v>
      </c>
      <c r="N589" s="301" t="s">
        <v>21</v>
      </c>
      <c r="O589" s="301"/>
    </row>
    <row r="590" spans="1:17" s="345" customFormat="1" ht="13.15" customHeight="1">
      <c r="A590" s="1036"/>
      <c r="B590" s="1035" t="s">
        <v>190</v>
      </c>
      <c r="C590" s="298">
        <f>HeSoKK!B31</f>
        <v>32</v>
      </c>
      <c r="D590" s="298">
        <v>1</v>
      </c>
      <c r="E590" s="301">
        <f>E641/C590+(E646+E651)/100</f>
        <v>404324.58137500007</v>
      </c>
      <c r="F590" s="301">
        <f>F641/C590+(F646+F651)/100</f>
        <v>21212.23076923077</v>
      </c>
      <c r="G590" s="301">
        <f>G641/C590+(G646+G651)/100</f>
        <v>2566.0304487179487</v>
      </c>
      <c r="H590" s="301">
        <f>H641/C590+(H646+H651)/100</f>
        <v>22147.89</v>
      </c>
      <c r="I590" s="301">
        <f>I641/C590+(I646+I651)/100</f>
        <v>6121.2857142857147</v>
      </c>
      <c r="J590" s="301">
        <f>J641/C590+(J646+J651)/100</f>
        <v>60.101999999999997</v>
      </c>
      <c r="K590" s="301">
        <f t="shared" ref="K590:K599" si="193">SUM(E590:J590)</f>
        <v>456432.12030723452</v>
      </c>
      <c r="L590" s="301">
        <f>K590*0.25</f>
        <v>114108.03007680863</v>
      </c>
      <c r="M590" s="315">
        <f t="shared" ref="M590:M599" si="194">K590+L590</f>
        <v>570540.15038404311</v>
      </c>
      <c r="N590" s="301">
        <f>M590+M595</f>
        <v>644470.9964030711</v>
      </c>
      <c r="O590" s="301">
        <f>O641/C590+(O646+O651)/100</f>
        <v>11484.740384615385</v>
      </c>
      <c r="Q590" s="346"/>
    </row>
    <row r="591" spans="1:17" s="345" customFormat="1" ht="13.15" customHeight="1">
      <c r="A591" s="1036"/>
      <c r="B591" s="1035"/>
      <c r="C591" s="298">
        <f>HeSoKK!D31</f>
        <v>42</v>
      </c>
      <c r="D591" s="298">
        <v>2</v>
      </c>
      <c r="E591" s="301">
        <f>E642/C591+(E647+E652)/100</f>
        <v>482974.41202083352</v>
      </c>
      <c r="F591" s="301">
        <f>F642/C591+(F647+F652)/100</f>
        <v>25469.23076923077</v>
      </c>
      <c r="G591" s="301">
        <f>G642/C591+(G647+G652)/100</f>
        <v>3163.1876717032965</v>
      </c>
      <c r="H591" s="301">
        <f>H642/C591+(H647+H652)/100</f>
        <v>17330.032857142858</v>
      </c>
      <c r="I591" s="301">
        <f>I642/C591+(I647+I652)/100</f>
        <v>7651.41</v>
      </c>
      <c r="J591" s="301">
        <f>J642/C591+(J647+J652)/100</f>
        <v>74.348399999999998</v>
      </c>
      <c r="K591" s="301">
        <f t="shared" si="193"/>
        <v>536662.62171891052</v>
      </c>
      <c r="L591" s="301">
        <f>K591*0.25</f>
        <v>134165.65542972763</v>
      </c>
      <c r="M591" s="315">
        <f t="shared" si="194"/>
        <v>670828.27714863815</v>
      </c>
      <c r="N591" s="301">
        <f>M591+M596</f>
        <v>744761.81390041311</v>
      </c>
      <c r="O591" s="301">
        <f>O642/C591+(O647+O652)/100</f>
        <v>13711.059294871793</v>
      </c>
      <c r="Q591" s="346"/>
    </row>
    <row r="592" spans="1:17" s="345" customFormat="1" ht="13.15" customHeight="1">
      <c r="A592" s="1036"/>
      <c r="B592" s="1035"/>
      <c r="C592" s="298">
        <f>HeSoKK!F31</f>
        <v>49.5</v>
      </c>
      <c r="D592" s="298">
        <v>3</v>
      </c>
      <c r="E592" s="301">
        <f>E643/C592+(E648+E653)/100</f>
        <v>582535.36637500022</v>
      </c>
      <c r="F592" s="301">
        <f>F643/C592+(F648+F653)/100</f>
        <v>30563.076923076926</v>
      </c>
      <c r="G592" s="301">
        <f>G643/C592+(G648+G653)/100</f>
        <v>4188.9126036001035</v>
      </c>
      <c r="H592" s="301">
        <f>H643/C592+(H648+H653)/100</f>
        <v>14994.102121212121</v>
      </c>
      <c r="I592" s="301">
        <f>I643/C592+(I648+I653)/100</f>
        <v>10202.142857142859</v>
      </c>
      <c r="J592" s="301">
        <f>J643/C592+(J648+J653)/100</f>
        <v>98.389199999999988</v>
      </c>
      <c r="K592" s="301">
        <f t="shared" si="193"/>
        <v>642581.99008003215</v>
      </c>
      <c r="L592" s="301">
        <f>K592*0.25</f>
        <v>160645.49752000804</v>
      </c>
      <c r="M592" s="315">
        <f t="shared" si="194"/>
        <v>803227.48760004016</v>
      </c>
      <c r="N592" s="301">
        <f>M592+M597</f>
        <v>877155.14676536364</v>
      </c>
      <c r="O592" s="301">
        <f>O643/C592+(O648+O653)/100</f>
        <v>16533.682692307691</v>
      </c>
      <c r="Q592" s="346"/>
    </row>
    <row r="593" spans="1:17" s="345" customFormat="1" ht="13.15" customHeight="1">
      <c r="A593" s="1036"/>
      <c r="B593" s="1035"/>
      <c r="C593" s="298">
        <f>HeSoKK!H31</f>
        <v>59.5</v>
      </c>
      <c r="D593" s="298">
        <v>4</v>
      </c>
      <c r="E593" s="301">
        <f>E644/C593+(E649+E654)/100</f>
        <v>703756.83517279429</v>
      </c>
      <c r="F593" s="301">
        <f>F644/C593+(F649+F654)/100</f>
        <v>36657.5</v>
      </c>
      <c r="G593" s="301">
        <f>G644/C593+(G649+G654)/100</f>
        <v>5618.6030320782165</v>
      </c>
      <c r="H593" s="301">
        <f>H644/C593+(H649+H654)/100</f>
        <v>12795.579075630252</v>
      </c>
      <c r="I593" s="301">
        <f>I644/C593+(I649+I654)/100</f>
        <v>13773.09</v>
      </c>
      <c r="J593" s="301">
        <f>J644/C593+(J649+J654)/100</f>
        <v>132.2244</v>
      </c>
      <c r="K593" s="301">
        <f t="shared" si="193"/>
        <v>772733.83168050274</v>
      </c>
      <c r="L593" s="301">
        <f>K593*0.25</f>
        <v>193183.45792012569</v>
      </c>
      <c r="M593" s="315">
        <f t="shared" si="194"/>
        <v>965917.28960062843</v>
      </c>
      <c r="N593" s="301">
        <f>M593+M598</f>
        <v>1052013.2379866801</v>
      </c>
      <c r="O593" s="301">
        <f>O644/C593+(O649+O654)/100</f>
        <v>19969.020563994825</v>
      </c>
      <c r="Q593" s="346"/>
    </row>
    <row r="594" spans="1:17" s="345" customFormat="1" ht="13.15" customHeight="1">
      <c r="A594" s="1036"/>
      <c r="B594" s="1035"/>
      <c r="C594" s="298">
        <f>HeSoKK!J31</f>
        <v>70</v>
      </c>
      <c r="D594" s="298">
        <v>5</v>
      </c>
      <c r="E594" s="301">
        <f>E645/C594+(E650+E655)/100</f>
        <v>846429.95951250033</v>
      </c>
      <c r="F594" s="301">
        <f>F645/C594+(F650+F655)/100</f>
        <v>44007.192307692312</v>
      </c>
      <c r="G594" s="301">
        <f>G645/C594+(G650+G655)/100</f>
        <v>7248.3114049145297</v>
      </c>
      <c r="H594" s="301">
        <f>H645/C594+(H650+H655)/100</f>
        <v>11163.175714285713</v>
      </c>
      <c r="I594" s="301">
        <f>I645/C594+(I650+I655)/100</f>
        <v>17343.642857142859</v>
      </c>
      <c r="J594" s="301">
        <f>J645/C594+(J650+J655)/100</f>
        <v>166.05960000000002</v>
      </c>
      <c r="K594" s="301">
        <f t="shared" si="193"/>
        <v>926358.34139653563</v>
      </c>
      <c r="L594" s="301">
        <f>K594*0.25</f>
        <v>231589.58534913391</v>
      </c>
      <c r="M594" s="315">
        <f t="shared" si="194"/>
        <v>1157947.9267456695</v>
      </c>
      <c r="N594" s="301">
        <f>M594+M599</f>
        <v>1251831.3572020873</v>
      </c>
      <c r="O594" s="301">
        <f>O645/C594+(O650+O655)/100</f>
        <v>24013.001510989012</v>
      </c>
      <c r="Q594" s="346"/>
    </row>
    <row r="595" spans="1:17" s="345" customFormat="1" ht="13.15" customHeight="1">
      <c r="A595" s="1036"/>
      <c r="B595" s="1035" t="s">
        <v>192</v>
      </c>
      <c r="C595" s="298">
        <f>C590</f>
        <v>32</v>
      </c>
      <c r="D595" s="298">
        <v>1</v>
      </c>
      <c r="E595" s="301">
        <f>(E657+E669+E670+E671)/C595+(E662+E667+E668)/100</f>
        <v>44924.900075000012</v>
      </c>
      <c r="F595" s="301">
        <f>(F657+F669+F670+F671)/C595+(F662+F667+F668)/100</f>
        <v>0</v>
      </c>
      <c r="G595" s="301">
        <f>(G657+G669+G670+G671)/C595+(G662+G667+G668)/100</f>
        <v>780.5476333162394</v>
      </c>
      <c r="H595" s="301">
        <f>(H657+H669+H670+H671)/C595+(H662+H667+H668)/100</f>
        <v>16473.25</v>
      </c>
      <c r="I595" s="301">
        <f>(I657+I669+I670+I671)/C595+(I662+I667+I668)/100</f>
        <v>998.88828214285718</v>
      </c>
      <c r="J595" s="301">
        <f>(J657+J669+J670+J671)/C595+(J662+J667+J668)/100</f>
        <v>1110.1061999999999</v>
      </c>
      <c r="K595" s="301">
        <f t="shared" si="193"/>
        <v>64287.692190459107</v>
      </c>
      <c r="L595" s="301">
        <f>K595*0.15</f>
        <v>9643.1538285688657</v>
      </c>
      <c r="M595" s="315">
        <f t="shared" si="194"/>
        <v>73930.846019027973</v>
      </c>
      <c r="N595" s="301"/>
      <c r="O595" s="301">
        <f>(O657+O669+O670+O671)/C595+(O662+O667+O668)/100</f>
        <v>1227.5365384615384</v>
      </c>
    </row>
    <row r="596" spans="1:17" s="345" customFormat="1" ht="13.15" customHeight="1">
      <c r="A596" s="1036"/>
      <c r="B596" s="1035"/>
      <c r="C596" s="298">
        <f>C591</f>
        <v>42</v>
      </c>
      <c r="D596" s="298">
        <v>2</v>
      </c>
      <c r="E596" s="301">
        <f>(E658+E669+E670+E671)/C596+(E663+E667+E668)/100</f>
        <v>45667.072261904774</v>
      </c>
      <c r="F596" s="301">
        <f>(F658+F669+F670+F671)/C596+(F663+F667+F668)/100</f>
        <v>0</v>
      </c>
      <c r="G596" s="301">
        <f>(G658+G669+G670+G671)/C596+(G663+G667+G668)/100</f>
        <v>785.24564088827833</v>
      </c>
      <c r="H596" s="301">
        <f>(H658+H669+H670+H671)/C596+(H663+H667+H668)/100</f>
        <v>15822.714285714286</v>
      </c>
      <c r="I596" s="301">
        <f>(I658+I669+I670+I671)/C596+(I663+I667+I668)/100</f>
        <v>922.33056955782331</v>
      </c>
      <c r="J596" s="301">
        <f>(J658+J669+J670+J671)/C596+(J663+J667+J668)/100</f>
        <v>1092.6691999999998</v>
      </c>
      <c r="K596" s="301">
        <f t="shared" si="193"/>
        <v>64290.031958065156</v>
      </c>
      <c r="L596" s="301">
        <f>K596*0.15</f>
        <v>9643.5047937097734</v>
      </c>
      <c r="M596" s="315">
        <f t="shared" si="194"/>
        <v>73933.536751774926</v>
      </c>
      <c r="N596" s="301"/>
      <c r="O596" s="301">
        <f>(O658+O669+O670+O671)/C596+(O663+O667+O668)/100</f>
        <v>1237.6611721611721</v>
      </c>
    </row>
    <row r="597" spans="1:17" s="345" customFormat="1" ht="13.15" customHeight="1">
      <c r="A597" s="1036"/>
      <c r="B597" s="1035"/>
      <c r="C597" s="298">
        <f>C592</f>
        <v>49.5</v>
      </c>
      <c r="D597" s="298">
        <v>3</v>
      </c>
      <c r="E597" s="301">
        <f>(E659+E669+E670+E671)/C597+(E664+E667+E668)/100</f>
        <v>45848.685300000012</v>
      </c>
      <c r="F597" s="301">
        <f>(F659+F669+F670+F671)/C597+(F664+F667+F668)/100</f>
        <v>0</v>
      </c>
      <c r="G597" s="301">
        <f>(G659+G669+G670+G671)/C597+(G664+G667+G668)/100</f>
        <v>840.62429514288169</v>
      </c>
      <c r="H597" s="301">
        <f>(H659+H669+H670+H671)/C597+(H664+H667+H668)/100</f>
        <v>15507.30303030303</v>
      </c>
      <c r="I597" s="301">
        <f>(I659+I669+I670+I671)/C597+(I664+I667+I668)/100</f>
        <v>938.90991515151529</v>
      </c>
      <c r="J597" s="301">
        <f>(J659+J669+J670+J671)/C597+(J664+J667+J668)/100</f>
        <v>1149.3984727272727</v>
      </c>
      <c r="K597" s="301">
        <f t="shared" si="193"/>
        <v>64284.921013324711</v>
      </c>
      <c r="L597" s="301">
        <f>K597*0.15</f>
        <v>9642.7381519987066</v>
      </c>
      <c r="M597" s="315">
        <f t="shared" si="194"/>
        <v>73927.659165323421</v>
      </c>
      <c r="N597" s="301"/>
      <c r="O597" s="301">
        <f>(O659+O669+O670+O671)/C597+(O664+O667+O668)/100</f>
        <v>1238.9923076923078</v>
      </c>
    </row>
    <row r="598" spans="1:17" s="345" customFormat="1" ht="13.15" customHeight="1">
      <c r="A598" s="1036"/>
      <c r="B598" s="1035"/>
      <c r="C598" s="298">
        <f>C593</f>
        <v>59.5</v>
      </c>
      <c r="D598" s="298">
        <v>4</v>
      </c>
      <c r="E598" s="301">
        <f>(E660+E669+E670+E671)/C598+(E665+E667+E668)/100</f>
        <v>56557.198805042033</v>
      </c>
      <c r="F598" s="301">
        <f>(F660+F669+F670+F671)/C598+(F665+F667+F668)/100</f>
        <v>0</v>
      </c>
      <c r="G598" s="301">
        <f>(G660+G669+G670+G671)/C598+(G665+G667+G668)/100</f>
        <v>921.70859994753278</v>
      </c>
      <c r="H598" s="301">
        <f>(H660+H669+H670+H671)/C598+(H665+H667+H668)/100</f>
        <v>15210.44537815126</v>
      </c>
      <c r="I598" s="301">
        <f>(I660+I669+I670+I671)/C598+(I665+I667+I668)/100</f>
        <v>948.2609034513805</v>
      </c>
      <c r="J598" s="301">
        <f>(J660+J669+J670+J671)/C598+(J665+J667+J668)/100</f>
        <v>1228.4283882352941</v>
      </c>
      <c r="K598" s="301">
        <f t="shared" si="193"/>
        <v>74866.042074827492</v>
      </c>
      <c r="L598" s="301">
        <f>K598*0.15</f>
        <v>11229.906311224124</v>
      </c>
      <c r="M598" s="315">
        <f t="shared" si="194"/>
        <v>86095.948386051619</v>
      </c>
      <c r="N598" s="301"/>
      <c r="O598" s="301">
        <f>(O660+O669+O670+O671)/C598+(O665+O667+O668)/100</f>
        <v>1501.6130575307043</v>
      </c>
    </row>
    <row r="599" spans="1:17" s="345" customFormat="1" ht="13.15" customHeight="1">
      <c r="A599" s="1036"/>
      <c r="B599" s="1035"/>
      <c r="C599" s="298">
        <f>C594</f>
        <v>70</v>
      </c>
      <c r="D599" s="298">
        <v>5</v>
      </c>
      <c r="E599" s="301">
        <f>(E661+E669+E670+E671)/C599+(E666+E667+E668)/100</f>
        <v>63334.463688571443</v>
      </c>
      <c r="F599" s="301">
        <f>(F661+F669+F670+F671)/C599+(F666+F667+F668)/100</f>
        <v>0</v>
      </c>
      <c r="G599" s="301">
        <f>(G661+G669+G670+G671)/C599+(G666+G667+G668)/100</f>
        <v>1020.798121623321</v>
      </c>
      <c r="H599" s="301">
        <f>(H661+H669+H670+H671)/C599+(H666+H667+H668)/100</f>
        <v>14990.028571428571</v>
      </c>
      <c r="I599" s="301">
        <f>(I661+I669+I670+I671)/C599+(I666+I667+I668)/100</f>
        <v>975.16023265306126</v>
      </c>
      <c r="J599" s="301">
        <f>(J661+J669+J670+J671)/C599+(J666+J667+J668)/100</f>
        <v>1317.3150000000001</v>
      </c>
      <c r="K599" s="301">
        <f t="shared" si="193"/>
        <v>81637.765614276403</v>
      </c>
      <c r="L599" s="301">
        <f>K599*0.15</f>
        <v>12245.664842141459</v>
      </c>
      <c r="M599" s="315">
        <f t="shared" si="194"/>
        <v>93883.43045641786</v>
      </c>
      <c r="N599" s="301"/>
      <c r="O599" s="301">
        <f>(O661+O669+O670+O671)/C599+(O666+O667+O668)/100</f>
        <v>1667.6314285714284</v>
      </c>
    </row>
    <row r="600" spans="1:17" s="345" customFormat="1" ht="13.5">
      <c r="A600" s="298"/>
      <c r="B600" s="340" t="s">
        <v>332</v>
      </c>
      <c r="C600" s="298"/>
      <c r="D600" s="298"/>
      <c r="E600" s="301"/>
      <c r="F600" s="301"/>
      <c r="G600" s="301"/>
      <c r="H600" s="301"/>
      <c r="I600" s="301"/>
      <c r="J600" s="301"/>
      <c r="K600" s="301"/>
      <c r="L600" s="301"/>
      <c r="M600" s="315"/>
      <c r="N600" s="301"/>
      <c r="O600" s="301"/>
    </row>
    <row r="601" spans="1:17" s="345" customFormat="1" ht="13.5">
      <c r="A601" s="298" t="s">
        <v>323</v>
      </c>
      <c r="B601" s="340" t="s">
        <v>333</v>
      </c>
      <c r="C601" s="298"/>
      <c r="D601" s="298"/>
      <c r="E601" s="301"/>
      <c r="F601" s="301"/>
      <c r="G601" s="301"/>
      <c r="H601" s="301"/>
      <c r="I601" s="301"/>
      <c r="J601" s="301"/>
      <c r="K601" s="301"/>
      <c r="L601" s="301"/>
      <c r="M601" s="315"/>
      <c r="N601" s="301"/>
      <c r="O601" s="301"/>
    </row>
    <row r="602" spans="1:17" s="345" customFormat="1" ht="13.15" customHeight="1">
      <c r="A602" s="1036"/>
      <c r="B602" s="1037" t="s">
        <v>330</v>
      </c>
      <c r="C602" s="1036" t="s">
        <v>49</v>
      </c>
      <c r="D602" s="298">
        <v>1</v>
      </c>
      <c r="E602" s="301">
        <f t="shared" ref="E602:J606" si="195">E590-E646/100</f>
        <v>375969.29012500006</v>
      </c>
      <c r="F602" s="301">
        <f t="shared" si="195"/>
        <v>21212.23076923077</v>
      </c>
      <c r="G602" s="301">
        <f t="shared" si="195"/>
        <v>2138.4458974358977</v>
      </c>
      <c r="H602" s="301">
        <f t="shared" si="195"/>
        <v>22056.799999999999</v>
      </c>
      <c r="I602" s="301">
        <f t="shared" si="195"/>
        <v>5673.3607142857145</v>
      </c>
      <c r="J602" s="301">
        <f t="shared" si="195"/>
        <v>55.65</v>
      </c>
      <c r="K602" s="301">
        <f t="shared" ref="K602:K611" si="196">SUM(E602:J602)</f>
        <v>427105.7775059524</v>
      </c>
      <c r="L602" s="301">
        <f>K602*0.25</f>
        <v>106776.4443764881</v>
      </c>
      <c r="M602" s="315">
        <f t="shared" ref="M602:M611" si="197">K602+L602</f>
        <v>533882.2218824405</v>
      </c>
      <c r="N602" s="301">
        <f>M602+M607</f>
        <v>607813.06790146849</v>
      </c>
      <c r="O602" s="301">
        <f>O590-O646/100</f>
        <v>10681.951923076924</v>
      </c>
    </row>
    <row r="603" spans="1:17" s="345" customFormat="1" ht="13.15" customHeight="1">
      <c r="A603" s="1036"/>
      <c r="B603" s="1037"/>
      <c r="C603" s="1036"/>
      <c r="D603" s="298">
        <v>2</v>
      </c>
      <c r="E603" s="301">
        <f t="shared" si="195"/>
        <v>447530.29795833351</v>
      </c>
      <c r="F603" s="301">
        <f t="shared" si="195"/>
        <v>25469.23076923077</v>
      </c>
      <c r="G603" s="301">
        <f t="shared" si="195"/>
        <v>2628.7069826007323</v>
      </c>
      <c r="H603" s="301">
        <f t="shared" si="195"/>
        <v>17238.942857142858</v>
      </c>
      <c r="I603" s="301">
        <f t="shared" si="195"/>
        <v>7090.3907142857142</v>
      </c>
      <c r="J603" s="301">
        <f t="shared" si="195"/>
        <v>69.006</v>
      </c>
      <c r="K603" s="301">
        <f t="shared" si="196"/>
        <v>500026.5752815936</v>
      </c>
      <c r="L603" s="301">
        <f>K603*0.25</f>
        <v>125006.6438203984</v>
      </c>
      <c r="M603" s="315">
        <f t="shared" si="197"/>
        <v>625033.21910199197</v>
      </c>
      <c r="N603" s="301">
        <f>M603+M608</f>
        <v>698966.75585376692</v>
      </c>
      <c r="O603" s="301">
        <f>O591-O647/100</f>
        <v>12707.573717948717</v>
      </c>
    </row>
    <row r="604" spans="1:17" s="345" customFormat="1" ht="13.15" customHeight="1">
      <c r="A604" s="1036"/>
      <c r="B604" s="1037"/>
      <c r="C604" s="1036"/>
      <c r="D604" s="298">
        <v>3</v>
      </c>
      <c r="E604" s="301">
        <f t="shared" si="195"/>
        <v>535276.54762500024</v>
      </c>
      <c r="F604" s="301">
        <f t="shared" si="195"/>
        <v>30563.076923076926</v>
      </c>
      <c r="G604" s="301">
        <f t="shared" si="195"/>
        <v>3476.2716847966849</v>
      </c>
      <c r="H604" s="301">
        <f t="shared" si="195"/>
        <v>14903.012121212121</v>
      </c>
      <c r="I604" s="301">
        <f t="shared" si="195"/>
        <v>9453.9857142857163</v>
      </c>
      <c r="J604" s="301">
        <f t="shared" si="195"/>
        <v>91.265999999999991</v>
      </c>
      <c r="K604" s="301">
        <f t="shared" si="196"/>
        <v>593764.16006837157</v>
      </c>
      <c r="L604" s="301">
        <f>K604*0.25</f>
        <v>148441.04001709289</v>
      </c>
      <c r="M604" s="315">
        <f t="shared" si="197"/>
        <v>742205.2000854644</v>
      </c>
      <c r="N604" s="301">
        <f>M604+M609</f>
        <v>816132.85925078788</v>
      </c>
      <c r="O604" s="301">
        <f>O592-O648/100</f>
        <v>15195.701923076922</v>
      </c>
    </row>
    <row r="605" spans="1:17" s="345" customFormat="1" ht="13.15" customHeight="1">
      <c r="A605" s="1036"/>
      <c r="B605" s="1037"/>
      <c r="C605" s="1036"/>
      <c r="D605" s="298">
        <v>4</v>
      </c>
      <c r="E605" s="301">
        <f t="shared" si="195"/>
        <v>639957.42986029433</v>
      </c>
      <c r="F605" s="301">
        <f t="shared" si="195"/>
        <v>36657.5</v>
      </c>
      <c r="G605" s="301">
        <f t="shared" si="195"/>
        <v>4656.5377916936013</v>
      </c>
      <c r="H605" s="301">
        <f t="shared" si="195"/>
        <v>12704.489075630252</v>
      </c>
      <c r="I605" s="301">
        <f t="shared" si="195"/>
        <v>12764.145714285714</v>
      </c>
      <c r="J605" s="301">
        <f t="shared" si="195"/>
        <v>122.43</v>
      </c>
      <c r="K605" s="301">
        <f t="shared" si="196"/>
        <v>706862.53244190384</v>
      </c>
      <c r="L605" s="301">
        <f>K605*0.25</f>
        <v>176715.63311047596</v>
      </c>
      <c r="M605" s="315">
        <f t="shared" si="197"/>
        <v>883578.1655523798</v>
      </c>
      <c r="N605" s="301">
        <f>M605+M610</f>
        <v>969674.11393843137</v>
      </c>
      <c r="O605" s="301">
        <f>O593-O649/100</f>
        <v>18162.746525533286</v>
      </c>
    </row>
    <row r="606" spans="1:17" s="345" customFormat="1" ht="13.15" customHeight="1">
      <c r="A606" s="1036"/>
      <c r="B606" s="1037"/>
      <c r="C606" s="1036"/>
      <c r="D606" s="298"/>
      <c r="E606" s="301">
        <f t="shared" si="195"/>
        <v>766089.96763750026</v>
      </c>
      <c r="F606" s="301">
        <f t="shared" si="195"/>
        <v>44007.192307692312</v>
      </c>
      <c r="G606" s="301">
        <f t="shared" si="195"/>
        <v>6001.1897970085465</v>
      </c>
      <c r="H606" s="301">
        <f t="shared" si="195"/>
        <v>11072.085714285713</v>
      </c>
      <c r="I606" s="301">
        <f t="shared" si="195"/>
        <v>16073.911428571429</v>
      </c>
      <c r="J606" s="301">
        <f t="shared" si="195"/>
        <v>153.59400000000002</v>
      </c>
      <c r="K606" s="301">
        <f t="shared" si="196"/>
        <v>843397.94088505825</v>
      </c>
      <c r="L606" s="301">
        <f>K606*0.25</f>
        <v>210849.48522126456</v>
      </c>
      <c r="M606" s="315">
        <f t="shared" si="197"/>
        <v>1054247.4261063228</v>
      </c>
      <c r="N606" s="301">
        <f>M606+M611</f>
        <v>1148130.8565627406</v>
      </c>
      <c r="O606" s="301">
        <f>O594-O650/100</f>
        <v>21738.434203296703</v>
      </c>
    </row>
    <row r="607" spans="1:17" s="345" customFormat="1">
      <c r="A607" s="1036"/>
      <c r="B607" s="1037" t="s">
        <v>331</v>
      </c>
      <c r="C607" s="1036" t="s">
        <v>49</v>
      </c>
      <c r="D607" s="298">
        <v>1</v>
      </c>
      <c r="E607" s="301">
        <f t="shared" ref="E607:J611" si="198">E595</f>
        <v>44924.900075000012</v>
      </c>
      <c r="F607" s="301">
        <f t="shared" si="198"/>
        <v>0</v>
      </c>
      <c r="G607" s="301">
        <f t="shared" si="198"/>
        <v>780.5476333162394</v>
      </c>
      <c r="H607" s="301">
        <f t="shared" si="198"/>
        <v>16473.25</v>
      </c>
      <c r="I607" s="301">
        <f t="shared" si="198"/>
        <v>998.88828214285718</v>
      </c>
      <c r="J607" s="301">
        <f t="shared" si="198"/>
        <v>1110.1061999999999</v>
      </c>
      <c r="K607" s="301">
        <f t="shared" si="196"/>
        <v>64287.692190459107</v>
      </c>
      <c r="L607" s="301">
        <f>K607*0.15</f>
        <v>9643.1538285688657</v>
      </c>
      <c r="M607" s="315">
        <f t="shared" si="197"/>
        <v>73930.846019027973</v>
      </c>
      <c r="N607" s="301"/>
      <c r="O607" s="301">
        <f>O595</f>
        <v>1227.5365384615384</v>
      </c>
    </row>
    <row r="608" spans="1:17" s="345" customFormat="1">
      <c r="A608" s="1036"/>
      <c r="B608" s="1035"/>
      <c r="C608" s="1036"/>
      <c r="D608" s="298">
        <v>2</v>
      </c>
      <c r="E608" s="301">
        <f t="shared" si="198"/>
        <v>45667.072261904774</v>
      </c>
      <c r="F608" s="301">
        <f t="shared" si="198"/>
        <v>0</v>
      </c>
      <c r="G608" s="301">
        <f t="shared" si="198"/>
        <v>785.24564088827833</v>
      </c>
      <c r="H608" s="301">
        <f t="shared" si="198"/>
        <v>15822.714285714286</v>
      </c>
      <c r="I608" s="301">
        <f t="shared" si="198"/>
        <v>922.33056955782331</v>
      </c>
      <c r="J608" s="301">
        <f t="shared" si="198"/>
        <v>1092.6691999999998</v>
      </c>
      <c r="K608" s="301">
        <f t="shared" si="196"/>
        <v>64290.031958065156</v>
      </c>
      <c r="L608" s="301">
        <f>K608*0.15</f>
        <v>9643.5047937097734</v>
      </c>
      <c r="M608" s="315">
        <f t="shared" si="197"/>
        <v>73933.536751774926</v>
      </c>
      <c r="N608" s="301"/>
      <c r="O608" s="301">
        <f>O596</f>
        <v>1237.6611721611721</v>
      </c>
    </row>
    <row r="609" spans="1:15" s="345" customFormat="1">
      <c r="A609" s="1036"/>
      <c r="B609" s="1035"/>
      <c r="C609" s="1036"/>
      <c r="D609" s="298">
        <v>3</v>
      </c>
      <c r="E609" s="301">
        <f t="shared" si="198"/>
        <v>45848.685300000012</v>
      </c>
      <c r="F609" s="301">
        <f t="shared" si="198"/>
        <v>0</v>
      </c>
      <c r="G609" s="301">
        <f t="shared" si="198"/>
        <v>840.62429514288169</v>
      </c>
      <c r="H609" s="301">
        <f t="shared" si="198"/>
        <v>15507.30303030303</v>
      </c>
      <c r="I609" s="301">
        <f t="shared" si="198"/>
        <v>938.90991515151529</v>
      </c>
      <c r="J609" s="301">
        <f t="shared" si="198"/>
        <v>1149.3984727272727</v>
      </c>
      <c r="K609" s="301">
        <f t="shared" si="196"/>
        <v>64284.921013324711</v>
      </c>
      <c r="L609" s="301">
        <f>K609*0.15</f>
        <v>9642.7381519987066</v>
      </c>
      <c r="M609" s="315">
        <f t="shared" si="197"/>
        <v>73927.659165323421</v>
      </c>
      <c r="N609" s="301"/>
      <c r="O609" s="301">
        <f>O597</f>
        <v>1238.9923076923078</v>
      </c>
    </row>
    <row r="610" spans="1:15" s="345" customFormat="1">
      <c r="A610" s="1036"/>
      <c r="B610" s="1035"/>
      <c r="C610" s="1036"/>
      <c r="D610" s="298">
        <v>4</v>
      </c>
      <c r="E610" s="301">
        <f t="shared" si="198"/>
        <v>56557.198805042033</v>
      </c>
      <c r="F610" s="301">
        <f t="shared" si="198"/>
        <v>0</v>
      </c>
      <c r="G610" s="301">
        <f t="shared" si="198"/>
        <v>921.70859994753278</v>
      </c>
      <c r="H610" s="301">
        <f t="shared" si="198"/>
        <v>15210.44537815126</v>
      </c>
      <c r="I610" s="301">
        <f t="shared" si="198"/>
        <v>948.2609034513805</v>
      </c>
      <c r="J610" s="301">
        <f t="shared" si="198"/>
        <v>1228.4283882352941</v>
      </c>
      <c r="K610" s="301">
        <f t="shared" si="196"/>
        <v>74866.042074827492</v>
      </c>
      <c r="L610" s="301">
        <f>K610*0.15</f>
        <v>11229.906311224124</v>
      </c>
      <c r="M610" s="315">
        <f t="shared" si="197"/>
        <v>86095.948386051619</v>
      </c>
      <c r="N610" s="301"/>
      <c r="O610" s="301">
        <f>O598</f>
        <v>1501.6130575307043</v>
      </c>
    </row>
    <row r="611" spans="1:15" s="345" customFormat="1">
      <c r="A611" s="1036"/>
      <c r="B611" s="1035"/>
      <c r="C611" s="1036"/>
      <c r="D611" s="298">
        <v>5</v>
      </c>
      <c r="E611" s="301">
        <f t="shared" si="198"/>
        <v>63334.463688571443</v>
      </c>
      <c r="F611" s="301">
        <f t="shared" si="198"/>
        <v>0</v>
      </c>
      <c r="G611" s="301">
        <f t="shared" si="198"/>
        <v>1020.798121623321</v>
      </c>
      <c r="H611" s="301">
        <f t="shared" si="198"/>
        <v>14990.028571428571</v>
      </c>
      <c r="I611" s="301">
        <f t="shared" si="198"/>
        <v>975.16023265306126</v>
      </c>
      <c r="J611" s="301">
        <f t="shared" si="198"/>
        <v>1317.3150000000001</v>
      </c>
      <c r="K611" s="301">
        <f t="shared" si="196"/>
        <v>81637.765614276403</v>
      </c>
      <c r="L611" s="301">
        <f>K611*0.15</f>
        <v>12245.664842141459</v>
      </c>
      <c r="M611" s="315">
        <f t="shared" si="197"/>
        <v>93883.43045641786</v>
      </c>
      <c r="N611" s="301"/>
      <c r="O611" s="301">
        <f>O599</f>
        <v>1667.6314285714284</v>
      </c>
    </row>
    <row r="612" spans="1:15" s="345" customFormat="1" ht="13.5">
      <c r="A612" s="298" t="s">
        <v>325</v>
      </c>
      <c r="B612" s="340" t="s">
        <v>423</v>
      </c>
      <c r="C612" s="298"/>
      <c r="D612" s="298"/>
      <c r="E612" s="301"/>
      <c r="F612" s="301"/>
      <c r="G612" s="301"/>
      <c r="H612" s="301"/>
      <c r="I612" s="301"/>
      <c r="J612" s="301"/>
      <c r="K612" s="301"/>
      <c r="L612" s="301"/>
      <c r="M612" s="315"/>
      <c r="N612" s="301"/>
      <c r="O612" s="301"/>
    </row>
    <row r="613" spans="1:15" s="345" customFormat="1" ht="13.15" customHeight="1">
      <c r="A613" s="1036"/>
      <c r="B613" s="1037" t="s">
        <v>330</v>
      </c>
      <c r="C613" s="1036" t="s">
        <v>49</v>
      </c>
      <c r="D613" s="298">
        <v>1</v>
      </c>
      <c r="E613" s="301">
        <f t="shared" ref="E613:G622" si="199">E590*0.9</f>
        <v>363892.12323750008</v>
      </c>
      <c r="F613" s="301">
        <f t="shared" si="199"/>
        <v>19091.007692307692</v>
      </c>
      <c r="G613" s="301">
        <f t="shared" si="199"/>
        <v>2309.427403846154</v>
      </c>
      <c r="H613" s="301">
        <f t="shared" ref="H613:H622" si="200">H602</f>
        <v>22056.799999999999</v>
      </c>
      <c r="I613" s="301">
        <f t="shared" ref="I613:J622" si="201">I590*0.9</f>
        <v>5509.1571428571433</v>
      </c>
      <c r="J613" s="301">
        <f t="shared" si="201"/>
        <v>54.091799999999999</v>
      </c>
      <c r="K613" s="301">
        <f t="shared" ref="K613:K622" si="202">SUM(E613:J613)</f>
        <v>412912.60727651109</v>
      </c>
      <c r="L613" s="301">
        <f>K613*0.25</f>
        <v>103228.15181912777</v>
      </c>
      <c r="M613" s="315">
        <f t="shared" ref="M613:M622" si="203">K613+L613</f>
        <v>516140.75909563887</v>
      </c>
      <c r="N613" s="301">
        <f>M613+M618</f>
        <v>584572.94426276407</v>
      </c>
      <c r="O613" s="301">
        <f t="shared" ref="O613:O622" si="204">O590*0.9</f>
        <v>10336.266346153847</v>
      </c>
    </row>
    <row r="614" spans="1:15" s="345" customFormat="1" ht="13.15" customHeight="1">
      <c r="A614" s="1036"/>
      <c r="B614" s="1037"/>
      <c r="C614" s="1036"/>
      <c r="D614" s="298">
        <v>2</v>
      </c>
      <c r="E614" s="301">
        <f t="shared" si="199"/>
        <v>434676.97081875015</v>
      </c>
      <c r="F614" s="301">
        <f t="shared" si="199"/>
        <v>22922.307692307691</v>
      </c>
      <c r="G614" s="301">
        <f t="shared" si="199"/>
        <v>2846.868904532967</v>
      </c>
      <c r="H614" s="301">
        <f t="shared" si="200"/>
        <v>17238.942857142858</v>
      </c>
      <c r="I614" s="301">
        <f t="shared" si="201"/>
        <v>6886.2690000000002</v>
      </c>
      <c r="J614" s="301">
        <f t="shared" si="201"/>
        <v>66.913560000000004</v>
      </c>
      <c r="K614" s="301">
        <f t="shared" si="202"/>
        <v>484638.2728327337</v>
      </c>
      <c r="L614" s="301">
        <f>K614*0.25</f>
        <v>121159.56820818342</v>
      </c>
      <c r="M614" s="315">
        <f t="shared" si="203"/>
        <v>605797.84104091709</v>
      </c>
      <c r="N614" s="301">
        <f>M614+M619</f>
        <v>674157.63626037166</v>
      </c>
      <c r="O614" s="301">
        <f t="shared" si="204"/>
        <v>12339.953365384614</v>
      </c>
    </row>
    <row r="615" spans="1:15" s="345" customFormat="1" ht="13.15" customHeight="1">
      <c r="A615" s="1036"/>
      <c r="B615" s="1037"/>
      <c r="C615" s="1036"/>
      <c r="D615" s="298">
        <v>3</v>
      </c>
      <c r="E615" s="301">
        <f t="shared" si="199"/>
        <v>524281.82973750023</v>
      </c>
      <c r="F615" s="301">
        <f t="shared" si="199"/>
        <v>27506.769230769234</v>
      </c>
      <c r="G615" s="301">
        <f t="shared" si="199"/>
        <v>3770.0213432400933</v>
      </c>
      <c r="H615" s="301">
        <f t="shared" si="200"/>
        <v>14903.012121212121</v>
      </c>
      <c r="I615" s="301">
        <f t="shared" si="201"/>
        <v>9181.9285714285725</v>
      </c>
      <c r="J615" s="301">
        <f t="shared" si="201"/>
        <v>88.550279999999987</v>
      </c>
      <c r="K615" s="301">
        <f t="shared" si="202"/>
        <v>579732.11128415004</v>
      </c>
      <c r="L615" s="301">
        <f>K615*0.25</f>
        <v>144933.02782103751</v>
      </c>
      <c r="M615" s="315">
        <f t="shared" si="203"/>
        <v>724665.1391051875</v>
      </c>
      <c r="N615" s="301">
        <f>M615+M620</f>
        <v>792983.37220246345</v>
      </c>
      <c r="O615" s="301">
        <f t="shared" si="204"/>
        <v>14880.314423076923</v>
      </c>
    </row>
    <row r="616" spans="1:15" s="345" customFormat="1" ht="13.15" customHeight="1">
      <c r="A616" s="1036"/>
      <c r="B616" s="1037"/>
      <c r="C616" s="1036"/>
      <c r="D616" s="298">
        <v>4</v>
      </c>
      <c r="E616" s="301">
        <f t="shared" si="199"/>
        <v>633381.15165551484</v>
      </c>
      <c r="F616" s="301">
        <f t="shared" si="199"/>
        <v>32991.75</v>
      </c>
      <c r="G616" s="301">
        <f t="shared" si="199"/>
        <v>5056.7427288703948</v>
      </c>
      <c r="H616" s="301">
        <f t="shared" si="200"/>
        <v>12704.489075630252</v>
      </c>
      <c r="I616" s="301">
        <f t="shared" si="201"/>
        <v>12395.781000000001</v>
      </c>
      <c r="J616" s="301">
        <f t="shared" si="201"/>
        <v>119.00196000000001</v>
      </c>
      <c r="K616" s="301">
        <f t="shared" si="202"/>
        <v>696648.91642001539</v>
      </c>
      <c r="L616" s="301">
        <f>K616*0.25</f>
        <v>174162.22910500385</v>
      </c>
      <c r="M616" s="315">
        <f t="shared" si="203"/>
        <v>870811.14552501927</v>
      </c>
      <c r="N616" s="301">
        <f>M616+M621</f>
        <v>950046.70029095316</v>
      </c>
      <c r="O616" s="301">
        <f t="shared" si="204"/>
        <v>17972.118507595344</v>
      </c>
    </row>
    <row r="617" spans="1:15" s="345" customFormat="1" ht="13.15" customHeight="1">
      <c r="A617" s="1036"/>
      <c r="B617" s="1037"/>
      <c r="C617" s="1036"/>
      <c r="D617" s="298">
        <v>5</v>
      </c>
      <c r="E617" s="301">
        <f t="shared" si="199"/>
        <v>761786.96356125036</v>
      </c>
      <c r="F617" s="301">
        <f t="shared" si="199"/>
        <v>39606.473076923081</v>
      </c>
      <c r="G617" s="301">
        <f t="shared" si="199"/>
        <v>6523.4802644230767</v>
      </c>
      <c r="H617" s="301">
        <f t="shared" si="200"/>
        <v>11072.085714285713</v>
      </c>
      <c r="I617" s="301">
        <f t="shared" si="201"/>
        <v>15609.278571428573</v>
      </c>
      <c r="J617" s="301">
        <f t="shared" si="201"/>
        <v>149.45364000000001</v>
      </c>
      <c r="K617" s="301">
        <f t="shared" si="202"/>
        <v>834747.73482831079</v>
      </c>
      <c r="L617" s="301">
        <f>K617*0.25</f>
        <v>208686.9337070777</v>
      </c>
      <c r="M617" s="315">
        <f t="shared" si="203"/>
        <v>1043434.6685353885</v>
      </c>
      <c r="N617" s="301">
        <f>M617+M622</f>
        <v>1129653.609231879</v>
      </c>
      <c r="O617" s="301">
        <f t="shared" si="204"/>
        <v>21611.70135989011</v>
      </c>
    </row>
    <row r="618" spans="1:15" s="345" customFormat="1">
      <c r="A618" s="1036"/>
      <c r="B618" s="1037" t="s">
        <v>331</v>
      </c>
      <c r="C618" s="1036" t="s">
        <v>49</v>
      </c>
      <c r="D618" s="333" t="s">
        <v>18</v>
      </c>
      <c r="E618" s="301">
        <f t="shared" si="199"/>
        <v>40432.410067500015</v>
      </c>
      <c r="F618" s="301">
        <f t="shared" si="199"/>
        <v>0</v>
      </c>
      <c r="G618" s="301">
        <f t="shared" si="199"/>
        <v>702.49286998461548</v>
      </c>
      <c r="H618" s="301">
        <f t="shared" si="200"/>
        <v>16473.25</v>
      </c>
      <c r="I618" s="301">
        <f t="shared" si="201"/>
        <v>898.99945392857148</v>
      </c>
      <c r="J618" s="301">
        <f t="shared" si="201"/>
        <v>999.09557999999993</v>
      </c>
      <c r="K618" s="301">
        <f t="shared" si="202"/>
        <v>59506.247971413199</v>
      </c>
      <c r="L618" s="301">
        <f>K618*0.15</f>
        <v>8925.9371957119802</v>
      </c>
      <c r="M618" s="315">
        <f t="shared" si="203"/>
        <v>68432.185167125179</v>
      </c>
      <c r="N618" s="301"/>
      <c r="O618" s="301">
        <f t="shared" si="204"/>
        <v>1104.7828846153845</v>
      </c>
    </row>
    <row r="619" spans="1:15" s="345" customFormat="1">
      <c r="A619" s="1036"/>
      <c r="B619" s="1035"/>
      <c r="C619" s="1036"/>
      <c r="D619" s="298">
        <v>2</v>
      </c>
      <c r="E619" s="301">
        <f t="shared" si="199"/>
        <v>41100.365035714298</v>
      </c>
      <c r="F619" s="301">
        <f t="shared" si="199"/>
        <v>0</v>
      </c>
      <c r="G619" s="301">
        <f t="shared" si="199"/>
        <v>706.72107679945054</v>
      </c>
      <c r="H619" s="301">
        <f t="shared" si="200"/>
        <v>15822.714285714286</v>
      </c>
      <c r="I619" s="301">
        <f t="shared" si="201"/>
        <v>830.09751260204098</v>
      </c>
      <c r="J619" s="301">
        <f t="shared" si="201"/>
        <v>983.40227999999991</v>
      </c>
      <c r="K619" s="301">
        <f t="shared" si="202"/>
        <v>59443.300190830079</v>
      </c>
      <c r="L619" s="301">
        <f>K619*0.15</f>
        <v>8916.4950286245112</v>
      </c>
      <c r="M619" s="315">
        <f t="shared" si="203"/>
        <v>68359.795219454594</v>
      </c>
      <c r="N619" s="301"/>
      <c r="O619" s="301">
        <f t="shared" si="204"/>
        <v>1113.8950549450549</v>
      </c>
    </row>
    <row r="620" spans="1:15" s="345" customFormat="1">
      <c r="A620" s="1036"/>
      <c r="B620" s="1035"/>
      <c r="C620" s="1036"/>
      <c r="D620" s="298">
        <v>3</v>
      </c>
      <c r="E620" s="301">
        <f t="shared" si="199"/>
        <v>41263.816770000012</v>
      </c>
      <c r="F620" s="301">
        <f t="shared" si="199"/>
        <v>0</v>
      </c>
      <c r="G620" s="301">
        <f t="shared" si="199"/>
        <v>756.56186562859352</v>
      </c>
      <c r="H620" s="301">
        <f t="shared" si="200"/>
        <v>15507.30303030303</v>
      </c>
      <c r="I620" s="301">
        <f t="shared" si="201"/>
        <v>845.01892363636375</v>
      </c>
      <c r="J620" s="301">
        <f t="shared" si="201"/>
        <v>1034.4586254545454</v>
      </c>
      <c r="K620" s="301">
        <f t="shared" si="202"/>
        <v>59407.159215022548</v>
      </c>
      <c r="L620" s="301">
        <f>K620*0.15</f>
        <v>8911.0738822533822</v>
      </c>
      <c r="M620" s="315">
        <f t="shared" si="203"/>
        <v>68318.233097275923</v>
      </c>
      <c r="N620" s="301"/>
      <c r="O620" s="301">
        <f t="shared" si="204"/>
        <v>1115.093076923077</v>
      </c>
    </row>
    <row r="621" spans="1:15" s="345" customFormat="1">
      <c r="A621" s="1036"/>
      <c r="B621" s="1035"/>
      <c r="C621" s="1036"/>
      <c r="D621" s="298">
        <v>4</v>
      </c>
      <c r="E621" s="301">
        <f t="shared" si="199"/>
        <v>50901.478924537834</v>
      </c>
      <c r="F621" s="301">
        <f t="shared" si="199"/>
        <v>0</v>
      </c>
      <c r="G621" s="301">
        <f t="shared" si="199"/>
        <v>829.53773995277948</v>
      </c>
      <c r="H621" s="301">
        <f t="shared" si="200"/>
        <v>15210.44537815126</v>
      </c>
      <c r="I621" s="301">
        <f t="shared" si="201"/>
        <v>853.43481310624247</v>
      </c>
      <c r="J621" s="301">
        <f t="shared" si="201"/>
        <v>1105.5855494117648</v>
      </c>
      <c r="K621" s="301">
        <f t="shared" si="202"/>
        <v>68900.482405159884</v>
      </c>
      <c r="L621" s="301">
        <f>K621*0.15</f>
        <v>10335.072360773982</v>
      </c>
      <c r="M621" s="315">
        <f t="shared" si="203"/>
        <v>79235.554765933863</v>
      </c>
      <c r="N621" s="301"/>
      <c r="O621" s="301">
        <f t="shared" si="204"/>
        <v>1351.4517517776339</v>
      </c>
    </row>
    <row r="622" spans="1:15" s="345" customFormat="1">
      <c r="A622" s="1036"/>
      <c r="B622" s="1035"/>
      <c r="C622" s="1036"/>
      <c r="D622" s="298">
        <v>5</v>
      </c>
      <c r="E622" s="301">
        <f t="shared" si="199"/>
        <v>57001.017319714301</v>
      </c>
      <c r="F622" s="301">
        <f t="shared" si="199"/>
        <v>0</v>
      </c>
      <c r="G622" s="301">
        <f t="shared" si="199"/>
        <v>918.71830946098885</v>
      </c>
      <c r="H622" s="301">
        <f t="shared" si="200"/>
        <v>14990.028571428571</v>
      </c>
      <c r="I622" s="301">
        <f t="shared" si="201"/>
        <v>877.64420938775515</v>
      </c>
      <c r="J622" s="301">
        <f t="shared" si="201"/>
        <v>1185.5835000000002</v>
      </c>
      <c r="K622" s="301">
        <f t="shared" si="202"/>
        <v>74972.991909991601</v>
      </c>
      <c r="L622" s="301">
        <f>K622*0.15</f>
        <v>11245.94878649874</v>
      </c>
      <c r="M622" s="315">
        <f t="shared" si="203"/>
        <v>86218.940696490346</v>
      </c>
      <c r="N622" s="301"/>
      <c r="O622" s="301">
        <f t="shared" si="204"/>
        <v>1500.8682857142855</v>
      </c>
    </row>
    <row r="623" spans="1:15" s="345" customFormat="1" ht="13.5">
      <c r="A623" s="298" t="s">
        <v>334</v>
      </c>
      <c r="B623" s="340" t="s">
        <v>424</v>
      </c>
      <c r="C623" s="298"/>
      <c r="D623" s="298"/>
      <c r="E623" s="301"/>
      <c r="F623" s="301"/>
      <c r="G623" s="301"/>
      <c r="H623" s="301"/>
      <c r="I623" s="301"/>
      <c r="J623" s="301"/>
      <c r="K623" s="301"/>
      <c r="L623" s="301"/>
      <c r="M623" s="315"/>
      <c r="N623" s="301"/>
      <c r="O623" s="301"/>
    </row>
    <row r="624" spans="1:15" s="345" customFormat="1" ht="13.15" customHeight="1">
      <c r="A624" s="1036"/>
      <c r="B624" s="1037" t="s">
        <v>330</v>
      </c>
      <c r="C624" s="1036" t="s">
        <v>49</v>
      </c>
      <c r="D624" s="298">
        <v>1</v>
      </c>
      <c r="E624" s="301">
        <f t="shared" ref="E624:G633" si="205">E590*0.8</f>
        <v>323459.6651000001</v>
      </c>
      <c r="F624" s="301">
        <f t="shared" si="205"/>
        <v>16969.784615384615</v>
      </c>
      <c r="G624" s="301">
        <f t="shared" si="205"/>
        <v>2052.8243589743593</v>
      </c>
      <c r="H624" s="301">
        <f t="shared" ref="H624:H633" si="206">H602</f>
        <v>22056.799999999999</v>
      </c>
      <c r="I624" s="301">
        <f t="shared" ref="I624:J633" si="207">I590*0.8</f>
        <v>4897.0285714285719</v>
      </c>
      <c r="J624" s="301">
        <f t="shared" si="207"/>
        <v>48.081600000000002</v>
      </c>
      <c r="K624" s="301">
        <f t="shared" ref="K624:K633" si="208">SUM(E624:J624)</f>
        <v>369484.18424578756</v>
      </c>
      <c r="L624" s="301">
        <f>K624*0.25</f>
        <v>92371.04606144689</v>
      </c>
      <c r="M624" s="315">
        <f t="shared" ref="M624:M633" si="209">K624+L624</f>
        <v>461855.23030723445</v>
      </c>
      <c r="N624" s="301">
        <f>M624+M629</f>
        <v>524788.75462245685</v>
      </c>
      <c r="O624" s="301">
        <f t="shared" ref="O624:O633" si="210">O590*0.8</f>
        <v>9187.7923076923089</v>
      </c>
    </row>
    <row r="625" spans="1:15" s="345" customFormat="1" ht="13.15" customHeight="1">
      <c r="A625" s="1036"/>
      <c r="B625" s="1037"/>
      <c r="C625" s="1036"/>
      <c r="D625" s="298">
        <v>2</v>
      </c>
      <c r="E625" s="301">
        <f t="shared" si="205"/>
        <v>386379.52961666684</v>
      </c>
      <c r="F625" s="301">
        <f t="shared" si="205"/>
        <v>20375.384615384617</v>
      </c>
      <c r="G625" s="301">
        <f t="shared" si="205"/>
        <v>2530.5501373626375</v>
      </c>
      <c r="H625" s="301">
        <f t="shared" si="206"/>
        <v>17238.942857142858</v>
      </c>
      <c r="I625" s="301">
        <f t="shared" si="207"/>
        <v>6121.1280000000006</v>
      </c>
      <c r="J625" s="301">
        <f t="shared" si="207"/>
        <v>59.478720000000003</v>
      </c>
      <c r="K625" s="301">
        <f t="shared" si="208"/>
        <v>432705.01394655695</v>
      </c>
      <c r="L625" s="301">
        <f>K625*0.25</f>
        <v>108176.25348663924</v>
      </c>
      <c r="M625" s="315">
        <f t="shared" si="209"/>
        <v>540881.26743319619</v>
      </c>
      <c r="N625" s="301">
        <f>M625+M630</f>
        <v>603667.32112033048</v>
      </c>
      <c r="O625" s="301">
        <f t="shared" si="210"/>
        <v>10968.847435897434</v>
      </c>
    </row>
    <row r="626" spans="1:15" s="345" customFormat="1" ht="13.15" customHeight="1">
      <c r="A626" s="1036"/>
      <c r="B626" s="1037"/>
      <c r="C626" s="1036"/>
      <c r="D626" s="298">
        <v>3</v>
      </c>
      <c r="E626" s="301">
        <f t="shared" si="205"/>
        <v>466028.29310000018</v>
      </c>
      <c r="F626" s="301">
        <f t="shared" si="205"/>
        <v>24450.461538461543</v>
      </c>
      <c r="G626" s="301">
        <f t="shared" si="205"/>
        <v>3351.1300828800831</v>
      </c>
      <c r="H626" s="301">
        <f t="shared" si="206"/>
        <v>14903.012121212121</v>
      </c>
      <c r="I626" s="301">
        <f t="shared" si="207"/>
        <v>8161.7142857142871</v>
      </c>
      <c r="J626" s="301">
        <f t="shared" si="207"/>
        <v>78.711359999999999</v>
      </c>
      <c r="K626" s="301">
        <f t="shared" si="208"/>
        <v>516973.32248826826</v>
      </c>
      <c r="L626" s="301">
        <f>K626*0.25</f>
        <v>129243.33062206706</v>
      </c>
      <c r="M626" s="315">
        <f t="shared" si="209"/>
        <v>646216.65311033535</v>
      </c>
      <c r="N626" s="301">
        <f>M626+M631</f>
        <v>708925.46013956377</v>
      </c>
      <c r="O626" s="301">
        <f t="shared" si="210"/>
        <v>13226.946153846155</v>
      </c>
    </row>
    <row r="627" spans="1:15" s="345" customFormat="1" ht="13.15" customHeight="1">
      <c r="A627" s="1036"/>
      <c r="B627" s="1037"/>
      <c r="C627" s="1036"/>
      <c r="D627" s="298">
        <v>4</v>
      </c>
      <c r="E627" s="301">
        <f t="shared" si="205"/>
        <v>563005.4681382355</v>
      </c>
      <c r="F627" s="301">
        <f t="shared" si="205"/>
        <v>29326</v>
      </c>
      <c r="G627" s="301">
        <f t="shared" si="205"/>
        <v>4494.882425662573</v>
      </c>
      <c r="H627" s="301">
        <f t="shared" si="206"/>
        <v>12704.489075630252</v>
      </c>
      <c r="I627" s="301">
        <f t="shared" si="207"/>
        <v>11018.472000000002</v>
      </c>
      <c r="J627" s="301">
        <f t="shared" si="207"/>
        <v>105.77952000000001</v>
      </c>
      <c r="K627" s="301">
        <f t="shared" si="208"/>
        <v>620655.09115952824</v>
      </c>
      <c r="L627" s="301">
        <f>K627*0.25</f>
        <v>155163.77278988206</v>
      </c>
      <c r="M627" s="315">
        <f t="shared" si="209"/>
        <v>775818.86394941027</v>
      </c>
      <c r="N627" s="301">
        <f>M627+M632</f>
        <v>848194.02509522636</v>
      </c>
      <c r="O627" s="301">
        <f t="shared" si="210"/>
        <v>15975.216451195862</v>
      </c>
    </row>
    <row r="628" spans="1:15" s="345" customFormat="1" ht="13.15" customHeight="1">
      <c r="A628" s="1036"/>
      <c r="B628" s="1037"/>
      <c r="C628" s="1036"/>
      <c r="D628" s="298">
        <v>5</v>
      </c>
      <c r="E628" s="301">
        <f t="shared" si="205"/>
        <v>677143.96761000028</v>
      </c>
      <c r="F628" s="301">
        <f t="shared" si="205"/>
        <v>35205.75384615385</v>
      </c>
      <c r="G628" s="301">
        <f t="shared" si="205"/>
        <v>5798.6491239316238</v>
      </c>
      <c r="H628" s="301">
        <f t="shared" si="206"/>
        <v>11072.085714285713</v>
      </c>
      <c r="I628" s="301">
        <f t="shared" si="207"/>
        <v>13874.914285714287</v>
      </c>
      <c r="J628" s="301">
        <f t="shared" si="207"/>
        <v>132.84768000000003</v>
      </c>
      <c r="K628" s="301">
        <f t="shared" si="208"/>
        <v>743228.21826008579</v>
      </c>
      <c r="L628" s="301">
        <f>K628*0.25</f>
        <v>185807.05456502145</v>
      </c>
      <c r="M628" s="315">
        <f t="shared" si="209"/>
        <v>929035.27282510721</v>
      </c>
      <c r="N628" s="301">
        <f>M628+M633</f>
        <v>1007589.7237616701</v>
      </c>
      <c r="O628" s="301">
        <f t="shared" si="210"/>
        <v>19210.401208791209</v>
      </c>
    </row>
    <row r="629" spans="1:15" s="345" customFormat="1" ht="13.15" customHeight="1">
      <c r="A629" s="1036"/>
      <c r="B629" s="1037" t="s">
        <v>331</v>
      </c>
      <c r="C629" s="1036" t="s">
        <v>49</v>
      </c>
      <c r="D629" s="333" t="s">
        <v>18</v>
      </c>
      <c r="E629" s="301">
        <f t="shared" si="205"/>
        <v>35939.920060000011</v>
      </c>
      <c r="F629" s="301">
        <f t="shared" si="205"/>
        <v>0</v>
      </c>
      <c r="G629" s="301">
        <f t="shared" si="205"/>
        <v>624.43810665299156</v>
      </c>
      <c r="H629" s="301">
        <f t="shared" si="206"/>
        <v>16473.25</v>
      </c>
      <c r="I629" s="301">
        <f t="shared" si="207"/>
        <v>799.11062571428579</v>
      </c>
      <c r="J629" s="301">
        <f t="shared" si="207"/>
        <v>888.08496000000002</v>
      </c>
      <c r="K629" s="301">
        <f t="shared" si="208"/>
        <v>54724.80375236729</v>
      </c>
      <c r="L629" s="301">
        <f>K629*0.15</f>
        <v>8208.7205628550928</v>
      </c>
      <c r="M629" s="315">
        <f t="shared" si="209"/>
        <v>62933.524315222385</v>
      </c>
      <c r="N629" s="301"/>
      <c r="O629" s="301">
        <f t="shared" si="210"/>
        <v>982.02923076923071</v>
      </c>
    </row>
    <row r="630" spans="1:15" s="345" customFormat="1" ht="13.15" customHeight="1">
      <c r="A630" s="1036"/>
      <c r="B630" s="1037"/>
      <c r="C630" s="1036"/>
      <c r="D630" s="298">
        <v>2</v>
      </c>
      <c r="E630" s="301">
        <f t="shared" si="205"/>
        <v>36533.657809523822</v>
      </c>
      <c r="F630" s="301">
        <f t="shared" si="205"/>
        <v>0</v>
      </c>
      <c r="G630" s="301">
        <f t="shared" si="205"/>
        <v>628.19651271062276</v>
      </c>
      <c r="H630" s="301">
        <f t="shared" si="206"/>
        <v>15822.714285714286</v>
      </c>
      <c r="I630" s="301">
        <f t="shared" si="207"/>
        <v>737.86445564625865</v>
      </c>
      <c r="J630" s="301">
        <f t="shared" si="207"/>
        <v>874.13535999999988</v>
      </c>
      <c r="K630" s="301">
        <f t="shared" si="208"/>
        <v>54596.568423594996</v>
      </c>
      <c r="L630" s="301">
        <f>K630*0.15</f>
        <v>8189.485263539249</v>
      </c>
      <c r="M630" s="315">
        <f t="shared" si="209"/>
        <v>62786.053687134248</v>
      </c>
      <c r="N630" s="301"/>
      <c r="O630" s="301">
        <f t="shared" si="210"/>
        <v>990.12893772893767</v>
      </c>
    </row>
    <row r="631" spans="1:15" s="345" customFormat="1" ht="13.15" customHeight="1">
      <c r="A631" s="1036"/>
      <c r="B631" s="1037"/>
      <c r="C631" s="1036"/>
      <c r="D631" s="298">
        <v>3</v>
      </c>
      <c r="E631" s="301">
        <f t="shared" si="205"/>
        <v>36678.948240000012</v>
      </c>
      <c r="F631" s="301">
        <f t="shared" si="205"/>
        <v>0</v>
      </c>
      <c r="G631" s="301">
        <f t="shared" si="205"/>
        <v>672.49943611430535</v>
      </c>
      <c r="H631" s="301">
        <f t="shared" si="206"/>
        <v>15507.30303030303</v>
      </c>
      <c r="I631" s="301">
        <f t="shared" si="207"/>
        <v>751.12793212121233</v>
      </c>
      <c r="J631" s="301">
        <f t="shared" si="207"/>
        <v>919.51877818181822</v>
      </c>
      <c r="K631" s="301">
        <f t="shared" si="208"/>
        <v>54529.397416720378</v>
      </c>
      <c r="L631" s="301">
        <f>K631*0.15</f>
        <v>8179.4096125080559</v>
      </c>
      <c r="M631" s="315">
        <f t="shared" si="209"/>
        <v>62708.807029228432</v>
      </c>
      <c r="N631" s="301"/>
      <c r="O631" s="301">
        <f t="shared" si="210"/>
        <v>991.19384615384627</v>
      </c>
    </row>
    <row r="632" spans="1:15" s="345" customFormat="1" ht="13.15" customHeight="1">
      <c r="A632" s="1036"/>
      <c r="B632" s="1037"/>
      <c r="C632" s="1036"/>
      <c r="D632" s="298">
        <v>4</v>
      </c>
      <c r="E632" s="301">
        <f t="shared" si="205"/>
        <v>45245.759044033628</v>
      </c>
      <c r="F632" s="301">
        <f t="shared" si="205"/>
        <v>0</v>
      </c>
      <c r="G632" s="301">
        <f t="shared" si="205"/>
        <v>737.36687995802629</v>
      </c>
      <c r="H632" s="301">
        <f t="shared" si="206"/>
        <v>15210.44537815126</v>
      </c>
      <c r="I632" s="301">
        <f t="shared" si="207"/>
        <v>758.60872276110445</v>
      </c>
      <c r="J632" s="301">
        <f t="shared" si="207"/>
        <v>982.74271058823524</v>
      </c>
      <c r="K632" s="301">
        <f t="shared" si="208"/>
        <v>62934.922735492255</v>
      </c>
      <c r="L632" s="301">
        <f>K632*0.15</f>
        <v>9440.2384103238383</v>
      </c>
      <c r="M632" s="315">
        <f t="shared" si="209"/>
        <v>72375.161145816091</v>
      </c>
      <c r="N632" s="301"/>
      <c r="O632" s="301">
        <f t="shared" si="210"/>
        <v>1201.2904460245634</v>
      </c>
    </row>
    <row r="633" spans="1:15" s="345" customFormat="1" ht="13.15" customHeight="1">
      <c r="A633" s="1036"/>
      <c r="B633" s="1037"/>
      <c r="C633" s="1036"/>
      <c r="D633" s="298">
        <v>5</v>
      </c>
      <c r="E633" s="301">
        <f t="shared" si="205"/>
        <v>50667.57095085716</v>
      </c>
      <c r="F633" s="301">
        <f t="shared" si="205"/>
        <v>0</v>
      </c>
      <c r="G633" s="301">
        <f t="shared" si="205"/>
        <v>816.63849729865683</v>
      </c>
      <c r="H633" s="301">
        <f t="shared" si="206"/>
        <v>14990.028571428571</v>
      </c>
      <c r="I633" s="301">
        <f t="shared" si="207"/>
        <v>780.12818612244905</v>
      </c>
      <c r="J633" s="301">
        <f t="shared" si="207"/>
        <v>1053.8520000000001</v>
      </c>
      <c r="K633" s="301">
        <f t="shared" si="208"/>
        <v>68308.218205706842</v>
      </c>
      <c r="L633" s="301">
        <f>K633*0.15</f>
        <v>10246.232730856025</v>
      </c>
      <c r="M633" s="315">
        <f t="shared" si="209"/>
        <v>78554.450936562862</v>
      </c>
      <c r="N633" s="301"/>
      <c r="O633" s="301">
        <f t="shared" si="210"/>
        <v>1334.1051428571427</v>
      </c>
    </row>
    <row r="634" spans="1:15" s="308" customFormat="1" ht="12.75" customHeight="1">
      <c r="A634" s="298" t="s">
        <v>335</v>
      </c>
      <c r="B634" s="340" t="s">
        <v>491</v>
      </c>
      <c r="C634" s="316"/>
      <c r="D634" s="298"/>
      <c r="E634" s="301"/>
      <c r="F634" s="301"/>
      <c r="G634" s="301"/>
      <c r="H634" s="301"/>
      <c r="I634" s="301"/>
      <c r="J634" s="301"/>
      <c r="K634" s="301"/>
      <c r="L634" s="301"/>
      <c r="M634" s="315"/>
      <c r="N634" s="301"/>
      <c r="O634" s="301"/>
    </row>
    <row r="635" spans="1:15" s="308" customFormat="1" ht="13.9" customHeight="1">
      <c r="A635" s="1036"/>
      <c r="B635" s="1035" t="s">
        <v>389</v>
      </c>
      <c r="C635" s="1036" t="s">
        <v>49</v>
      </c>
      <c r="D635" s="333" t="s">
        <v>18</v>
      </c>
      <c r="E635" s="301">
        <f>E$667/100+(E$669+E$670)/$C595</f>
        <v>12373.218000000003</v>
      </c>
      <c r="F635" s="301"/>
      <c r="G635" s="301">
        <f t="shared" ref="G635:J639" si="211">G595</f>
        <v>780.5476333162394</v>
      </c>
      <c r="H635" s="301">
        <f t="shared" si="211"/>
        <v>16473.25</v>
      </c>
      <c r="I635" s="301">
        <f t="shared" si="211"/>
        <v>998.88828214285718</v>
      </c>
      <c r="J635" s="301">
        <f t="shared" si="211"/>
        <v>1110.1061999999999</v>
      </c>
      <c r="K635" s="301">
        <f>SUM(E635:J635)</f>
        <v>31736.010115459096</v>
      </c>
      <c r="L635" s="301">
        <f>K635*0.15</f>
        <v>4760.4015173188645</v>
      </c>
      <c r="M635" s="315">
        <f>K635+L635</f>
        <v>36496.411632777963</v>
      </c>
      <c r="N635" s="301">
        <f>M635</f>
        <v>36496.411632777963</v>
      </c>
      <c r="O635" s="301">
        <f>O$667/100+(O$669+O$670)/$C595</f>
        <v>350.30769230769226</v>
      </c>
    </row>
    <row r="636" spans="1:15" s="308" customFormat="1" ht="13.9" customHeight="1">
      <c r="A636" s="1036"/>
      <c r="B636" s="1035"/>
      <c r="C636" s="1036"/>
      <c r="D636" s="333" t="s">
        <v>20</v>
      </c>
      <c r="E636" s="301">
        <f>E$667/100+(E$669+E$670)/$C596</f>
        <v>11882.217285714289</v>
      </c>
      <c r="F636" s="301"/>
      <c r="G636" s="301">
        <f t="shared" si="211"/>
        <v>785.24564088827833</v>
      </c>
      <c r="H636" s="301">
        <f t="shared" si="211"/>
        <v>15822.714285714286</v>
      </c>
      <c r="I636" s="301">
        <f t="shared" si="211"/>
        <v>922.33056955782331</v>
      </c>
      <c r="J636" s="301">
        <f t="shared" si="211"/>
        <v>1092.6691999999998</v>
      </c>
      <c r="K636" s="301">
        <f>SUM(E636:J636)</f>
        <v>30505.17698187468</v>
      </c>
      <c r="L636" s="301">
        <f>K636*0.15</f>
        <v>4575.7765472812016</v>
      </c>
      <c r="M636" s="315">
        <f>K636+L636</f>
        <v>35080.953529155879</v>
      </c>
      <c r="N636" s="301">
        <f>M636</f>
        <v>35080.953529155879</v>
      </c>
      <c r="O636" s="301">
        <f>O$667/100+(O$669+O$670)/$C596</f>
        <v>336.4065934065934</v>
      </c>
    </row>
    <row r="637" spans="1:15" s="308" customFormat="1" ht="13.9" customHeight="1">
      <c r="A637" s="1036"/>
      <c r="B637" s="1035"/>
      <c r="C637" s="1036"/>
      <c r="D637" s="333" t="s">
        <v>35</v>
      </c>
      <c r="E637" s="301">
        <f>E$667/100+(E$669+E$670)/$C597</f>
        <v>11644.156333333336</v>
      </c>
      <c r="F637" s="301"/>
      <c r="G637" s="301">
        <f t="shared" si="211"/>
        <v>840.62429514288169</v>
      </c>
      <c r="H637" s="301">
        <f t="shared" si="211"/>
        <v>15507.30303030303</v>
      </c>
      <c r="I637" s="301">
        <f t="shared" si="211"/>
        <v>938.90991515151529</v>
      </c>
      <c r="J637" s="301">
        <f t="shared" si="211"/>
        <v>1149.3984727272727</v>
      </c>
      <c r="K637" s="301">
        <f>SUM(E637:J637)</f>
        <v>30080.392046658035</v>
      </c>
      <c r="L637" s="301">
        <f>K637*0.15</f>
        <v>4512.0588069987052</v>
      </c>
      <c r="M637" s="315">
        <f>K637+L637</f>
        <v>34592.450853656737</v>
      </c>
      <c r="N637" s="301">
        <f>M637</f>
        <v>34592.450853656737</v>
      </c>
      <c r="O637" s="301">
        <f>O$667/100+(O$669+O$670)/$C597</f>
        <v>329.66666666666663</v>
      </c>
    </row>
    <row r="638" spans="1:15" s="308" customFormat="1" ht="13.9" customHeight="1">
      <c r="A638" s="1036"/>
      <c r="B638" s="1035"/>
      <c r="C638" s="1036"/>
      <c r="D638" s="339" t="s">
        <v>33</v>
      </c>
      <c r="E638" s="301">
        <f>E$667/100+(E$669+E$670)/$C598</f>
        <v>11420.098966386558</v>
      </c>
      <c r="F638" s="301"/>
      <c r="G638" s="301">
        <f t="shared" si="211"/>
        <v>921.70859994753278</v>
      </c>
      <c r="H638" s="301">
        <f t="shared" si="211"/>
        <v>15210.44537815126</v>
      </c>
      <c r="I638" s="301">
        <f t="shared" si="211"/>
        <v>948.2609034513805</v>
      </c>
      <c r="J638" s="301">
        <f t="shared" si="211"/>
        <v>1228.4283882352941</v>
      </c>
      <c r="K638" s="301">
        <f>SUM(E638:J638)</f>
        <v>29728.942236172024</v>
      </c>
      <c r="L638" s="301">
        <f>K638*0.15</f>
        <v>4459.3413354258037</v>
      </c>
      <c r="M638" s="315">
        <f>K638+L638</f>
        <v>34188.283571597829</v>
      </c>
      <c r="N638" s="301">
        <f>M638</f>
        <v>34188.283571597829</v>
      </c>
      <c r="O638" s="301">
        <f>O$667/100+(O$669+O$670)/$C598</f>
        <v>323.32320620555913</v>
      </c>
    </row>
    <row r="639" spans="1:15" s="308" customFormat="1" ht="13.9" customHeight="1">
      <c r="A639" s="298"/>
      <c r="B639" s="340"/>
      <c r="C639" s="298"/>
      <c r="D639" s="347">
        <v>5</v>
      </c>
      <c r="E639" s="301">
        <f>E$667/100+(E$669+E$670)/$C599</f>
        <v>11253.736371428575</v>
      </c>
      <c r="F639" s="301"/>
      <c r="G639" s="301">
        <f t="shared" si="211"/>
        <v>1020.798121623321</v>
      </c>
      <c r="H639" s="301">
        <f t="shared" si="211"/>
        <v>14990.028571428571</v>
      </c>
      <c r="I639" s="301">
        <f t="shared" si="211"/>
        <v>975.16023265306126</v>
      </c>
      <c r="J639" s="301">
        <f t="shared" si="211"/>
        <v>1317.3150000000001</v>
      </c>
      <c r="K639" s="301">
        <f>SUM(E639:J639)</f>
        <v>29557.038297133528</v>
      </c>
      <c r="L639" s="301">
        <f>K639*0.15</f>
        <v>4433.5557445700288</v>
      </c>
      <c r="M639" s="315">
        <f>K639+L639</f>
        <v>33990.59404170356</v>
      </c>
      <c r="N639" s="301">
        <f>M639</f>
        <v>33990.59404170356</v>
      </c>
      <c r="O639" s="301">
        <f>O$667/100+(O$669+O$670)/$C599</f>
        <v>318.61318681318681</v>
      </c>
    </row>
    <row r="640" spans="1:15" s="345" customFormat="1">
      <c r="A640" s="298">
        <v>1</v>
      </c>
      <c r="B640" s="316" t="s">
        <v>190</v>
      </c>
      <c r="C640" s="333"/>
      <c r="D640" s="333"/>
      <c r="E640" s="301"/>
      <c r="F640" s="301"/>
      <c r="G640" s="301"/>
      <c r="H640" s="301"/>
      <c r="I640" s="301"/>
      <c r="J640" s="301"/>
      <c r="K640" s="301"/>
      <c r="L640" s="301"/>
      <c r="M640" s="302"/>
      <c r="N640" s="301"/>
      <c r="O640" s="301"/>
    </row>
    <row r="641" spans="1:15" s="345" customFormat="1">
      <c r="A641" s="1043">
        <v>1.1000000000000001</v>
      </c>
      <c r="B641" s="1038" t="str">
        <f>NhanCong!B$150</f>
        <v>Đối soát thực địa (công nhóm/mảnh)</v>
      </c>
      <c r="C641" s="1039" t="s">
        <v>317</v>
      </c>
      <c r="D641" s="319" t="s">
        <v>18</v>
      </c>
      <c r="E641" s="301">
        <f>NhanCong!M$150</f>
        <v>565168.60400000005</v>
      </c>
      <c r="F641" s="301"/>
      <c r="G641" s="320">
        <f>Dcu!N$200</f>
        <v>4768.5538461538463</v>
      </c>
      <c r="H641" s="320">
        <f>VLieu!F$133/6.25</f>
        <v>647520</v>
      </c>
      <c r="I641" s="320"/>
      <c r="J641" s="320"/>
      <c r="K641" s="320">
        <f t="shared" ref="K641:K650" si="212">SUM(E641:J641)</f>
        <v>1217457.1578461539</v>
      </c>
      <c r="L641" s="320">
        <f>K641*0.25</f>
        <v>304364.28946153849</v>
      </c>
      <c r="M641" s="321">
        <f t="shared" ref="M641:M650" si="213">K641+L641</f>
        <v>1521821.4473076924</v>
      </c>
      <c r="N641" s="320"/>
      <c r="O641" s="320">
        <f>NhanCong!N$150</f>
        <v>17204</v>
      </c>
    </row>
    <row r="642" spans="1:15" s="345" customFormat="1">
      <c r="A642" s="1043"/>
      <c r="B642" s="1038"/>
      <c r="C642" s="1039"/>
      <c r="D642" s="319" t="s">
        <v>20</v>
      </c>
      <c r="E642" s="301">
        <f>NhanCong!M$151</f>
        <v>733951.98800000013</v>
      </c>
      <c r="F642" s="301"/>
      <c r="G642" s="320">
        <f>Dcu!N$201</f>
        <v>5960.6923076923085</v>
      </c>
      <c r="H642" s="320">
        <f>VLieu!F$133/6.25</f>
        <v>647520</v>
      </c>
      <c r="I642" s="320"/>
      <c r="J642" s="320"/>
      <c r="K642" s="320">
        <f t="shared" si="212"/>
        <v>1387432.6803076924</v>
      </c>
      <c r="L642" s="320">
        <f t="shared" ref="L642:L655" si="214">K642*0.25</f>
        <v>346858.1700769231</v>
      </c>
      <c r="M642" s="321">
        <f t="shared" si="213"/>
        <v>1734290.8503846154</v>
      </c>
      <c r="N642" s="320"/>
      <c r="O642" s="320">
        <f>NhanCong!N$151</f>
        <v>22341.846153846156</v>
      </c>
    </row>
    <row r="643" spans="1:15" s="345" customFormat="1">
      <c r="A643" s="1043"/>
      <c r="B643" s="1038"/>
      <c r="C643" s="1039"/>
      <c r="D643" s="319" t="s">
        <v>35</v>
      </c>
      <c r="E643" s="301">
        <f>NhanCong!M$152</f>
        <v>955160.51400000008</v>
      </c>
      <c r="F643" s="301"/>
      <c r="G643" s="320">
        <f>Dcu!N$202</f>
        <v>7947.5897435897441</v>
      </c>
      <c r="H643" s="320">
        <f>VLieu!F$133/6.25</f>
        <v>647520</v>
      </c>
      <c r="I643" s="320"/>
      <c r="J643" s="320"/>
      <c r="K643" s="320">
        <f t="shared" si="212"/>
        <v>1610628.1037435899</v>
      </c>
      <c r="L643" s="320">
        <f t="shared" si="214"/>
        <v>402657.02593589749</v>
      </c>
      <c r="M643" s="321">
        <f t="shared" si="213"/>
        <v>2013285.1296794876</v>
      </c>
      <c r="N643" s="320"/>
      <c r="O643" s="320">
        <f>NhanCong!N$152</f>
        <v>29075.538461538461</v>
      </c>
    </row>
    <row r="644" spans="1:15" s="345" customFormat="1">
      <c r="A644" s="1043"/>
      <c r="B644" s="1038"/>
      <c r="C644" s="1039"/>
      <c r="D644" s="319" t="s">
        <v>33</v>
      </c>
      <c r="E644" s="301">
        <f>NhanCong!M$153</f>
        <v>1241580.8020000004</v>
      </c>
      <c r="F644" s="301"/>
      <c r="G644" s="320">
        <f>Dcu!N$203</f>
        <v>10729.246153846156</v>
      </c>
      <c r="H644" s="320">
        <f>VLieu!F$133/6.25</f>
        <v>647520</v>
      </c>
      <c r="I644" s="320"/>
      <c r="J644" s="320"/>
      <c r="K644" s="320">
        <f t="shared" si="212"/>
        <v>1899830.0481538465</v>
      </c>
      <c r="L644" s="320">
        <f t="shared" si="214"/>
        <v>474957.51203846163</v>
      </c>
      <c r="M644" s="321">
        <f t="shared" si="213"/>
        <v>2374787.5601923084</v>
      </c>
      <c r="N644" s="320"/>
      <c r="O644" s="320">
        <f>NhanCong!N$153</f>
        <v>37794.307692307695</v>
      </c>
    </row>
    <row r="645" spans="1:15" s="345" customFormat="1">
      <c r="A645" s="1043"/>
      <c r="B645" s="1038"/>
      <c r="C645" s="1039"/>
      <c r="D645" s="319" t="s">
        <v>13</v>
      </c>
      <c r="E645" s="301">
        <f>NhanCong!M$154</f>
        <v>1613671.4440000001</v>
      </c>
      <c r="F645" s="301"/>
      <c r="G645" s="320">
        <f>Dcu!N$204</f>
        <v>13908.282051282053</v>
      </c>
      <c r="H645" s="320">
        <f>VLieu!F$133/6.25</f>
        <v>647520</v>
      </c>
      <c r="I645" s="320"/>
      <c r="J645" s="320"/>
      <c r="K645" s="320">
        <f t="shared" si="212"/>
        <v>2275099.7260512821</v>
      </c>
      <c r="L645" s="320">
        <f t="shared" si="214"/>
        <v>568774.93151282053</v>
      </c>
      <c r="M645" s="321">
        <f t="shared" si="213"/>
        <v>2843874.6575641027</v>
      </c>
      <c r="N645" s="320"/>
      <c r="O645" s="320">
        <f>NhanCong!N$154</f>
        <v>49120.923076923078</v>
      </c>
    </row>
    <row r="646" spans="1:15" s="345" customFormat="1" ht="12.75" customHeight="1">
      <c r="A646" s="1043">
        <v>1.2</v>
      </c>
      <c r="B646" s="1038" t="str">
        <f>NhanCong!B$156</f>
        <v>Lưới đo vẽ (công nhóm/100 thửa có biến động cần chỉnh lý)</v>
      </c>
      <c r="C646" s="1040" t="s">
        <v>329</v>
      </c>
      <c r="D646" s="319" t="s">
        <v>18</v>
      </c>
      <c r="E646" s="301">
        <f>NhanCong!M$156</f>
        <v>2835529.1250000009</v>
      </c>
      <c r="F646" s="301"/>
      <c r="G646" s="320">
        <f>Dcu!N$222</f>
        <v>42758.455128205125</v>
      </c>
      <c r="H646" s="320">
        <f>VLieu!L$135</f>
        <v>9109</v>
      </c>
      <c r="I646" s="320">
        <f>TBi!N$312</f>
        <v>44792.5</v>
      </c>
      <c r="J646" s="320">
        <f>TBi!N$316</f>
        <v>445.20000000000005</v>
      </c>
      <c r="K646" s="320">
        <f t="shared" si="212"/>
        <v>2932634.2801282061</v>
      </c>
      <c r="L646" s="320">
        <f t="shared" si="214"/>
        <v>733158.57003205153</v>
      </c>
      <c r="M646" s="321">
        <f t="shared" si="213"/>
        <v>3665792.8501602579</v>
      </c>
      <c r="N646" s="320"/>
      <c r="O646" s="320">
        <f>NhanCong!N$156</f>
        <v>80278.846153846156</v>
      </c>
    </row>
    <row r="647" spans="1:15" s="345" customFormat="1">
      <c r="A647" s="1043"/>
      <c r="B647" s="1038"/>
      <c r="C647" s="1039" t="s">
        <v>49</v>
      </c>
      <c r="D647" s="319" t="s">
        <v>20</v>
      </c>
      <c r="E647" s="301">
        <f>NhanCong!M$157</f>
        <v>3544411.4062500005</v>
      </c>
      <c r="F647" s="301"/>
      <c r="G647" s="320">
        <f>Dcu!N$223</f>
        <v>53448.068910256407</v>
      </c>
      <c r="H647" s="320">
        <f>VLieu!L$135</f>
        <v>9109</v>
      </c>
      <c r="I647" s="320">
        <f>TBi!O$312</f>
        <v>56101.928571428572</v>
      </c>
      <c r="J647" s="320">
        <f>TBi!O$316</f>
        <v>534.24</v>
      </c>
      <c r="K647" s="320">
        <f t="shared" si="212"/>
        <v>3663604.6437316858</v>
      </c>
      <c r="L647" s="320">
        <f t="shared" si="214"/>
        <v>915901.16093292146</v>
      </c>
      <c r="M647" s="321">
        <f t="shared" si="213"/>
        <v>4579505.8046646072</v>
      </c>
      <c r="N647" s="320"/>
      <c r="O647" s="320">
        <f>NhanCong!N$157</f>
        <v>100348.55769230769</v>
      </c>
    </row>
    <row r="648" spans="1:15" s="345" customFormat="1">
      <c r="A648" s="1043"/>
      <c r="B648" s="1038"/>
      <c r="C648" s="1039"/>
      <c r="D648" s="319" t="s">
        <v>35</v>
      </c>
      <c r="E648" s="301">
        <f>NhanCong!M$158</f>
        <v>4725881.8750000019</v>
      </c>
      <c r="F648" s="301"/>
      <c r="G648" s="320">
        <f>Dcu!N$224</f>
        <v>71264.091880341875</v>
      </c>
      <c r="H648" s="320">
        <f>VLieu!L$135</f>
        <v>9109</v>
      </c>
      <c r="I648" s="320">
        <f>TBi!P$312</f>
        <v>74815.71428571429</v>
      </c>
      <c r="J648" s="320">
        <f>TBi!P$316</f>
        <v>712.32</v>
      </c>
      <c r="K648" s="320">
        <f t="shared" si="212"/>
        <v>4881783.0011660587</v>
      </c>
      <c r="L648" s="320">
        <f t="shared" si="214"/>
        <v>1220445.7502915147</v>
      </c>
      <c r="M648" s="321">
        <f t="shared" si="213"/>
        <v>6102228.7514575738</v>
      </c>
      <c r="N648" s="320"/>
      <c r="O648" s="320">
        <f>NhanCong!N$158</f>
        <v>133798.07692307691</v>
      </c>
    </row>
    <row r="649" spans="1:15" s="345" customFormat="1">
      <c r="A649" s="1043"/>
      <c r="B649" s="1038"/>
      <c r="C649" s="1039"/>
      <c r="D649" s="319" t="s">
        <v>33</v>
      </c>
      <c r="E649" s="301">
        <f>NhanCong!M$159</f>
        <v>6379940.5312500019</v>
      </c>
      <c r="F649" s="301"/>
      <c r="G649" s="320">
        <f>Dcu!N$225</f>
        <v>96206.524038461532</v>
      </c>
      <c r="H649" s="320">
        <f>VLieu!L$135</f>
        <v>9109</v>
      </c>
      <c r="I649" s="320">
        <f>TBi!Q$312</f>
        <v>100894.42857142857</v>
      </c>
      <c r="J649" s="320">
        <f>TBi!Q$316</f>
        <v>979.44</v>
      </c>
      <c r="K649" s="320">
        <f t="shared" si="212"/>
        <v>6587129.9238598924</v>
      </c>
      <c r="L649" s="320">
        <f t="shared" si="214"/>
        <v>1646782.4809649731</v>
      </c>
      <c r="M649" s="321">
        <f t="shared" si="213"/>
        <v>8233912.404824866</v>
      </c>
      <c r="N649" s="320"/>
      <c r="O649" s="320">
        <f>NhanCong!N$159</f>
        <v>180627.40384615387</v>
      </c>
    </row>
    <row r="650" spans="1:15" s="345" customFormat="1">
      <c r="A650" s="1043"/>
      <c r="B650" s="1038"/>
      <c r="C650" s="1039"/>
      <c r="D650" s="319" t="s">
        <v>13</v>
      </c>
      <c r="E650" s="301">
        <f>NhanCong!M$160</f>
        <v>8033999.1875000028</v>
      </c>
      <c r="F650" s="301"/>
      <c r="G650" s="320">
        <f>Dcu!N$226</f>
        <v>124712.16079059828</v>
      </c>
      <c r="H650" s="320">
        <f>VLieu!L$135</f>
        <v>9109</v>
      </c>
      <c r="I650" s="320">
        <f>TBi!R$312</f>
        <v>126973.14285714287</v>
      </c>
      <c r="J650" s="320">
        <f>TBi!R$316</f>
        <v>1246.5600000000002</v>
      </c>
      <c r="K650" s="320">
        <f t="shared" si="212"/>
        <v>8296040.0511477431</v>
      </c>
      <c r="L650" s="320">
        <f t="shared" si="214"/>
        <v>2074010.0127869358</v>
      </c>
      <c r="M650" s="321">
        <f t="shared" si="213"/>
        <v>10370050.063934678</v>
      </c>
      <c r="N650" s="320"/>
      <c r="O650" s="320">
        <f>NhanCong!N$160</f>
        <v>227456.73076923078</v>
      </c>
    </row>
    <row r="651" spans="1:15" s="345" customFormat="1" ht="12.75" customHeight="1">
      <c r="A651" s="1043">
        <v>1.3</v>
      </c>
      <c r="B651" s="1038" t="str">
        <f>NhanCong!B$162</f>
        <v>Đo đạc ranh giới thửa đất và các đối tượng địa lý có liên quan (công nhóm/100 thửa có biến động cần chỉnh lý)</v>
      </c>
      <c r="C651" s="1040" t="s">
        <v>329</v>
      </c>
      <c r="D651" s="319" t="s">
        <v>18</v>
      </c>
      <c r="E651" s="301">
        <f>NhanCong!M$162</f>
        <v>35830777.125000007</v>
      </c>
      <c r="F651" s="301">
        <f>NhanCong!M$163</f>
        <v>2121223.076923077</v>
      </c>
      <c r="G651" s="320">
        <f>Dcu!N$246</f>
        <v>198942.85897435897</v>
      </c>
      <c r="H651" s="320">
        <f>VLieu!L$145</f>
        <v>182180</v>
      </c>
      <c r="I651" s="320">
        <f>TBi!N$347</f>
        <v>567336.07142857148</v>
      </c>
      <c r="J651" s="320">
        <f>TBi!N$351</f>
        <v>5565</v>
      </c>
      <c r="K651" s="320">
        <f t="shared" ref="K651:K655" si="215">SUM(E651:J651)</f>
        <v>38906024.132326022</v>
      </c>
      <c r="L651" s="320">
        <f t="shared" si="214"/>
        <v>9726506.0330815054</v>
      </c>
      <c r="M651" s="321">
        <f t="shared" ref="M651:M655" si="216">K651+L651</f>
        <v>48632530.165407524</v>
      </c>
      <c r="N651" s="320"/>
      <c r="O651" s="320">
        <f>NhanCong!N$162</f>
        <v>1014432.6923076924</v>
      </c>
    </row>
    <row r="652" spans="1:15" s="345" customFormat="1">
      <c r="A652" s="1043"/>
      <c r="B652" s="1038"/>
      <c r="C652" s="1039" t="s">
        <v>49</v>
      </c>
      <c r="D652" s="319" t="s">
        <v>20</v>
      </c>
      <c r="E652" s="301">
        <f>NhanCong!M$164</f>
        <v>43005525.062500015</v>
      </c>
      <c r="F652" s="301">
        <f>NhanCong!M$165</f>
        <v>2546923.076923077</v>
      </c>
      <c r="G652" s="320">
        <f>Dcu!N$247</f>
        <v>248678.57371794872</v>
      </c>
      <c r="H652" s="320">
        <f>VLieu!L$145</f>
        <v>182180</v>
      </c>
      <c r="I652" s="320">
        <f>TBi!O$347</f>
        <v>709039.07142857148</v>
      </c>
      <c r="J652" s="320">
        <f>TBi!O$351</f>
        <v>6900.6</v>
      </c>
      <c r="K652" s="320">
        <f t="shared" si="215"/>
        <v>46699246.384569623</v>
      </c>
      <c r="L652" s="320">
        <f t="shared" si="214"/>
        <v>11674811.596142406</v>
      </c>
      <c r="M652" s="321">
        <f t="shared" si="216"/>
        <v>58374057.980712026</v>
      </c>
      <c r="N652" s="320"/>
      <c r="O652" s="320">
        <f>NhanCong!N$164</f>
        <v>1217562.4999999998</v>
      </c>
    </row>
    <row r="653" spans="1:15" s="345" customFormat="1">
      <c r="A653" s="1043"/>
      <c r="B653" s="1038"/>
      <c r="C653" s="1039"/>
      <c r="D653" s="319" t="s">
        <v>35</v>
      </c>
      <c r="E653" s="301">
        <f>NhanCong!M$166</f>
        <v>51598037.562500015</v>
      </c>
      <c r="F653" s="301">
        <f>NhanCong!M$167</f>
        <v>3056307.6923076925</v>
      </c>
      <c r="G653" s="320">
        <f>Dcu!N$248</f>
        <v>331571.43162393162</v>
      </c>
      <c r="H653" s="320">
        <f>VLieu!L$145</f>
        <v>182180</v>
      </c>
      <c r="I653" s="320">
        <f>TBi!P$347</f>
        <v>945398.57142857148</v>
      </c>
      <c r="J653" s="320">
        <f>TBi!P$351</f>
        <v>9126.5999999999985</v>
      </c>
      <c r="K653" s="320">
        <f t="shared" si="215"/>
        <v>56122621.857860215</v>
      </c>
      <c r="L653" s="320">
        <f t="shared" si="214"/>
        <v>14030655.464465054</v>
      </c>
      <c r="M653" s="321">
        <f t="shared" si="216"/>
        <v>70153277.322325274</v>
      </c>
      <c r="N653" s="320"/>
      <c r="O653" s="320">
        <f>NhanCong!N$166</f>
        <v>1460831.7307692305</v>
      </c>
    </row>
    <row r="654" spans="1:15" s="345" customFormat="1">
      <c r="A654" s="1043"/>
      <c r="B654" s="1038"/>
      <c r="C654" s="1039"/>
      <c r="D654" s="319" t="s">
        <v>33</v>
      </c>
      <c r="E654" s="301">
        <f>NhanCong!M$168</f>
        <v>61909052.562500015</v>
      </c>
      <c r="F654" s="301">
        <f>NhanCong!M$169</f>
        <v>3665750</v>
      </c>
      <c r="G654" s="320">
        <f>Dcu!N$249</f>
        <v>447621.43269230775</v>
      </c>
      <c r="H654" s="320">
        <f>VLieu!L$145</f>
        <v>182180</v>
      </c>
      <c r="I654" s="320">
        <f>TBi!Q$347</f>
        <v>1276414.5714285714</v>
      </c>
      <c r="J654" s="320">
        <f>TBi!Q$351</f>
        <v>12243</v>
      </c>
      <c r="K654" s="320">
        <f t="shared" si="215"/>
        <v>67493261.566620886</v>
      </c>
      <c r="L654" s="320">
        <f t="shared" si="214"/>
        <v>16873315.391655222</v>
      </c>
      <c r="M654" s="321">
        <f t="shared" si="216"/>
        <v>84366576.958276108</v>
      </c>
      <c r="N654" s="320"/>
      <c r="O654" s="320">
        <f>NhanCong!N$168</f>
        <v>1752754.8076923075</v>
      </c>
    </row>
    <row r="655" spans="1:15" s="345" customFormat="1">
      <c r="A655" s="1043"/>
      <c r="B655" s="1038"/>
      <c r="C655" s="1039"/>
      <c r="D655" s="319" t="s">
        <v>13</v>
      </c>
      <c r="E655" s="301">
        <f>NhanCong!M$170</f>
        <v>74303751.84375003</v>
      </c>
      <c r="F655" s="301">
        <f>NhanCong!M$171</f>
        <v>4400719.230769231</v>
      </c>
      <c r="G655" s="320">
        <f>Dcu!N$250</f>
        <v>580250.00534188037</v>
      </c>
      <c r="H655" s="320">
        <f>VLieu!L$145</f>
        <v>182180</v>
      </c>
      <c r="I655" s="320">
        <f>TBi!R$347</f>
        <v>1607391.142857143</v>
      </c>
      <c r="J655" s="320">
        <f>TBi!R$351</f>
        <v>15359.400000000001</v>
      </c>
      <c r="K655" s="320">
        <f t="shared" si="215"/>
        <v>81089651.622718304</v>
      </c>
      <c r="L655" s="320">
        <f t="shared" si="214"/>
        <v>20272412.905679576</v>
      </c>
      <c r="M655" s="321">
        <f t="shared" si="216"/>
        <v>101362064.52839789</v>
      </c>
      <c r="N655" s="320"/>
      <c r="O655" s="320">
        <f>NhanCong!N$170</f>
        <v>2103670.673076923</v>
      </c>
    </row>
    <row r="656" spans="1:15" s="345" customFormat="1">
      <c r="A656" s="298">
        <v>2</v>
      </c>
      <c r="B656" s="316" t="s">
        <v>192</v>
      </c>
      <c r="C656" s="319"/>
      <c r="D656" s="319"/>
      <c r="E656" s="301"/>
      <c r="F656" s="301"/>
      <c r="G656" s="320"/>
      <c r="H656" s="320"/>
      <c r="I656" s="320"/>
      <c r="J656" s="320"/>
      <c r="K656" s="320"/>
      <c r="L656" s="320"/>
      <c r="M656" s="321"/>
      <c r="N656" s="320"/>
      <c r="O656" s="320"/>
    </row>
    <row r="657" spans="1:15" s="240" customFormat="1">
      <c r="A657" s="1010" t="s">
        <v>268</v>
      </c>
      <c r="B657" s="1011" t="str">
        <f>NhanCong!B$173</f>
        <v>Số hóa BĐĐC: Áp dụng theo mức quy định tại Điều 8, Chương I</v>
      </c>
      <c r="C657" s="1013" t="s">
        <v>317</v>
      </c>
      <c r="D657" s="274" t="s">
        <v>18</v>
      </c>
      <c r="E657" s="271">
        <f t="shared" ref="E657:J661" si="217">E472</f>
        <v>277710.00400000002</v>
      </c>
      <c r="F657" s="271">
        <f t="shared" si="217"/>
        <v>0</v>
      </c>
      <c r="G657" s="271">
        <f t="shared" si="217"/>
        <v>4048.1521859829049</v>
      </c>
      <c r="H657" s="271">
        <f t="shared" si="217"/>
        <v>16368</v>
      </c>
      <c r="I657" s="271">
        <f t="shared" si="217"/>
        <v>24369.507314285715</v>
      </c>
      <c r="J657" s="271">
        <f t="shared" si="217"/>
        <v>7942.3680000000004</v>
      </c>
      <c r="K657" s="905">
        <f>SUM(E657:J657)</f>
        <v>330438.03150026867</v>
      </c>
      <c r="L657" s="905">
        <f>K657*0.15</f>
        <v>49565.704725040297</v>
      </c>
      <c r="M657" s="906">
        <f>K657+L657</f>
        <v>380003.73622530897</v>
      </c>
      <c r="N657" s="271">
        <f t="shared" ref="N657:O661" si="218">N472</f>
        <v>0</v>
      </c>
      <c r="O657" s="271">
        <f t="shared" si="218"/>
        <v>7862.461538461539</v>
      </c>
    </row>
    <row r="658" spans="1:15" s="240" customFormat="1">
      <c r="A658" s="1010"/>
      <c r="B658" s="1011"/>
      <c r="C658" s="1013"/>
      <c r="D658" s="274" t="s">
        <v>20</v>
      </c>
      <c r="E658" s="271">
        <f t="shared" si="217"/>
        <v>306305.8856000001</v>
      </c>
      <c r="F658" s="271">
        <f t="shared" si="217"/>
        <v>0</v>
      </c>
      <c r="G658" s="271">
        <f t="shared" si="217"/>
        <v>4634.0689497435887</v>
      </c>
      <c r="H658" s="271">
        <f t="shared" si="217"/>
        <v>16368</v>
      </c>
      <c r="I658" s="271">
        <f t="shared" si="217"/>
        <v>28786.519657142861</v>
      </c>
      <c r="J658" s="271">
        <f t="shared" si="217"/>
        <v>9010.848</v>
      </c>
      <c r="K658" s="905">
        <f>SUM(E658:J658)</f>
        <v>365105.32220688654</v>
      </c>
      <c r="L658" s="905">
        <f>K658*0.15</f>
        <v>54765.79833103298</v>
      </c>
      <c r="M658" s="906">
        <f>K658+L658</f>
        <v>419871.12053791952</v>
      </c>
      <c r="N658" s="271">
        <f t="shared" si="218"/>
        <v>0</v>
      </c>
      <c r="O658" s="271">
        <f t="shared" si="218"/>
        <v>8672.0615384615376</v>
      </c>
    </row>
    <row r="659" spans="1:15" s="240" customFormat="1">
      <c r="A659" s="1010"/>
      <c r="B659" s="1011"/>
      <c r="C659" s="1013"/>
      <c r="D659" s="274" t="s">
        <v>35</v>
      </c>
      <c r="E659" s="271">
        <f t="shared" si="217"/>
        <v>339851.05440000002</v>
      </c>
      <c r="F659" s="271">
        <f t="shared" si="217"/>
        <v>0</v>
      </c>
      <c r="G659" s="271">
        <f t="shared" si="217"/>
        <v>5326.5160341880328</v>
      </c>
      <c r="H659" s="271">
        <f t="shared" si="217"/>
        <v>16368</v>
      </c>
      <c r="I659" s="271">
        <f t="shared" si="217"/>
        <v>34112.717828571433</v>
      </c>
      <c r="J659" s="271">
        <f t="shared" si="217"/>
        <v>10364.256000000001</v>
      </c>
      <c r="K659" s="905">
        <f>SUM(E659:J659)</f>
        <v>406022.5442627595</v>
      </c>
      <c r="L659" s="905">
        <f>K659*0.15</f>
        <v>60903.381639413921</v>
      </c>
      <c r="M659" s="906">
        <f>K659+L659</f>
        <v>466925.92590217345</v>
      </c>
      <c r="N659" s="271">
        <f t="shared" si="218"/>
        <v>0</v>
      </c>
      <c r="O659" s="271">
        <f t="shared" si="218"/>
        <v>9621.7846153846149</v>
      </c>
    </row>
    <row r="660" spans="1:15" s="240" customFormat="1">
      <c r="A660" s="1010"/>
      <c r="B660" s="1011"/>
      <c r="C660" s="1013"/>
      <c r="D660" s="274" t="s">
        <v>33</v>
      </c>
      <c r="E660" s="271">
        <f t="shared" si="217"/>
        <v>378345.51040000003</v>
      </c>
      <c r="F660" s="271">
        <f t="shared" si="217"/>
        <v>0</v>
      </c>
      <c r="G660" s="271">
        <f t="shared" si="217"/>
        <v>6125.4934393162375</v>
      </c>
      <c r="H660" s="271">
        <f t="shared" si="217"/>
        <v>16368</v>
      </c>
      <c r="I660" s="271">
        <f t="shared" si="217"/>
        <v>40348.101828571424</v>
      </c>
      <c r="J660" s="271">
        <f t="shared" si="217"/>
        <v>11966.976000000001</v>
      </c>
      <c r="K660" s="905">
        <f>SUM(E660:J660)</f>
        <v>453154.08166788769</v>
      </c>
      <c r="L660" s="905">
        <f>K660*0.15</f>
        <v>67973.112250183156</v>
      </c>
      <c r="M660" s="906">
        <f>K660+L660</f>
        <v>521127.19391807087</v>
      </c>
      <c r="N660" s="271">
        <f t="shared" si="218"/>
        <v>0</v>
      </c>
      <c r="O660" s="271">
        <f t="shared" si="218"/>
        <v>10711.630769230767</v>
      </c>
    </row>
    <row r="661" spans="1:15" s="240" customFormat="1">
      <c r="A661" s="1010"/>
      <c r="B661" s="1011"/>
      <c r="C661" s="1013"/>
      <c r="D661" s="274" t="s">
        <v>13</v>
      </c>
      <c r="E661" s="271">
        <f t="shared" si="217"/>
        <v>422339.17440000008</v>
      </c>
      <c r="F661" s="271">
        <f t="shared" si="217"/>
        <v>0</v>
      </c>
      <c r="G661" s="271">
        <f t="shared" si="217"/>
        <v>7031.0011651282039</v>
      </c>
      <c r="H661" s="271">
        <f t="shared" si="217"/>
        <v>16368</v>
      </c>
      <c r="I661" s="271">
        <f t="shared" si="217"/>
        <v>47852.558971428574</v>
      </c>
      <c r="J661" s="271">
        <f t="shared" si="217"/>
        <v>13854.624</v>
      </c>
      <c r="K661" s="905">
        <f>SUM(E661:J661)</f>
        <v>507445.35853655689</v>
      </c>
      <c r="L661" s="905">
        <f>K661*0.15</f>
        <v>76116.803780483533</v>
      </c>
      <c r="M661" s="906">
        <f>K661+L661</f>
        <v>583562.16231704038</v>
      </c>
      <c r="N661" s="271">
        <f t="shared" si="218"/>
        <v>0</v>
      </c>
      <c r="O661" s="271">
        <f t="shared" si="218"/>
        <v>11957.16923076923</v>
      </c>
    </row>
    <row r="662" spans="1:15" s="345" customFormat="1" ht="12.75" customHeight="1">
      <c r="A662" s="1043" t="s">
        <v>34</v>
      </c>
      <c r="B662" s="1038" t="str">
        <f>NhanCong!B$174</f>
        <v>Lập bản vẽ BĐĐC (Công nhóm/100 thửa chỉnh lý)</v>
      </c>
      <c r="C662" s="1040" t="s">
        <v>329</v>
      </c>
      <c r="D662" s="319" t="s">
        <v>18</v>
      </c>
      <c r="E662" s="301">
        <f>NhanCong!M$174</f>
        <v>1277171.8300000003</v>
      </c>
      <c r="F662" s="301"/>
      <c r="G662" s="320">
        <f>Dcu!N$271</f>
        <v>16242.609861538462</v>
      </c>
      <c r="H662" s="320">
        <f>VLieu!L$159</f>
        <v>626800</v>
      </c>
      <c r="I662" s="320">
        <f>TBi!N$384</f>
        <v>12263.928571428571</v>
      </c>
      <c r="J662" s="320">
        <f>TBi!N$388</f>
        <v>48793.920000000006</v>
      </c>
      <c r="K662" s="320">
        <f t="shared" ref="K662:K668" si="219">SUM(E662:J662)</f>
        <v>1981272.2884329674</v>
      </c>
      <c r="L662" s="320">
        <f t="shared" ref="L662:L670" si="220">K662*0.15</f>
        <v>297190.84326494508</v>
      </c>
      <c r="M662" s="321">
        <f t="shared" ref="M662:M668" si="221">K662+L662</f>
        <v>2278463.1316979127</v>
      </c>
      <c r="N662" s="320"/>
      <c r="O662" s="320">
        <f>NhanCong!N$174</f>
        <v>31722.307692307688</v>
      </c>
    </row>
    <row r="663" spans="1:15" s="345" customFormat="1">
      <c r="A663" s="1043"/>
      <c r="B663" s="1038"/>
      <c r="C663" s="1039"/>
      <c r="D663" s="319" t="s">
        <v>20</v>
      </c>
      <c r="E663" s="301">
        <f>NhanCong!M$175</f>
        <v>1590588.2300000002</v>
      </c>
      <c r="F663" s="301"/>
      <c r="G663" s="320">
        <f>Dcu!N$272</f>
        <v>20303.262326923075</v>
      </c>
      <c r="H663" s="320">
        <f>VLieu!L$159</f>
        <v>626800</v>
      </c>
      <c r="I663" s="320">
        <f>TBi!O$384</f>
        <v>13313.713214285714</v>
      </c>
      <c r="J663" s="320">
        <f>TBi!O$388</f>
        <v>52800.719999999994</v>
      </c>
      <c r="K663" s="320">
        <f t="shared" si="219"/>
        <v>2303805.9255412091</v>
      </c>
      <c r="L663" s="320">
        <f t="shared" si="220"/>
        <v>345570.88883118134</v>
      </c>
      <c r="M663" s="321">
        <f t="shared" si="221"/>
        <v>2649376.8143723905</v>
      </c>
      <c r="N663" s="320"/>
      <c r="O663" s="320">
        <f>NhanCong!N$175</f>
        <v>39506.923076923071</v>
      </c>
    </row>
    <row r="664" spans="1:15" s="345" customFormat="1">
      <c r="A664" s="1043"/>
      <c r="B664" s="1038"/>
      <c r="C664" s="1039"/>
      <c r="D664" s="319" t="s">
        <v>35</v>
      </c>
      <c r="E664" s="301">
        <f>NhanCong!M$176</f>
        <v>1700283.9700000004</v>
      </c>
      <c r="F664" s="301"/>
      <c r="G664" s="320">
        <f>Dcu!N$273</f>
        <v>27071.016435897436</v>
      </c>
      <c r="H664" s="320">
        <f>VLieu!L$159</f>
        <v>626800</v>
      </c>
      <c r="I664" s="320">
        <f>TBi!P$384</f>
        <v>15124.970000000001</v>
      </c>
      <c r="J664" s="320">
        <f>TBi!P$388</f>
        <v>60146.52</v>
      </c>
      <c r="K664" s="320">
        <f t="shared" si="219"/>
        <v>2429426.4764358979</v>
      </c>
      <c r="L664" s="320">
        <f t="shared" si="220"/>
        <v>364413.97146538465</v>
      </c>
      <c r="M664" s="321">
        <f t="shared" si="221"/>
        <v>2793840.4479012825</v>
      </c>
      <c r="N664" s="320"/>
      <c r="O664" s="320">
        <f>NhanCong!N$176</f>
        <v>42231.538461538461</v>
      </c>
    </row>
    <row r="665" spans="1:15" s="345" customFormat="1">
      <c r="A665" s="1043"/>
      <c r="B665" s="1038"/>
      <c r="C665" s="1039"/>
      <c r="D665" s="319" t="s">
        <v>33</v>
      </c>
      <c r="E665" s="301">
        <f>NhanCong!M$177</f>
        <v>2867760.060000001</v>
      </c>
      <c r="F665" s="301"/>
      <c r="G665" s="320">
        <f>Dcu!N$274</f>
        <v>36545.872188461544</v>
      </c>
      <c r="H665" s="320">
        <f>VLieu!L$159</f>
        <v>626800</v>
      </c>
      <c r="I665" s="320">
        <f>TBi!Q$384</f>
        <v>17660.193214285715</v>
      </c>
      <c r="J665" s="320">
        <f>TBi!Q$388</f>
        <v>69963.179999999993</v>
      </c>
      <c r="K665" s="320">
        <f t="shared" si="219"/>
        <v>3618729.3054027483</v>
      </c>
      <c r="L665" s="320">
        <f t="shared" si="220"/>
        <v>542809.39581041224</v>
      </c>
      <c r="M665" s="321">
        <f t="shared" si="221"/>
        <v>4161538.7012131605</v>
      </c>
      <c r="N665" s="320"/>
      <c r="O665" s="320">
        <f>NhanCong!N$177</f>
        <v>71229.230769230766</v>
      </c>
    </row>
    <row r="666" spans="1:15" s="345" customFormat="1">
      <c r="A666" s="1043"/>
      <c r="B666" s="1038"/>
      <c r="C666" s="1039"/>
      <c r="D666" s="319" t="s">
        <v>13</v>
      </c>
      <c r="E666" s="301">
        <f>NhanCong!M$178</f>
        <v>3612124.0100000012</v>
      </c>
      <c r="F666" s="301"/>
      <c r="G666" s="320">
        <f>Dcu!N$275</f>
        <v>47374.278762820511</v>
      </c>
      <c r="H666" s="320">
        <f>VLieu!L$159</f>
        <v>626800</v>
      </c>
      <c r="I666" s="320">
        <f>TBi!R$384</f>
        <v>20170.641428571427</v>
      </c>
      <c r="J666" s="320">
        <f>TBi!R$388</f>
        <v>79980.179999999993</v>
      </c>
      <c r="K666" s="320">
        <f t="shared" si="219"/>
        <v>4386449.1101913927</v>
      </c>
      <c r="L666" s="320">
        <f t="shared" si="220"/>
        <v>657967.36652870884</v>
      </c>
      <c r="M666" s="321">
        <f t="shared" si="221"/>
        <v>5044416.4767201012</v>
      </c>
      <c r="N666" s="320"/>
      <c r="O666" s="320">
        <f>NhanCong!N$178</f>
        <v>89717.692307692312</v>
      </c>
    </row>
    <row r="667" spans="1:15" s="345" customFormat="1" ht="38.25" customHeight="1">
      <c r="A667" s="323" t="s">
        <v>246</v>
      </c>
      <c r="B667" s="324" t="str">
        <f>NhanCong!B$179</f>
        <v>Lập Phiếu đo đạc chỉnh lý thửa đất (Công/100 thửa chỉnh lý)</v>
      </c>
      <c r="C667" s="341" t="s">
        <v>329</v>
      </c>
      <c r="D667" s="341" t="s">
        <v>622</v>
      </c>
      <c r="E667" s="342">
        <f>NhanCong!M$179</f>
        <v>1031101.5000000002</v>
      </c>
      <c r="F667" s="342"/>
      <c r="G667" s="343">
        <f>Dcu!N$270</f>
        <v>27071.016435897436</v>
      </c>
      <c r="H667" s="320">
        <f>VLieu!L$159</f>
        <v>626800</v>
      </c>
      <c r="I667" s="343"/>
      <c r="J667" s="343"/>
      <c r="K667" s="343">
        <f t="shared" si="219"/>
        <v>1684972.5164358977</v>
      </c>
      <c r="L667" s="320">
        <f t="shared" si="220"/>
        <v>252745.87746538463</v>
      </c>
      <c r="M667" s="344">
        <f t="shared" si="221"/>
        <v>1937718.3939012822</v>
      </c>
      <c r="N667" s="343"/>
      <c r="O667" s="343">
        <f>NhanCong!N$179</f>
        <v>29192.307692307691</v>
      </c>
    </row>
    <row r="668" spans="1:15" s="345" customFormat="1" ht="26">
      <c r="A668" s="323" t="s">
        <v>271</v>
      </c>
      <c r="B668" s="324" t="str">
        <f>NhanCong!B$180</f>
        <v>Bổ sung sổ mục kê (công nhóm/100 thửa chỉnh lý)</v>
      </c>
      <c r="C668" s="341" t="s">
        <v>329</v>
      </c>
      <c r="D668" s="341" t="s">
        <v>622</v>
      </c>
      <c r="E668" s="342">
        <f>NhanCong!M$180</f>
        <v>893621.30000000016</v>
      </c>
      <c r="F668" s="342"/>
      <c r="G668" s="343">
        <f>Dcu!N$290</f>
        <v>13800.392222222223</v>
      </c>
      <c r="H668" s="343">
        <f>VLieu!J$170</f>
        <v>120500</v>
      </c>
      <c r="I668" s="343">
        <f>TBi!N$411</f>
        <v>6891.4414285714283</v>
      </c>
      <c r="J668" s="343">
        <f>TBi!N$414</f>
        <v>27379.800000000003</v>
      </c>
      <c r="K668" s="343">
        <f t="shared" si="219"/>
        <v>1062192.9336507937</v>
      </c>
      <c r="L668" s="320">
        <f t="shared" si="220"/>
        <v>159328.94004761905</v>
      </c>
      <c r="M668" s="344">
        <f t="shared" si="221"/>
        <v>1221521.8736984129</v>
      </c>
      <c r="N668" s="343"/>
      <c r="O668" s="343">
        <f>NhanCong!N$180</f>
        <v>25300</v>
      </c>
    </row>
    <row r="669" spans="1:15" s="345" customFormat="1" ht="25.5" customHeight="1">
      <c r="A669" s="323" t="s">
        <v>365</v>
      </c>
      <c r="B669" s="324" t="str">
        <f>NhanCong!B$181</f>
        <v>Biên tập bản đồ và in (công nhóm/mảnh)</v>
      </c>
      <c r="C669" s="341" t="s">
        <v>317</v>
      </c>
      <c r="D669" s="341" t="s">
        <v>622</v>
      </c>
      <c r="E669" s="342">
        <f>NhanCong!M$181</f>
        <v>32995.248</v>
      </c>
      <c r="F669" s="342"/>
      <c r="G669" s="343">
        <f>Dcu!N$304</f>
        <v>884.29538461538471</v>
      </c>
      <c r="H669" s="343">
        <f>VLieu!L$181</f>
        <v>23688</v>
      </c>
      <c r="I669" s="343">
        <f>TBi!N$423</f>
        <v>488.3997714285714</v>
      </c>
      <c r="J669" s="343">
        <f>TBi!N$427</f>
        <v>1068.48</v>
      </c>
      <c r="K669" s="343">
        <f>SUM(E669:J669)</f>
        <v>59124.423156043958</v>
      </c>
      <c r="L669" s="320">
        <f t="shared" si="220"/>
        <v>8868.6634734065938</v>
      </c>
      <c r="M669" s="344">
        <f>K669+L669</f>
        <v>67993.086629450554</v>
      </c>
      <c r="N669" s="343"/>
      <c r="O669" s="343">
        <f>NhanCong!N$181</f>
        <v>934.15384615384608</v>
      </c>
    </row>
    <row r="670" spans="1:15" s="345" customFormat="1" ht="25.5" customHeight="1">
      <c r="A670" s="323" t="s">
        <v>366</v>
      </c>
      <c r="B670" s="324" t="str">
        <f>NhanCong!B$182</f>
        <v>Xác nhận hồ sơ các cấp (công nhóm/mảnh)</v>
      </c>
      <c r="C670" s="341" t="s">
        <v>317</v>
      </c>
      <c r="D670" s="341" t="s">
        <v>622</v>
      </c>
      <c r="E670" s="342">
        <f>NhanCong!M$182</f>
        <v>32995.248</v>
      </c>
      <c r="F670" s="342"/>
      <c r="G670" s="343">
        <f>Dcu!N$304</f>
        <v>884.29538461538471</v>
      </c>
      <c r="H670" s="343">
        <f>VLieu!L$181</f>
        <v>23688</v>
      </c>
      <c r="I670" s="343">
        <f>TBi!N$423</f>
        <v>488.3997714285714</v>
      </c>
      <c r="J670" s="343">
        <f>TBi!N$427</f>
        <v>1068.48</v>
      </c>
      <c r="K670" s="343">
        <f>SUM(E670:J670)</f>
        <v>59124.423156043958</v>
      </c>
      <c r="L670" s="320">
        <f t="shared" si="220"/>
        <v>8868.6634734065938</v>
      </c>
      <c r="M670" s="344">
        <f>K670+L670</f>
        <v>67993.086629450554</v>
      </c>
      <c r="N670" s="343"/>
      <c r="O670" s="343">
        <f>NhanCong!N$182</f>
        <v>934.15384615384608</v>
      </c>
    </row>
    <row r="671" spans="1:15" s="345" customFormat="1" ht="25.5" customHeight="1">
      <c r="A671" s="323" t="s">
        <v>367</v>
      </c>
      <c r="B671" s="324" t="str">
        <f>NhanCong!B$183</f>
        <v>Giao nộp sản phẩm (công nhóm/mảnh)</v>
      </c>
      <c r="C671" s="341" t="s">
        <v>317</v>
      </c>
      <c r="D671" s="341" t="s">
        <v>622</v>
      </c>
      <c r="E671" s="342">
        <f>NhanCong!M$183</f>
        <v>69290.020800000013</v>
      </c>
      <c r="F671" s="342"/>
      <c r="G671" s="343">
        <f>Dcu!N$304</f>
        <v>884.29538461538471</v>
      </c>
      <c r="H671" s="343">
        <f>VLieu!L$181</f>
        <v>23688</v>
      </c>
      <c r="I671" s="343">
        <f>TBi!N$423</f>
        <v>488.3997714285714</v>
      </c>
      <c r="J671" s="343">
        <f>TBi!N$427</f>
        <v>1068.48</v>
      </c>
      <c r="K671" s="343">
        <f>SUM(E671:J671)</f>
        <v>95419.195956043957</v>
      </c>
      <c r="L671" s="320">
        <f>K671*0.15</f>
        <v>14312.879393406592</v>
      </c>
      <c r="M671" s="344">
        <f>K671+L671</f>
        <v>109732.07534945055</v>
      </c>
      <c r="N671" s="343"/>
      <c r="O671" s="343">
        <f>NhanCong!N$183</f>
        <v>1961.7230769230769</v>
      </c>
    </row>
    <row r="672" spans="1:15" s="345" customFormat="1">
      <c r="A672" s="298" t="s">
        <v>28</v>
      </c>
      <c r="B672" s="316" t="s">
        <v>204</v>
      </c>
      <c r="C672" s="337" t="s">
        <v>349</v>
      </c>
      <c r="D672" s="333"/>
      <c r="E672" s="301"/>
      <c r="F672" s="301"/>
      <c r="G672" s="301"/>
      <c r="H672" s="301"/>
      <c r="I672" s="301"/>
      <c r="J672" s="301"/>
      <c r="K672" s="301"/>
      <c r="L672" s="301"/>
      <c r="M672" s="302">
        <v>25</v>
      </c>
      <c r="N672" s="301" t="s">
        <v>21</v>
      </c>
      <c r="O672" s="301"/>
    </row>
    <row r="673" spans="1:17" s="345" customFormat="1" ht="13.15" customHeight="1">
      <c r="A673" s="316"/>
      <c r="B673" s="1035" t="s">
        <v>190</v>
      </c>
      <c r="C673" s="298">
        <f>HeSoKK!B32</f>
        <v>34.5</v>
      </c>
      <c r="D673" s="298">
        <v>1</v>
      </c>
      <c r="E673" s="301">
        <f>E724/C673+(E729+E734)/100</f>
        <v>144697.40106250002</v>
      </c>
      <c r="F673" s="301">
        <f>F724/C673+(F729+F734)/100</f>
        <v>7731.7307692307695</v>
      </c>
      <c r="G673" s="301">
        <f>G724/C673+(G729+G734)/100</f>
        <v>970.23326923076922</v>
      </c>
      <c r="H673" s="301">
        <f>H724/C673+(H729+H734)/100</f>
        <v>119143.94782608697</v>
      </c>
      <c r="I673" s="301">
        <f>I724/C673+(I729+I734)/100</f>
        <v>2414.7042857142856</v>
      </c>
      <c r="J673" s="301">
        <f>J724/C673+(J729+J734)/100</f>
        <v>22.482599999999998</v>
      </c>
      <c r="K673" s="301">
        <f t="shared" ref="K673:K682" si="222">SUM(E673:J673)</f>
        <v>274980.49981276284</v>
      </c>
      <c r="L673" s="301">
        <f>K673*0.25</f>
        <v>68745.124953190709</v>
      </c>
      <c r="M673" s="315">
        <f t="shared" ref="M673:M682" si="223">K673+L673</f>
        <v>343725.62476595351</v>
      </c>
      <c r="N673" s="301">
        <f>M673+M678</f>
        <v>394686.98811418994</v>
      </c>
      <c r="O673" s="301">
        <f>O724/C673+(O729+O734)/100</f>
        <v>4109.7163461538457</v>
      </c>
      <c r="Q673" s="346"/>
    </row>
    <row r="674" spans="1:17" s="345" customFormat="1" ht="13.15" customHeight="1">
      <c r="A674" s="316"/>
      <c r="B674" s="1035"/>
      <c r="C674" s="298">
        <f>HeSoKK!D32</f>
        <v>44.5</v>
      </c>
      <c r="D674" s="298">
        <v>2</v>
      </c>
      <c r="E674" s="301">
        <f>E725/C674+(E730+E735)/100</f>
        <v>172886.91465730342</v>
      </c>
      <c r="F674" s="301">
        <f>F725/C674+(F730+F735)/100</f>
        <v>9296.2692307692323</v>
      </c>
      <c r="G674" s="301">
        <f>G725/C674+(G730+G735)/100</f>
        <v>1198.235982966004</v>
      </c>
      <c r="H674" s="301">
        <f>H725/C674+(H730+H735)/100</f>
        <v>92783.420224719113</v>
      </c>
      <c r="I674" s="301">
        <f>I725/C674+(I730+I735)/100</f>
        <v>3015.1685714285718</v>
      </c>
      <c r="J674" s="301">
        <f>J725/C674+(J730+J735)/100</f>
        <v>28.492799999999999</v>
      </c>
      <c r="K674" s="301">
        <f t="shared" si="222"/>
        <v>279208.50146718632</v>
      </c>
      <c r="L674" s="301">
        <f>K674*0.25</f>
        <v>69802.125366796579</v>
      </c>
      <c r="M674" s="315">
        <f t="shared" si="223"/>
        <v>349010.62683398288</v>
      </c>
      <c r="N674" s="301">
        <f>M674+M679</f>
        <v>400172.2031912331</v>
      </c>
      <c r="O674" s="301">
        <f>O725/C674+(O730+O735)/100</f>
        <v>4907.9157303370785</v>
      </c>
      <c r="Q674" s="346"/>
    </row>
    <row r="675" spans="1:17" s="345" customFormat="1" ht="13.15" customHeight="1">
      <c r="A675" s="316"/>
      <c r="B675" s="1035"/>
      <c r="C675" s="298">
        <f>HeSoKK!F32</f>
        <v>54.5</v>
      </c>
      <c r="D675" s="298">
        <v>3</v>
      </c>
      <c r="E675" s="301">
        <f>E726/C675+(E731+E736)/100</f>
        <v>207634.0651605505</v>
      </c>
      <c r="F675" s="301">
        <f>F726/C675+(F731+F736)/100</f>
        <v>11133.69230769231</v>
      </c>
      <c r="G675" s="301">
        <f>G726/C675+(G731+G736)/100</f>
        <v>1585.3625137222616</v>
      </c>
      <c r="H675" s="301">
        <f>H726/C675+(H731+H736)/100</f>
        <v>76096.480733944962</v>
      </c>
      <c r="I675" s="301">
        <f>I726/C675+(I731+I736)/100</f>
        <v>4013.2371428571432</v>
      </c>
      <c r="J675" s="301">
        <f>J726/C675+(J731+J736)/100</f>
        <v>38.064600000000006</v>
      </c>
      <c r="K675" s="301">
        <f t="shared" si="222"/>
        <v>300500.90245876717</v>
      </c>
      <c r="L675" s="301">
        <f>K675*0.25</f>
        <v>75125.225614691793</v>
      </c>
      <c r="M675" s="315">
        <f t="shared" si="223"/>
        <v>375626.12807345897</v>
      </c>
      <c r="N675" s="301">
        <f>M675+M680</f>
        <v>428315.11579249904</v>
      </c>
      <c r="O675" s="301">
        <f>O726/C675+(O731+O736)/100</f>
        <v>5892.4717713479176</v>
      </c>
      <c r="Q675" s="346"/>
    </row>
    <row r="676" spans="1:17" s="345" customFormat="1" ht="13.15" customHeight="1">
      <c r="A676" s="316"/>
      <c r="B676" s="1035"/>
      <c r="C676" s="298">
        <f>HeSoKK!H32</f>
        <v>17</v>
      </c>
      <c r="D676" s="298">
        <v>4</v>
      </c>
      <c r="E676" s="301">
        <f>E727/C676+(E732+E737)/100</f>
        <v>270761.32644485298</v>
      </c>
      <c r="F676" s="301">
        <f>F727/C676+(F732+F737)/100</f>
        <v>13371.346153846154</v>
      </c>
      <c r="G676" s="301">
        <f>G727/C676+(G732+G737)/100</f>
        <v>2303.0443693438915</v>
      </c>
      <c r="H676" s="301">
        <f>H727/C676+(H732+H737)/100</f>
        <v>239898.42352941178</v>
      </c>
      <c r="I676" s="301">
        <f>I727/C676+(I732+I737)/100</f>
        <v>5429.8728571428564</v>
      </c>
      <c r="J676" s="301">
        <f>J727/C676+(J732+J737)/100</f>
        <v>50.752800000000008</v>
      </c>
      <c r="K676" s="301">
        <f t="shared" si="222"/>
        <v>531814.76615459763</v>
      </c>
      <c r="L676" s="301">
        <f>K676*0.25</f>
        <v>132953.69153864941</v>
      </c>
      <c r="M676" s="315">
        <f t="shared" si="223"/>
        <v>664768.45769324701</v>
      </c>
      <c r="N676" s="301">
        <f>M676+M681</f>
        <v>732785.75401290227</v>
      </c>
      <c r="O676" s="301">
        <f>O727/C676+(O732+O737)/100</f>
        <v>7724.012726244342</v>
      </c>
      <c r="Q676" s="346"/>
    </row>
    <row r="677" spans="1:17" s="345" customFormat="1" ht="13.15" customHeight="1">
      <c r="A677" s="316"/>
      <c r="B677" s="1035"/>
      <c r="C677" s="298">
        <f>HeSoKK!J32</f>
        <v>22.5</v>
      </c>
      <c r="D677" s="298">
        <v>5</v>
      </c>
      <c r="E677" s="301">
        <f>E728/C677+(E733+E738)/100</f>
        <v>320328.82594166673</v>
      </c>
      <c r="F677" s="301">
        <f>F728/C677+(F733+F738)/100</f>
        <v>16045.615384615387</v>
      </c>
      <c r="G677" s="301">
        <f>G728/C677+(G733+G738)/100</f>
        <v>2910.4527332621083</v>
      </c>
      <c r="H677" s="301">
        <f>H728/C677+(H733+H738)/100</f>
        <v>181706.26666666666</v>
      </c>
      <c r="I677" s="301">
        <f>I728/C677+(I733+I738)/100</f>
        <v>7022.7707142857134</v>
      </c>
      <c r="J677" s="301">
        <f>J728/C677+(J733+J738)/100</f>
        <v>66.557399999999987</v>
      </c>
      <c r="K677" s="301">
        <f t="shared" si="222"/>
        <v>528080.48884049663</v>
      </c>
      <c r="L677" s="301">
        <f>K677*0.25</f>
        <v>132020.12221012416</v>
      </c>
      <c r="M677" s="315">
        <f t="shared" si="223"/>
        <v>660100.61105062079</v>
      </c>
      <c r="N677" s="301">
        <f>M677+M682</f>
        <v>728980.07862103602</v>
      </c>
      <c r="O677" s="301">
        <f>O728/C677+(O733+O738)/100</f>
        <v>9126.3262820512809</v>
      </c>
      <c r="Q677" s="346"/>
    </row>
    <row r="678" spans="1:17" s="345" customFormat="1">
      <c r="A678" s="1036"/>
      <c r="B678" s="1035" t="s">
        <v>192</v>
      </c>
      <c r="C678" s="298">
        <f>C673</f>
        <v>34.5</v>
      </c>
      <c r="D678" s="298">
        <v>1</v>
      </c>
      <c r="E678" s="301">
        <f>(E740+E752+E753+E754)/C678+(E745+E750+E751)/100</f>
        <v>28211.10563333334</v>
      </c>
      <c r="F678" s="301">
        <f>(F740+F752+F753+F754)/C678+(F745+F750+F751)/100</f>
        <v>0</v>
      </c>
      <c r="G678" s="301">
        <f>(G740+G752+G753+G754)/C678+(G745+G750+G751)/100</f>
        <v>486.60142724489037</v>
      </c>
      <c r="H678" s="301">
        <f>(H740+H752+H753+H754)/C678+(H745+H750+H751)/100</f>
        <v>14292.008695652174</v>
      </c>
      <c r="I678" s="301">
        <f>(I740+I752+I753+I754)/C678+(I745+I750+I751)/100</f>
        <v>543.86794658385088</v>
      </c>
      <c r="J678" s="301">
        <f>(J740+J752+J753+J754)/C678+(J745+J750+J751)/100</f>
        <v>780.6452956521739</v>
      </c>
      <c r="K678" s="301">
        <f t="shared" si="222"/>
        <v>44314.228998466431</v>
      </c>
      <c r="L678" s="301">
        <f>K678*0.15</f>
        <v>6647.1343497699645</v>
      </c>
      <c r="M678" s="315">
        <f t="shared" si="223"/>
        <v>50961.363348236395</v>
      </c>
      <c r="N678" s="301"/>
      <c r="O678" s="301">
        <f>(O740+O752+O753+O754)/C678+(O745+O750+O751)/100</f>
        <v>783.73589743589741</v>
      </c>
    </row>
    <row r="679" spans="1:17" s="345" customFormat="1">
      <c r="A679" s="1036"/>
      <c r="B679" s="1035"/>
      <c r="C679" s="298">
        <f>C674</f>
        <v>44.5</v>
      </c>
      <c r="D679" s="298">
        <v>2</v>
      </c>
      <c r="E679" s="301">
        <f>(E741+E752+E753+E754)/C679+(E746+E750+E751)/100</f>
        <v>28571.074239325848</v>
      </c>
      <c r="F679" s="301">
        <f>(F741+F752+F753+F754)/C679+(F746+F750+F751)/100</f>
        <v>0</v>
      </c>
      <c r="G679" s="301">
        <f>(G741+G752+G753+G754)/C679+(G746+G750+G751)/100</f>
        <v>500.88336536828956</v>
      </c>
      <c r="H679" s="301">
        <f>(H741+H752+H753+H754)/C679+(H746+H750+H751)/100</f>
        <v>14168.186516853933</v>
      </c>
      <c r="I679" s="301">
        <f>(I741+I752+I753+I754)/C679+(I746+I750+I751)/100</f>
        <v>479.59036585072232</v>
      </c>
      <c r="J679" s="301">
        <f>(J741+J752+J753+J754)/C679+(J746+J750+J751)/100</f>
        <v>768.59277977528086</v>
      </c>
      <c r="K679" s="301">
        <f t="shared" si="222"/>
        <v>44488.327267174078</v>
      </c>
      <c r="L679" s="301">
        <f>K679*0.15</f>
        <v>6673.2490900761113</v>
      </c>
      <c r="M679" s="315">
        <f t="shared" si="223"/>
        <v>51161.576357250189</v>
      </c>
      <c r="N679" s="301"/>
      <c r="O679" s="301">
        <f>(O741+O752+O753+O754)/C679+(O746+O750+O751)/100</f>
        <v>790.11659464131367</v>
      </c>
    </row>
    <row r="680" spans="1:17" s="345" customFormat="1">
      <c r="A680" s="1036"/>
      <c r="B680" s="1035"/>
      <c r="C680" s="298">
        <f>C675</f>
        <v>54.5</v>
      </c>
      <c r="D680" s="298">
        <v>3</v>
      </c>
      <c r="E680" s="301">
        <f>(E742+E752+E753+E754)/C680+(E747+E750+E751)/100</f>
        <v>29944.522935779823</v>
      </c>
      <c r="F680" s="301">
        <f>(F742+F752+F753+F754)/C680+(F747+F750+F751)/100</f>
        <v>0</v>
      </c>
      <c r="G680" s="301">
        <f>(G742+G752+G753+G754)/C680+(G747+G750+G751)/100</f>
        <v>537.20171331137772</v>
      </c>
      <c r="H680" s="301">
        <f>(H742+H752+H753+H754)/C680+(H747+H750+H751)/100</f>
        <v>14089.80366972477</v>
      </c>
      <c r="I680" s="301">
        <f>(I742+I752+I753+I754)/C680+(I747+I750+I751)/100</f>
        <v>462.70099076015731</v>
      </c>
      <c r="J680" s="301">
        <f>(J742+J752+J753+J754)/C680+(J747+J750+J751)/100</f>
        <v>782.28175045871569</v>
      </c>
      <c r="K680" s="301">
        <f t="shared" si="222"/>
        <v>45816.511060034842</v>
      </c>
      <c r="L680" s="301">
        <f>K680*0.15</f>
        <v>6872.4766590052259</v>
      </c>
      <c r="M680" s="315">
        <f t="shared" si="223"/>
        <v>52688.987719040066</v>
      </c>
      <c r="N680" s="301"/>
      <c r="O680" s="301">
        <f>(O742+O752+O753+O754)/C680+(O747+O750+O751)/100</f>
        <v>822.74100211714892</v>
      </c>
    </row>
    <row r="681" spans="1:17" s="345" customFormat="1">
      <c r="A681" s="1036"/>
      <c r="B681" s="1035"/>
      <c r="C681" s="298">
        <f>C676</f>
        <v>17</v>
      </c>
      <c r="D681" s="298">
        <v>4</v>
      </c>
      <c r="E681" s="301">
        <f>(E743+E752+E753+E754)/C681+(E748+E750+E751)/100</f>
        <v>41215.04834117648</v>
      </c>
      <c r="F681" s="301">
        <f>(F743+F752+F753+F754)/C681+(F748+F750+F751)/100</f>
        <v>0</v>
      </c>
      <c r="G681" s="301">
        <f>(G743+G752+G753+G754)/C681+(G748+G750+G751)/100</f>
        <v>746.48337128406229</v>
      </c>
      <c r="H681" s="301">
        <f>(H743+H752+H753+H754)/C681+(H748+H750+H751)/100</f>
        <v>14859.223529411765</v>
      </c>
      <c r="I681" s="301">
        <f>(I743+I752+I753+I754)/C681+(I748+I750+I751)/100</f>
        <v>1259.0681481092433</v>
      </c>
      <c r="J681" s="301">
        <f>(J743+J752+J753+J754)/C681+(J748+J750+J751)/100</f>
        <v>1065.6516705882352</v>
      </c>
      <c r="K681" s="301">
        <f t="shared" si="222"/>
        <v>59145.475060569792</v>
      </c>
      <c r="L681" s="301">
        <f>K681*0.15</f>
        <v>8871.8212590854691</v>
      </c>
      <c r="M681" s="315">
        <f t="shared" si="223"/>
        <v>68017.296319655259</v>
      </c>
      <c r="N681" s="301"/>
      <c r="O681" s="301">
        <f>(O743+O752+O753+O754)/C681+(O748+O750+O751)/100</f>
        <v>1133.1194570135747</v>
      </c>
    </row>
    <row r="682" spans="1:17" s="345" customFormat="1">
      <c r="A682" s="1036"/>
      <c r="B682" s="1035"/>
      <c r="C682" s="298">
        <f>C677</f>
        <v>22.5</v>
      </c>
      <c r="D682" s="298">
        <v>5</v>
      </c>
      <c r="E682" s="301">
        <f>(E744+E752+E753+E754)/C682+(E749+E750+E751)/100</f>
        <v>42047.993362222231</v>
      </c>
      <c r="F682" s="301">
        <f>(F744+F752+F753+F754)/C682+(F749+F750+F751)/100</f>
        <v>0</v>
      </c>
      <c r="G682" s="301">
        <f>(G744+G752+G753+G754)/C682+(G749+G750+G751)/100</f>
        <v>781.50502642735034</v>
      </c>
      <c r="H682" s="301">
        <f>(H744+H752+H753+H754)/C682+(H749+H750+H751)/100</f>
        <v>14585.880000000001</v>
      </c>
      <c r="I682" s="301">
        <f>(I744+I752+I753+I754)/C682+(I749+I750+I751)/100</f>
        <v>1367.0828696825392</v>
      </c>
      <c r="J682" s="301">
        <f>(J744+J752+J753+J754)/C682+(J749+J750+J751)/100</f>
        <v>1112.7279333333333</v>
      </c>
      <c r="K682" s="301">
        <f t="shared" si="222"/>
        <v>59895.189191665457</v>
      </c>
      <c r="L682" s="301">
        <f>K682*0.15</f>
        <v>8984.2783787498174</v>
      </c>
      <c r="M682" s="315">
        <f t="shared" si="223"/>
        <v>68879.467570415276</v>
      </c>
      <c r="N682" s="301"/>
      <c r="O682" s="301">
        <f>(O744+O752+O753+O754)/C682+(O749+O750+O751)/100</f>
        <v>1146.6305982905983</v>
      </c>
    </row>
    <row r="683" spans="1:17" s="345" customFormat="1" ht="13.5">
      <c r="A683" s="298"/>
      <c r="B683" s="340" t="s">
        <v>332</v>
      </c>
      <c r="C683" s="298"/>
      <c r="D683" s="298"/>
      <c r="E683" s="301"/>
      <c r="F683" s="301"/>
      <c r="G683" s="301"/>
      <c r="H683" s="301"/>
      <c r="I683" s="301"/>
      <c r="J683" s="301"/>
      <c r="K683" s="301"/>
      <c r="L683" s="301"/>
      <c r="M683" s="315"/>
      <c r="N683" s="301"/>
      <c r="O683" s="301"/>
    </row>
    <row r="684" spans="1:17" s="345" customFormat="1" ht="13.5">
      <c r="A684" s="298" t="s">
        <v>502</v>
      </c>
      <c r="B684" s="340" t="s">
        <v>333</v>
      </c>
      <c r="C684" s="298"/>
      <c r="D684" s="298"/>
      <c r="E684" s="301"/>
      <c r="F684" s="301"/>
      <c r="G684" s="301"/>
      <c r="H684" s="301"/>
      <c r="I684" s="301"/>
      <c r="J684" s="301"/>
      <c r="K684" s="301"/>
      <c r="L684" s="301"/>
      <c r="M684" s="315"/>
      <c r="N684" s="301"/>
      <c r="O684" s="301"/>
    </row>
    <row r="685" spans="1:17" s="345" customFormat="1" ht="13.15" customHeight="1">
      <c r="A685" s="1029"/>
      <c r="B685" s="1035" t="s">
        <v>330</v>
      </c>
      <c r="C685" s="1036" t="s">
        <v>49</v>
      </c>
      <c r="D685" s="298">
        <v>1</v>
      </c>
      <c r="E685" s="301">
        <f t="shared" ref="E685:J689" si="224">E673-E729/100</f>
        <v>136964.13981250001</v>
      </c>
      <c r="F685" s="301">
        <f t="shared" si="224"/>
        <v>7731.7307692307695</v>
      </c>
      <c r="G685" s="301">
        <f t="shared" si="224"/>
        <v>853.61833333333334</v>
      </c>
      <c r="H685" s="301">
        <f t="shared" si="224"/>
        <v>119056.34782608696</v>
      </c>
      <c r="I685" s="301">
        <f t="shared" si="224"/>
        <v>2289.9457142857141</v>
      </c>
      <c r="J685" s="301">
        <f t="shared" si="224"/>
        <v>21.146999999999998</v>
      </c>
      <c r="K685" s="301">
        <f t="shared" ref="K685:K694" si="225">SUM(E685:J685)</f>
        <v>266916.92945543682</v>
      </c>
      <c r="L685" s="301">
        <f>K685*0.25</f>
        <v>66729.232363859206</v>
      </c>
      <c r="M685" s="315">
        <f t="shared" ref="M685:M694" si="226">K685+L685</f>
        <v>333646.16181929602</v>
      </c>
      <c r="N685" s="301">
        <f>M685+M690</f>
        <v>384607.52516753238</v>
      </c>
      <c r="O685" s="301">
        <f>O673-O729/100</f>
        <v>3890.7740384615381</v>
      </c>
    </row>
    <row r="686" spans="1:17" s="345" customFormat="1" ht="13.15" customHeight="1">
      <c r="A686" s="1030"/>
      <c r="B686" s="1035"/>
      <c r="C686" s="1036"/>
      <c r="D686" s="298">
        <v>2</v>
      </c>
      <c r="E686" s="301">
        <f t="shared" si="224"/>
        <v>163220.33809480342</v>
      </c>
      <c r="F686" s="301">
        <f t="shared" si="224"/>
        <v>9296.2692307692323</v>
      </c>
      <c r="G686" s="301">
        <f t="shared" si="224"/>
        <v>1052.4673130942092</v>
      </c>
      <c r="H686" s="301">
        <f t="shared" si="224"/>
        <v>92695.820224719108</v>
      </c>
      <c r="I686" s="301">
        <f t="shared" si="224"/>
        <v>2862.2350000000006</v>
      </c>
      <c r="J686" s="301">
        <f t="shared" si="224"/>
        <v>27.1572</v>
      </c>
      <c r="K686" s="301">
        <f t="shared" si="225"/>
        <v>269154.28706338594</v>
      </c>
      <c r="L686" s="301">
        <f>K686*0.25</f>
        <v>67288.571765846486</v>
      </c>
      <c r="M686" s="315">
        <f t="shared" si="226"/>
        <v>336442.8588292324</v>
      </c>
      <c r="N686" s="301">
        <f>M686+M691</f>
        <v>387604.43518648262</v>
      </c>
      <c r="O686" s="301">
        <f>O674-O730/100</f>
        <v>4634.2378457216937</v>
      </c>
    </row>
    <row r="687" spans="1:17" s="345" customFormat="1" ht="13.15" customHeight="1">
      <c r="A687" s="1030"/>
      <c r="B687" s="1035"/>
      <c r="C687" s="1036"/>
      <c r="D687" s="298">
        <v>3</v>
      </c>
      <c r="E687" s="301">
        <f t="shared" si="224"/>
        <v>194745.29641055048</v>
      </c>
      <c r="F687" s="301">
        <f t="shared" si="224"/>
        <v>11133.69230769231</v>
      </c>
      <c r="G687" s="301">
        <f t="shared" si="224"/>
        <v>1391.0042872265351</v>
      </c>
      <c r="H687" s="301">
        <f t="shared" si="224"/>
        <v>76008.880733944956</v>
      </c>
      <c r="I687" s="301">
        <f t="shared" si="224"/>
        <v>3809.1942857142863</v>
      </c>
      <c r="J687" s="301">
        <f t="shared" si="224"/>
        <v>36.061200000000007</v>
      </c>
      <c r="K687" s="301">
        <f t="shared" si="225"/>
        <v>287124.12922512856</v>
      </c>
      <c r="L687" s="301">
        <f>K687*0.25</f>
        <v>71781.032306282141</v>
      </c>
      <c r="M687" s="315">
        <f t="shared" si="226"/>
        <v>358905.1615314107</v>
      </c>
      <c r="N687" s="301">
        <f>M687+M692</f>
        <v>411594.14925045078</v>
      </c>
      <c r="O687" s="301">
        <f>O675-O731/100</f>
        <v>5527.567925194071</v>
      </c>
    </row>
    <row r="688" spans="1:17" s="345" customFormat="1" ht="13.15" customHeight="1">
      <c r="A688" s="1030"/>
      <c r="B688" s="1035"/>
      <c r="C688" s="1036"/>
      <c r="D688" s="298">
        <v>4</v>
      </c>
      <c r="E688" s="301">
        <f t="shared" si="224"/>
        <v>253361.48863235296</v>
      </c>
      <c r="F688" s="301">
        <f t="shared" si="224"/>
        <v>13371.346153846154</v>
      </c>
      <c r="G688" s="301">
        <f t="shared" si="224"/>
        <v>2040.6607635746607</v>
      </c>
      <c r="H688" s="301">
        <f t="shared" si="224"/>
        <v>239810.82352941178</v>
      </c>
      <c r="I688" s="301">
        <f t="shared" si="224"/>
        <v>5152.1807142857133</v>
      </c>
      <c r="J688" s="301">
        <f t="shared" si="224"/>
        <v>48.081600000000009</v>
      </c>
      <c r="K688" s="301">
        <f t="shared" si="225"/>
        <v>513784.58139347116</v>
      </c>
      <c r="L688" s="301">
        <f>K688*0.25</f>
        <v>128446.14534836779</v>
      </c>
      <c r="M688" s="315">
        <f t="shared" si="226"/>
        <v>642230.72674183897</v>
      </c>
      <c r="N688" s="301">
        <f>M688+M693</f>
        <v>710248.02306149423</v>
      </c>
      <c r="O688" s="301">
        <f>O676-O732/100</f>
        <v>7231.3925339366497</v>
      </c>
    </row>
    <row r="689" spans="1:15" s="345" customFormat="1" ht="13.15" customHeight="1">
      <c r="A689" s="1031"/>
      <c r="B689" s="1035"/>
      <c r="C689" s="1036"/>
      <c r="D689" s="298">
        <v>5</v>
      </c>
      <c r="E689" s="301">
        <f t="shared" si="224"/>
        <v>297988.2934416667</v>
      </c>
      <c r="F689" s="301">
        <f t="shared" si="224"/>
        <v>16045.615384615387</v>
      </c>
      <c r="G689" s="301">
        <f t="shared" si="224"/>
        <v>2570.3258368945872</v>
      </c>
      <c r="H689" s="301">
        <f t="shared" si="224"/>
        <v>181618.66666666666</v>
      </c>
      <c r="I689" s="301">
        <f t="shared" si="224"/>
        <v>6671.4292857142846</v>
      </c>
      <c r="J689" s="301">
        <f t="shared" si="224"/>
        <v>63.218399999999988</v>
      </c>
      <c r="K689" s="301">
        <f t="shared" si="225"/>
        <v>504957.54901555763</v>
      </c>
      <c r="L689" s="301">
        <f>K689*0.25</f>
        <v>126239.38725388941</v>
      </c>
      <c r="M689" s="315">
        <f t="shared" si="226"/>
        <v>631196.93626944697</v>
      </c>
      <c r="N689" s="301">
        <f>M689+M694</f>
        <v>700076.40383986221</v>
      </c>
      <c r="O689" s="301">
        <f>O677-O733/100</f>
        <v>8493.8262820512809</v>
      </c>
    </row>
    <row r="690" spans="1:15" s="345" customFormat="1" ht="13.15" customHeight="1">
      <c r="A690" s="1036"/>
      <c r="B690" s="1035" t="s">
        <v>331</v>
      </c>
      <c r="C690" s="1036" t="s">
        <v>49</v>
      </c>
      <c r="D690" s="298">
        <v>1</v>
      </c>
      <c r="E690" s="301">
        <f t="shared" ref="E690:J694" si="227">E678</f>
        <v>28211.10563333334</v>
      </c>
      <c r="F690" s="301">
        <f t="shared" si="227"/>
        <v>0</v>
      </c>
      <c r="G690" s="301">
        <f t="shared" si="227"/>
        <v>486.60142724489037</v>
      </c>
      <c r="H690" s="301">
        <f t="shared" si="227"/>
        <v>14292.008695652174</v>
      </c>
      <c r="I690" s="301">
        <f t="shared" si="227"/>
        <v>543.86794658385088</v>
      </c>
      <c r="J690" s="301">
        <f t="shared" si="227"/>
        <v>780.6452956521739</v>
      </c>
      <c r="K690" s="301">
        <f t="shared" si="225"/>
        <v>44314.228998466431</v>
      </c>
      <c r="L690" s="301">
        <f>K690*0.15</f>
        <v>6647.1343497699645</v>
      </c>
      <c r="M690" s="315">
        <f t="shared" si="226"/>
        <v>50961.363348236395</v>
      </c>
      <c r="N690" s="301"/>
      <c r="O690" s="301">
        <f>O678</f>
        <v>783.73589743589741</v>
      </c>
    </row>
    <row r="691" spans="1:15" s="345" customFormat="1" ht="13.15" customHeight="1">
      <c r="A691" s="1036"/>
      <c r="B691" s="1035"/>
      <c r="C691" s="1036"/>
      <c r="D691" s="298">
        <v>2</v>
      </c>
      <c r="E691" s="301">
        <f t="shared" si="227"/>
        <v>28571.074239325848</v>
      </c>
      <c r="F691" s="301">
        <f t="shared" si="227"/>
        <v>0</v>
      </c>
      <c r="G691" s="301">
        <f t="shared" si="227"/>
        <v>500.88336536828956</v>
      </c>
      <c r="H691" s="301">
        <f t="shared" si="227"/>
        <v>14168.186516853933</v>
      </c>
      <c r="I691" s="301">
        <f t="shared" si="227"/>
        <v>479.59036585072232</v>
      </c>
      <c r="J691" s="301">
        <f t="shared" si="227"/>
        <v>768.59277977528086</v>
      </c>
      <c r="K691" s="301">
        <f t="shared" si="225"/>
        <v>44488.327267174078</v>
      </c>
      <c r="L691" s="301">
        <f>K691*0.15</f>
        <v>6673.2490900761113</v>
      </c>
      <c r="M691" s="315">
        <f t="shared" si="226"/>
        <v>51161.576357250189</v>
      </c>
      <c r="N691" s="301"/>
      <c r="O691" s="301">
        <f>O679</f>
        <v>790.11659464131367</v>
      </c>
    </row>
    <row r="692" spans="1:15" s="345" customFormat="1" ht="13.15" customHeight="1">
      <c r="A692" s="1036"/>
      <c r="B692" s="1035"/>
      <c r="C692" s="1036"/>
      <c r="D692" s="298">
        <v>3</v>
      </c>
      <c r="E692" s="301">
        <f t="shared" si="227"/>
        <v>29944.522935779823</v>
      </c>
      <c r="F692" s="301">
        <f t="shared" si="227"/>
        <v>0</v>
      </c>
      <c r="G692" s="301">
        <f t="shared" si="227"/>
        <v>537.20171331137772</v>
      </c>
      <c r="H692" s="301">
        <f t="shared" si="227"/>
        <v>14089.80366972477</v>
      </c>
      <c r="I692" s="301">
        <f t="shared" si="227"/>
        <v>462.70099076015731</v>
      </c>
      <c r="J692" s="301">
        <f t="shared" si="227"/>
        <v>782.28175045871569</v>
      </c>
      <c r="K692" s="301">
        <f t="shared" si="225"/>
        <v>45816.511060034842</v>
      </c>
      <c r="L692" s="301">
        <f>K692*0.15</f>
        <v>6872.4766590052259</v>
      </c>
      <c r="M692" s="315">
        <f t="shared" si="226"/>
        <v>52688.987719040066</v>
      </c>
      <c r="N692" s="301"/>
      <c r="O692" s="301">
        <f>O680</f>
        <v>822.74100211714892</v>
      </c>
    </row>
    <row r="693" spans="1:15" s="345" customFormat="1" ht="13.15" customHeight="1">
      <c r="A693" s="1036"/>
      <c r="B693" s="1035"/>
      <c r="C693" s="1036"/>
      <c r="D693" s="298">
        <v>4</v>
      </c>
      <c r="E693" s="301">
        <f t="shared" si="227"/>
        <v>41215.04834117648</v>
      </c>
      <c r="F693" s="301">
        <f t="shared" si="227"/>
        <v>0</v>
      </c>
      <c r="G693" s="301">
        <f t="shared" si="227"/>
        <v>746.48337128406229</v>
      </c>
      <c r="H693" s="301">
        <f t="shared" si="227"/>
        <v>14859.223529411765</v>
      </c>
      <c r="I693" s="301">
        <f t="shared" si="227"/>
        <v>1259.0681481092433</v>
      </c>
      <c r="J693" s="301">
        <f t="shared" si="227"/>
        <v>1065.6516705882352</v>
      </c>
      <c r="K693" s="301">
        <f t="shared" si="225"/>
        <v>59145.475060569792</v>
      </c>
      <c r="L693" s="301">
        <f>K693*0.15</f>
        <v>8871.8212590854691</v>
      </c>
      <c r="M693" s="315">
        <f t="shared" si="226"/>
        <v>68017.296319655259</v>
      </c>
      <c r="N693" s="301"/>
      <c r="O693" s="301">
        <f>O681</f>
        <v>1133.1194570135747</v>
      </c>
    </row>
    <row r="694" spans="1:15" s="345" customFormat="1" ht="13.15" customHeight="1">
      <c r="A694" s="1036"/>
      <c r="B694" s="1035"/>
      <c r="C694" s="1036"/>
      <c r="D694" s="298">
        <v>5</v>
      </c>
      <c r="E694" s="301">
        <f t="shared" si="227"/>
        <v>42047.993362222231</v>
      </c>
      <c r="F694" s="301">
        <f t="shared" si="227"/>
        <v>0</v>
      </c>
      <c r="G694" s="301">
        <f t="shared" si="227"/>
        <v>781.50502642735034</v>
      </c>
      <c r="H694" s="301">
        <f t="shared" si="227"/>
        <v>14585.880000000001</v>
      </c>
      <c r="I694" s="301">
        <f t="shared" si="227"/>
        <v>1367.0828696825392</v>
      </c>
      <c r="J694" s="301">
        <f t="shared" si="227"/>
        <v>1112.7279333333333</v>
      </c>
      <c r="K694" s="301">
        <f t="shared" si="225"/>
        <v>59895.189191665457</v>
      </c>
      <c r="L694" s="301">
        <f>K694*0.15</f>
        <v>8984.2783787498174</v>
      </c>
      <c r="M694" s="315">
        <f t="shared" si="226"/>
        <v>68879.467570415276</v>
      </c>
      <c r="N694" s="301"/>
      <c r="O694" s="301">
        <f>O682</f>
        <v>1146.6305982905983</v>
      </c>
    </row>
    <row r="695" spans="1:15" s="345" customFormat="1" ht="13.5">
      <c r="A695" s="298" t="s">
        <v>503</v>
      </c>
      <c r="B695" s="340" t="s">
        <v>423</v>
      </c>
      <c r="C695" s="298"/>
      <c r="D695" s="298"/>
      <c r="E695" s="301"/>
      <c r="F695" s="301"/>
      <c r="G695" s="301"/>
      <c r="H695" s="301"/>
      <c r="I695" s="301"/>
      <c r="J695" s="301"/>
      <c r="K695" s="301"/>
      <c r="L695" s="301"/>
      <c r="M695" s="315"/>
      <c r="N695" s="301"/>
      <c r="O695" s="301"/>
    </row>
    <row r="696" spans="1:15" s="345" customFormat="1" ht="13.15" customHeight="1">
      <c r="A696" s="1029"/>
      <c r="B696" s="1035" t="s">
        <v>330</v>
      </c>
      <c r="C696" s="1036" t="s">
        <v>49</v>
      </c>
      <c r="D696" s="298">
        <v>1</v>
      </c>
      <c r="E696" s="301">
        <f t="shared" ref="E696:G705" si="228">E673*0.9</f>
        <v>130227.66095625002</v>
      </c>
      <c r="F696" s="301">
        <f t="shared" si="228"/>
        <v>6958.5576923076924</v>
      </c>
      <c r="G696" s="301">
        <f t="shared" si="228"/>
        <v>873.20994230769236</v>
      </c>
      <c r="H696" s="301">
        <f t="shared" ref="H696:H705" si="229">H673</f>
        <v>119143.94782608697</v>
      </c>
      <c r="I696" s="301">
        <f t="shared" ref="I696:J705" si="230">I673*0.9</f>
        <v>2173.2338571428572</v>
      </c>
      <c r="J696" s="301">
        <f t="shared" si="230"/>
        <v>20.23434</v>
      </c>
      <c r="K696" s="301">
        <f t="shared" ref="K696:K705" si="231">SUM(E696:J696)</f>
        <v>259396.84461409526</v>
      </c>
      <c r="L696" s="301">
        <f>K696*0.25</f>
        <v>64849.211153523815</v>
      </c>
      <c r="M696" s="315">
        <f t="shared" ref="M696:M705" si="232">K696+L696</f>
        <v>324246.05576761905</v>
      </c>
      <c r="N696" s="301">
        <f>M696+M701</f>
        <v>371754.8637810318</v>
      </c>
      <c r="O696" s="301">
        <f t="shared" ref="O696:O705" si="233">O673*0.9</f>
        <v>3698.7447115384612</v>
      </c>
    </row>
    <row r="697" spans="1:15" s="345" customFormat="1" ht="13.15" customHeight="1">
      <c r="A697" s="1030"/>
      <c r="B697" s="1035"/>
      <c r="C697" s="1036"/>
      <c r="D697" s="298">
        <v>2</v>
      </c>
      <c r="E697" s="301">
        <f t="shared" si="228"/>
        <v>155598.22319157308</v>
      </c>
      <c r="F697" s="301">
        <f t="shared" si="228"/>
        <v>8366.6423076923093</v>
      </c>
      <c r="G697" s="301">
        <f t="shared" si="228"/>
        <v>1078.4123846694038</v>
      </c>
      <c r="H697" s="301">
        <f t="shared" si="229"/>
        <v>92783.420224719113</v>
      </c>
      <c r="I697" s="301">
        <f t="shared" si="230"/>
        <v>2713.6517142857147</v>
      </c>
      <c r="J697" s="301">
        <f t="shared" si="230"/>
        <v>25.643519999999999</v>
      </c>
      <c r="K697" s="301">
        <f t="shared" si="231"/>
        <v>260565.99334293962</v>
      </c>
      <c r="L697" s="301">
        <f>K697*0.25</f>
        <v>65141.498335734905</v>
      </c>
      <c r="M697" s="315">
        <f t="shared" si="232"/>
        <v>325707.49167867453</v>
      </c>
      <c r="N697" s="301">
        <f>M697+M702</f>
        <v>373382.25184963789</v>
      </c>
      <c r="O697" s="301">
        <f t="shared" si="233"/>
        <v>4417.1241573033703</v>
      </c>
    </row>
    <row r="698" spans="1:15" s="345" customFormat="1" ht="13.15" customHeight="1">
      <c r="A698" s="1030"/>
      <c r="B698" s="1035"/>
      <c r="C698" s="1036"/>
      <c r="D698" s="298">
        <v>3</v>
      </c>
      <c r="E698" s="301">
        <f t="shared" si="228"/>
        <v>186870.65864449544</v>
      </c>
      <c r="F698" s="301">
        <f t="shared" si="228"/>
        <v>10020.323076923079</v>
      </c>
      <c r="G698" s="301">
        <f t="shared" si="228"/>
        <v>1426.8262623500354</v>
      </c>
      <c r="H698" s="301">
        <f t="shared" si="229"/>
        <v>76096.480733944962</v>
      </c>
      <c r="I698" s="301">
        <f t="shared" si="230"/>
        <v>3611.913428571429</v>
      </c>
      <c r="J698" s="301">
        <f t="shared" si="230"/>
        <v>34.258140000000004</v>
      </c>
      <c r="K698" s="301">
        <f t="shared" si="231"/>
        <v>278060.46028628497</v>
      </c>
      <c r="L698" s="301">
        <f>K698*0.25</f>
        <v>69515.115071571243</v>
      </c>
      <c r="M698" s="315">
        <f t="shared" si="232"/>
        <v>347575.57535785623</v>
      </c>
      <c r="N698" s="301">
        <f>M698+M703</f>
        <v>396615.99172701064</v>
      </c>
      <c r="O698" s="301">
        <f t="shared" si="233"/>
        <v>5303.2245942131258</v>
      </c>
    </row>
    <row r="699" spans="1:15" s="345" customFormat="1" ht="13.15" customHeight="1">
      <c r="A699" s="1030"/>
      <c r="B699" s="1035"/>
      <c r="C699" s="1036"/>
      <c r="D699" s="298">
        <v>4</v>
      </c>
      <c r="E699" s="301">
        <f t="shared" si="228"/>
        <v>243685.19380036768</v>
      </c>
      <c r="F699" s="301">
        <f t="shared" si="228"/>
        <v>12034.211538461539</v>
      </c>
      <c r="G699" s="301">
        <f t="shared" si="228"/>
        <v>2072.7399324095022</v>
      </c>
      <c r="H699" s="301">
        <f t="shared" si="229"/>
        <v>239898.42352941178</v>
      </c>
      <c r="I699" s="301">
        <f t="shared" si="230"/>
        <v>4886.885571428571</v>
      </c>
      <c r="J699" s="301">
        <f t="shared" si="230"/>
        <v>45.677520000000008</v>
      </c>
      <c r="K699" s="301">
        <f t="shared" si="231"/>
        <v>502623.13189207908</v>
      </c>
      <c r="L699" s="301">
        <f>K699*0.25</f>
        <v>125655.78297301977</v>
      </c>
      <c r="M699" s="315">
        <f t="shared" si="232"/>
        <v>628278.91486509889</v>
      </c>
      <c r="N699" s="301">
        <f>M699+M704</f>
        <v>691203.29225867102</v>
      </c>
      <c r="O699" s="301">
        <f t="shared" si="233"/>
        <v>6951.6114536199084</v>
      </c>
    </row>
    <row r="700" spans="1:15" s="345" customFormat="1" ht="13.15" customHeight="1">
      <c r="A700" s="1031"/>
      <c r="B700" s="1035"/>
      <c r="C700" s="1036"/>
      <c r="D700" s="298">
        <v>5</v>
      </c>
      <c r="E700" s="301">
        <f t="shared" si="228"/>
        <v>288295.94334750006</v>
      </c>
      <c r="F700" s="301">
        <f t="shared" si="228"/>
        <v>14441.053846153849</v>
      </c>
      <c r="G700" s="301">
        <f t="shared" si="228"/>
        <v>2619.4074599358974</v>
      </c>
      <c r="H700" s="301">
        <f t="shared" si="229"/>
        <v>181706.26666666666</v>
      </c>
      <c r="I700" s="301">
        <f t="shared" si="230"/>
        <v>6320.4936428571418</v>
      </c>
      <c r="J700" s="301">
        <f t="shared" si="230"/>
        <v>59.901659999999993</v>
      </c>
      <c r="K700" s="301">
        <f t="shared" si="231"/>
        <v>493443.06662311353</v>
      </c>
      <c r="L700" s="301">
        <f>K700*0.25</f>
        <v>123360.76665577838</v>
      </c>
      <c r="M700" s="315">
        <f t="shared" si="232"/>
        <v>616803.83327889186</v>
      </c>
      <c r="N700" s="301">
        <f>M700+M705</f>
        <v>680472.73029226565</v>
      </c>
      <c r="O700" s="301">
        <f t="shared" si="233"/>
        <v>8213.6936538461523</v>
      </c>
    </row>
    <row r="701" spans="1:15" s="345" customFormat="1">
      <c r="A701" s="1036"/>
      <c r="B701" s="1037" t="s">
        <v>331</v>
      </c>
      <c r="C701" s="1036" t="s">
        <v>49</v>
      </c>
      <c r="D701" s="333" t="s">
        <v>18</v>
      </c>
      <c r="E701" s="301">
        <f t="shared" si="228"/>
        <v>25389.995070000008</v>
      </c>
      <c r="F701" s="301">
        <f t="shared" si="228"/>
        <v>0</v>
      </c>
      <c r="G701" s="301">
        <f t="shared" si="228"/>
        <v>437.94128452040133</v>
      </c>
      <c r="H701" s="301">
        <f t="shared" si="229"/>
        <v>14292.008695652174</v>
      </c>
      <c r="I701" s="301">
        <f t="shared" si="230"/>
        <v>489.48115192546578</v>
      </c>
      <c r="J701" s="301">
        <f t="shared" si="230"/>
        <v>702.58076608695649</v>
      </c>
      <c r="K701" s="301">
        <f t="shared" si="231"/>
        <v>41312.006968185</v>
      </c>
      <c r="L701" s="301">
        <f>K701*0.15</f>
        <v>6196.8010452277495</v>
      </c>
      <c r="M701" s="315">
        <f t="shared" si="232"/>
        <v>47508.808013412752</v>
      </c>
      <c r="N701" s="301"/>
      <c r="O701" s="301">
        <f t="shared" si="233"/>
        <v>705.3623076923077</v>
      </c>
    </row>
    <row r="702" spans="1:15" s="345" customFormat="1">
      <c r="A702" s="1036"/>
      <c r="B702" s="1035"/>
      <c r="C702" s="1036"/>
      <c r="D702" s="298">
        <v>2</v>
      </c>
      <c r="E702" s="301">
        <f t="shared" si="228"/>
        <v>25713.966815393265</v>
      </c>
      <c r="F702" s="301">
        <f t="shared" si="228"/>
        <v>0</v>
      </c>
      <c r="G702" s="301">
        <f t="shared" si="228"/>
        <v>450.79502883146063</v>
      </c>
      <c r="H702" s="301">
        <f t="shared" si="229"/>
        <v>14168.186516853933</v>
      </c>
      <c r="I702" s="301">
        <f t="shared" si="230"/>
        <v>431.63132926565009</v>
      </c>
      <c r="J702" s="301">
        <f t="shared" si="230"/>
        <v>691.73350179775275</v>
      </c>
      <c r="K702" s="301">
        <f t="shared" si="231"/>
        <v>41456.313192142057</v>
      </c>
      <c r="L702" s="301">
        <f>K702*0.15</f>
        <v>6218.4469788213082</v>
      </c>
      <c r="M702" s="315">
        <f t="shared" si="232"/>
        <v>47674.760170963367</v>
      </c>
      <c r="N702" s="301"/>
      <c r="O702" s="301">
        <f t="shared" si="233"/>
        <v>711.10493517718237</v>
      </c>
    </row>
    <row r="703" spans="1:15" s="345" customFormat="1">
      <c r="A703" s="1036"/>
      <c r="B703" s="1035"/>
      <c r="C703" s="1036"/>
      <c r="D703" s="298">
        <v>3</v>
      </c>
      <c r="E703" s="301">
        <f t="shared" si="228"/>
        <v>26950.070642201841</v>
      </c>
      <c r="F703" s="301">
        <f t="shared" si="228"/>
        <v>0</v>
      </c>
      <c r="G703" s="301">
        <f t="shared" si="228"/>
        <v>483.48154198023997</v>
      </c>
      <c r="H703" s="301">
        <f t="shared" si="229"/>
        <v>14089.80366972477</v>
      </c>
      <c r="I703" s="301">
        <f t="shared" si="230"/>
        <v>416.43089168414161</v>
      </c>
      <c r="J703" s="301">
        <f t="shared" si="230"/>
        <v>704.05357541284411</v>
      </c>
      <c r="K703" s="301">
        <f t="shared" si="231"/>
        <v>42643.84032100383</v>
      </c>
      <c r="L703" s="301">
        <f>K703*0.15</f>
        <v>6396.576048150574</v>
      </c>
      <c r="M703" s="315">
        <f t="shared" si="232"/>
        <v>49040.416369154402</v>
      </c>
      <c r="N703" s="301"/>
      <c r="O703" s="301">
        <f t="shared" si="233"/>
        <v>740.46690190543404</v>
      </c>
    </row>
    <row r="704" spans="1:15" s="345" customFormat="1">
      <c r="A704" s="1036"/>
      <c r="B704" s="1035"/>
      <c r="C704" s="1036"/>
      <c r="D704" s="298">
        <v>4</v>
      </c>
      <c r="E704" s="301">
        <f t="shared" si="228"/>
        <v>37093.543507058836</v>
      </c>
      <c r="F704" s="301">
        <f t="shared" si="228"/>
        <v>0</v>
      </c>
      <c r="G704" s="301">
        <f t="shared" si="228"/>
        <v>671.8350341556561</v>
      </c>
      <c r="H704" s="301">
        <f t="shared" si="229"/>
        <v>14859.223529411765</v>
      </c>
      <c r="I704" s="301">
        <f t="shared" si="230"/>
        <v>1133.1613332983191</v>
      </c>
      <c r="J704" s="301">
        <f t="shared" si="230"/>
        <v>959.08650352941174</v>
      </c>
      <c r="K704" s="301">
        <f t="shared" si="231"/>
        <v>54716.849907453987</v>
      </c>
      <c r="L704" s="301">
        <f>K704*0.15</f>
        <v>8207.5274861180969</v>
      </c>
      <c r="M704" s="315">
        <f t="shared" si="232"/>
        <v>62924.377393572082</v>
      </c>
      <c r="N704" s="301"/>
      <c r="O704" s="301">
        <f t="shared" si="233"/>
        <v>1019.8075113122172</v>
      </c>
    </row>
    <row r="705" spans="1:15" s="345" customFormat="1">
      <c r="A705" s="1036"/>
      <c r="B705" s="1035"/>
      <c r="C705" s="1036"/>
      <c r="D705" s="298">
        <v>5</v>
      </c>
      <c r="E705" s="301">
        <f t="shared" si="228"/>
        <v>37843.194026000012</v>
      </c>
      <c r="F705" s="301">
        <f t="shared" si="228"/>
        <v>0</v>
      </c>
      <c r="G705" s="301">
        <f t="shared" si="228"/>
        <v>703.35452378461537</v>
      </c>
      <c r="H705" s="301">
        <f t="shared" si="229"/>
        <v>14585.880000000001</v>
      </c>
      <c r="I705" s="301">
        <f t="shared" si="230"/>
        <v>1230.3745827142855</v>
      </c>
      <c r="J705" s="301">
        <f t="shared" si="230"/>
        <v>1001.45514</v>
      </c>
      <c r="K705" s="301">
        <f t="shared" si="231"/>
        <v>55364.258272498912</v>
      </c>
      <c r="L705" s="301">
        <f>K705*0.15</f>
        <v>8304.638740874836</v>
      </c>
      <c r="M705" s="315">
        <f t="shared" si="232"/>
        <v>63668.897013373746</v>
      </c>
      <c r="N705" s="301"/>
      <c r="O705" s="301">
        <f t="shared" si="233"/>
        <v>1031.9675384615384</v>
      </c>
    </row>
    <row r="706" spans="1:15" s="345" customFormat="1" ht="13.5">
      <c r="A706" s="298" t="s">
        <v>504</v>
      </c>
      <c r="B706" s="340" t="s">
        <v>424</v>
      </c>
      <c r="C706" s="298"/>
      <c r="D706" s="298"/>
      <c r="E706" s="301"/>
      <c r="F706" s="301"/>
      <c r="G706" s="301"/>
      <c r="H706" s="301"/>
      <c r="I706" s="301"/>
      <c r="J706" s="301"/>
      <c r="K706" s="301"/>
      <c r="L706" s="301"/>
      <c r="M706" s="315"/>
      <c r="N706" s="301"/>
      <c r="O706" s="301"/>
    </row>
    <row r="707" spans="1:15" s="345" customFormat="1" ht="13.15" customHeight="1">
      <c r="A707" s="1029"/>
      <c r="B707" s="1035" t="s">
        <v>330</v>
      </c>
      <c r="C707" s="1036" t="s">
        <v>49</v>
      </c>
      <c r="D707" s="298">
        <v>1</v>
      </c>
      <c r="E707" s="301">
        <f t="shared" ref="E707:G716" si="234">E673*0.8</f>
        <v>115757.92085000002</v>
      </c>
      <c r="F707" s="301">
        <f t="shared" si="234"/>
        <v>6185.3846153846162</v>
      </c>
      <c r="G707" s="301">
        <f t="shared" si="234"/>
        <v>776.18661538461538</v>
      </c>
      <c r="H707" s="301">
        <f t="shared" ref="H707:H716" si="235">H673</f>
        <v>119143.94782608697</v>
      </c>
      <c r="I707" s="301">
        <f t="shared" ref="I707:J716" si="236">I673*0.8</f>
        <v>1931.7634285714284</v>
      </c>
      <c r="J707" s="301">
        <f t="shared" si="236"/>
        <v>17.986079999999998</v>
      </c>
      <c r="K707" s="301">
        <f t="shared" ref="K707:K716" si="237">SUM(E707:J707)</f>
        <v>243813.18941542765</v>
      </c>
      <c r="L707" s="301">
        <f>K707*0.25</f>
        <v>60953.297353856913</v>
      </c>
      <c r="M707" s="315">
        <f t="shared" ref="M707:M716" si="238">K707+L707</f>
        <v>304766.48676928459</v>
      </c>
      <c r="N707" s="301">
        <f>M707+M712</f>
        <v>348822.73944787367</v>
      </c>
      <c r="O707" s="301">
        <f t="shared" ref="O707:O716" si="239">O673*0.8</f>
        <v>3287.7730769230766</v>
      </c>
    </row>
    <row r="708" spans="1:15" s="345" customFormat="1" ht="13.15" customHeight="1">
      <c r="A708" s="1030"/>
      <c r="B708" s="1035"/>
      <c r="C708" s="1036"/>
      <c r="D708" s="298">
        <v>2</v>
      </c>
      <c r="E708" s="301">
        <f t="shared" si="234"/>
        <v>138309.53172584274</v>
      </c>
      <c r="F708" s="301">
        <f t="shared" si="234"/>
        <v>7437.0153846153862</v>
      </c>
      <c r="G708" s="301">
        <f t="shared" si="234"/>
        <v>958.58878637280327</v>
      </c>
      <c r="H708" s="301">
        <f t="shared" si="235"/>
        <v>92783.420224719113</v>
      </c>
      <c r="I708" s="301">
        <f t="shared" si="236"/>
        <v>2412.1348571428575</v>
      </c>
      <c r="J708" s="301">
        <f t="shared" si="236"/>
        <v>22.794240000000002</v>
      </c>
      <c r="K708" s="301">
        <f t="shared" si="237"/>
        <v>241923.48521869289</v>
      </c>
      <c r="L708" s="301">
        <f>K708*0.25</f>
        <v>60480.871304673223</v>
      </c>
      <c r="M708" s="315">
        <f t="shared" si="238"/>
        <v>302404.35652336612</v>
      </c>
      <c r="N708" s="301">
        <f>M708+M713</f>
        <v>346592.30050804268</v>
      </c>
      <c r="O708" s="301">
        <f t="shared" si="239"/>
        <v>3926.3325842696631</v>
      </c>
    </row>
    <row r="709" spans="1:15" s="345" customFormat="1" ht="13.15" customHeight="1">
      <c r="A709" s="1030"/>
      <c r="B709" s="1035"/>
      <c r="C709" s="1036"/>
      <c r="D709" s="298">
        <v>3</v>
      </c>
      <c r="E709" s="301">
        <f t="shared" si="234"/>
        <v>166107.25212844042</v>
      </c>
      <c r="F709" s="301">
        <f t="shared" si="234"/>
        <v>8906.9538461538486</v>
      </c>
      <c r="G709" s="301">
        <f t="shared" si="234"/>
        <v>1268.2900109778093</v>
      </c>
      <c r="H709" s="301">
        <f t="shared" si="235"/>
        <v>76096.480733944962</v>
      </c>
      <c r="I709" s="301">
        <f t="shared" si="236"/>
        <v>3210.5897142857148</v>
      </c>
      <c r="J709" s="301">
        <f t="shared" si="236"/>
        <v>30.451680000000007</v>
      </c>
      <c r="K709" s="301">
        <f t="shared" si="237"/>
        <v>255620.01811380274</v>
      </c>
      <c r="L709" s="301">
        <f>K709*0.25</f>
        <v>63905.004528450685</v>
      </c>
      <c r="M709" s="315">
        <f t="shared" si="238"/>
        <v>319525.02264225343</v>
      </c>
      <c r="N709" s="301">
        <f>M709+M714</f>
        <v>364916.86766152218</v>
      </c>
      <c r="O709" s="301">
        <f t="shared" si="239"/>
        <v>4713.9774170783339</v>
      </c>
    </row>
    <row r="710" spans="1:15" s="345" customFormat="1" ht="13.15" customHeight="1">
      <c r="A710" s="1030"/>
      <c r="B710" s="1035"/>
      <c r="C710" s="1036"/>
      <c r="D710" s="298">
        <v>4</v>
      </c>
      <c r="E710" s="301">
        <f t="shared" si="234"/>
        <v>216609.0611558824</v>
      </c>
      <c r="F710" s="301">
        <f t="shared" si="234"/>
        <v>10697.076923076924</v>
      </c>
      <c r="G710" s="301">
        <f t="shared" si="234"/>
        <v>1842.4354954751134</v>
      </c>
      <c r="H710" s="301">
        <f t="shared" si="235"/>
        <v>239898.42352941178</v>
      </c>
      <c r="I710" s="301">
        <f t="shared" si="236"/>
        <v>4343.8982857142855</v>
      </c>
      <c r="J710" s="301">
        <f t="shared" si="236"/>
        <v>40.602240000000009</v>
      </c>
      <c r="K710" s="301">
        <f t="shared" si="237"/>
        <v>473431.49762956047</v>
      </c>
      <c r="L710" s="301">
        <f>K710*0.25</f>
        <v>118357.87440739012</v>
      </c>
      <c r="M710" s="315">
        <f t="shared" si="238"/>
        <v>591789.37203695055</v>
      </c>
      <c r="N710" s="301">
        <f>M710+M715</f>
        <v>649620.83050443942</v>
      </c>
      <c r="O710" s="301">
        <f t="shared" si="239"/>
        <v>6179.2101809954738</v>
      </c>
    </row>
    <row r="711" spans="1:15" s="345" customFormat="1" ht="13.15" customHeight="1">
      <c r="A711" s="1031"/>
      <c r="B711" s="1035"/>
      <c r="C711" s="1036"/>
      <c r="D711" s="298">
        <v>5</v>
      </c>
      <c r="E711" s="301">
        <f t="shared" si="234"/>
        <v>256263.06075333338</v>
      </c>
      <c r="F711" s="301">
        <f t="shared" si="234"/>
        <v>12836.49230769231</v>
      </c>
      <c r="G711" s="301">
        <f t="shared" si="234"/>
        <v>2328.3621866096869</v>
      </c>
      <c r="H711" s="301">
        <f t="shared" si="235"/>
        <v>181706.26666666666</v>
      </c>
      <c r="I711" s="301">
        <f t="shared" si="236"/>
        <v>5618.2165714285711</v>
      </c>
      <c r="J711" s="301">
        <f t="shared" si="236"/>
        <v>53.245919999999991</v>
      </c>
      <c r="K711" s="301">
        <f t="shared" si="237"/>
        <v>458805.64440573065</v>
      </c>
      <c r="L711" s="301">
        <f>K711*0.25</f>
        <v>114701.41110143266</v>
      </c>
      <c r="M711" s="315">
        <f t="shared" si="238"/>
        <v>573507.05550716328</v>
      </c>
      <c r="N711" s="301">
        <f>M711+M716</f>
        <v>631965.38196349551</v>
      </c>
      <c r="O711" s="301">
        <f t="shared" si="239"/>
        <v>7301.0610256410255</v>
      </c>
    </row>
    <row r="712" spans="1:15" s="345" customFormat="1" ht="13.15" customHeight="1">
      <c r="A712" s="1029"/>
      <c r="B712" s="1035" t="s">
        <v>331</v>
      </c>
      <c r="C712" s="1036" t="s">
        <v>49</v>
      </c>
      <c r="D712" s="298" t="s">
        <v>18</v>
      </c>
      <c r="E712" s="301">
        <f t="shared" si="234"/>
        <v>22568.884506666673</v>
      </c>
      <c r="F712" s="301">
        <f t="shared" si="234"/>
        <v>0</v>
      </c>
      <c r="G712" s="301">
        <f t="shared" si="234"/>
        <v>389.28114179591233</v>
      </c>
      <c r="H712" s="301">
        <f t="shared" si="235"/>
        <v>14292.008695652174</v>
      </c>
      <c r="I712" s="301">
        <f t="shared" si="236"/>
        <v>435.09435726708074</v>
      </c>
      <c r="J712" s="301">
        <f t="shared" si="236"/>
        <v>624.51623652173919</v>
      </c>
      <c r="K712" s="301">
        <f t="shared" si="237"/>
        <v>38309.784937903576</v>
      </c>
      <c r="L712" s="301">
        <f>K712*0.15</f>
        <v>5746.4677406855362</v>
      </c>
      <c r="M712" s="315">
        <f t="shared" si="238"/>
        <v>44056.25267858911</v>
      </c>
      <c r="N712" s="301"/>
      <c r="O712" s="301">
        <f t="shared" si="239"/>
        <v>626.98871794871798</v>
      </c>
    </row>
    <row r="713" spans="1:15" s="345" customFormat="1" ht="13.15" customHeight="1">
      <c r="A713" s="1030"/>
      <c r="B713" s="1035"/>
      <c r="C713" s="1036"/>
      <c r="D713" s="298">
        <v>2</v>
      </c>
      <c r="E713" s="301">
        <f t="shared" si="234"/>
        <v>22856.859391460679</v>
      </c>
      <c r="F713" s="301">
        <f t="shared" si="234"/>
        <v>0</v>
      </c>
      <c r="G713" s="301">
        <f t="shared" si="234"/>
        <v>400.70669229463169</v>
      </c>
      <c r="H713" s="301">
        <f t="shared" si="235"/>
        <v>14168.186516853933</v>
      </c>
      <c r="I713" s="301">
        <f t="shared" si="236"/>
        <v>383.67229268057787</v>
      </c>
      <c r="J713" s="301">
        <f t="shared" si="236"/>
        <v>614.87422382022476</v>
      </c>
      <c r="K713" s="301">
        <f t="shared" si="237"/>
        <v>38424.299117110051</v>
      </c>
      <c r="L713" s="301">
        <f>K713*0.15</f>
        <v>5763.6448675665079</v>
      </c>
      <c r="M713" s="315">
        <f t="shared" si="238"/>
        <v>44187.94398467656</v>
      </c>
      <c r="N713" s="301"/>
      <c r="O713" s="301">
        <f t="shared" si="239"/>
        <v>632.09327571305096</v>
      </c>
    </row>
    <row r="714" spans="1:15" s="345" customFormat="1" ht="13.15" customHeight="1">
      <c r="A714" s="1030"/>
      <c r="B714" s="1035"/>
      <c r="C714" s="1036"/>
      <c r="D714" s="298">
        <v>3</v>
      </c>
      <c r="E714" s="301">
        <f t="shared" si="234"/>
        <v>23955.618348623859</v>
      </c>
      <c r="F714" s="301">
        <f t="shared" si="234"/>
        <v>0</v>
      </c>
      <c r="G714" s="301">
        <f t="shared" si="234"/>
        <v>429.76137064910222</v>
      </c>
      <c r="H714" s="301">
        <f t="shared" si="235"/>
        <v>14089.80366972477</v>
      </c>
      <c r="I714" s="301">
        <f t="shared" si="236"/>
        <v>370.16079260812586</v>
      </c>
      <c r="J714" s="301">
        <f t="shared" si="236"/>
        <v>625.82540036697264</v>
      </c>
      <c r="K714" s="301">
        <f t="shared" si="237"/>
        <v>39471.169581972827</v>
      </c>
      <c r="L714" s="301">
        <f>K714*0.15</f>
        <v>5920.675437295924</v>
      </c>
      <c r="M714" s="315">
        <f t="shared" si="238"/>
        <v>45391.845019268752</v>
      </c>
      <c r="N714" s="301"/>
      <c r="O714" s="301">
        <f t="shared" si="239"/>
        <v>658.19280169371916</v>
      </c>
    </row>
    <row r="715" spans="1:15" s="345" customFormat="1" ht="13.15" customHeight="1">
      <c r="A715" s="1030"/>
      <c r="B715" s="1035"/>
      <c r="C715" s="1036"/>
      <c r="D715" s="298">
        <v>4</v>
      </c>
      <c r="E715" s="301">
        <f t="shared" si="234"/>
        <v>32972.038672941184</v>
      </c>
      <c r="F715" s="301">
        <f t="shared" si="234"/>
        <v>0</v>
      </c>
      <c r="G715" s="301">
        <f t="shared" si="234"/>
        <v>597.18669702724981</v>
      </c>
      <c r="H715" s="301">
        <f t="shared" si="235"/>
        <v>14859.223529411765</v>
      </c>
      <c r="I715" s="301">
        <f t="shared" si="236"/>
        <v>1007.2545184873948</v>
      </c>
      <c r="J715" s="301">
        <f t="shared" si="236"/>
        <v>852.52133647058827</v>
      </c>
      <c r="K715" s="301">
        <f t="shared" si="237"/>
        <v>50288.224754338182</v>
      </c>
      <c r="L715" s="301">
        <f>K715*0.15</f>
        <v>7543.2337131507265</v>
      </c>
      <c r="M715" s="315">
        <f t="shared" si="238"/>
        <v>57831.458467488905</v>
      </c>
      <c r="N715" s="301"/>
      <c r="O715" s="301">
        <f t="shared" si="239"/>
        <v>906.49556561085979</v>
      </c>
    </row>
    <row r="716" spans="1:15" s="345" customFormat="1" ht="13.15" customHeight="1">
      <c r="A716" s="1031"/>
      <c r="B716" s="1035"/>
      <c r="C716" s="1036"/>
      <c r="D716" s="298">
        <v>5</v>
      </c>
      <c r="E716" s="301">
        <f t="shared" si="234"/>
        <v>33638.394689777786</v>
      </c>
      <c r="F716" s="301">
        <f t="shared" si="234"/>
        <v>0</v>
      </c>
      <c r="G716" s="301">
        <f t="shared" si="234"/>
        <v>625.20402114188028</v>
      </c>
      <c r="H716" s="301">
        <f t="shared" si="235"/>
        <v>14585.880000000001</v>
      </c>
      <c r="I716" s="301">
        <f t="shared" si="236"/>
        <v>1093.6662957460314</v>
      </c>
      <c r="J716" s="301">
        <f t="shared" si="236"/>
        <v>890.18234666666672</v>
      </c>
      <c r="K716" s="301">
        <f t="shared" si="237"/>
        <v>50833.327353332359</v>
      </c>
      <c r="L716" s="301">
        <f>K716*0.15</f>
        <v>7624.9991029998537</v>
      </c>
      <c r="M716" s="315">
        <f t="shared" si="238"/>
        <v>58458.326456332215</v>
      </c>
      <c r="N716" s="301"/>
      <c r="O716" s="301">
        <f t="shared" si="239"/>
        <v>917.30447863247866</v>
      </c>
    </row>
    <row r="717" spans="1:15" s="308" customFormat="1" ht="12.75" customHeight="1">
      <c r="A717" s="298" t="s">
        <v>492</v>
      </c>
      <c r="B717" s="340" t="s">
        <v>491</v>
      </c>
      <c r="C717" s="298"/>
      <c r="D717" s="298"/>
      <c r="E717" s="301"/>
      <c r="F717" s="301"/>
      <c r="G717" s="301"/>
      <c r="H717" s="301"/>
      <c r="I717" s="301"/>
      <c r="J717" s="301"/>
      <c r="K717" s="301"/>
      <c r="L717" s="301"/>
      <c r="M717" s="315"/>
      <c r="N717" s="301"/>
      <c r="O717" s="301"/>
    </row>
    <row r="718" spans="1:15" s="345" customFormat="1" ht="13.15" customHeight="1">
      <c r="A718" s="316"/>
      <c r="B718" s="1035" t="s">
        <v>192</v>
      </c>
      <c r="C718" s="1036" t="s">
        <v>49</v>
      </c>
      <c r="D718" s="298" t="s">
        <v>18</v>
      </c>
      <c r="E718" s="301">
        <f>E$750/100+(E$752+E$753)/$C678</f>
        <v>10900.785133333336</v>
      </c>
      <c r="F718" s="301"/>
      <c r="G718" s="301">
        <f t="shared" ref="G718:J722" si="240">G673</f>
        <v>970.23326923076922</v>
      </c>
      <c r="H718" s="301">
        <f t="shared" si="240"/>
        <v>119143.94782608697</v>
      </c>
      <c r="I718" s="301">
        <f t="shared" si="240"/>
        <v>2414.7042857142856</v>
      </c>
      <c r="J718" s="301">
        <f t="shared" si="240"/>
        <v>22.482599999999998</v>
      </c>
      <c r="K718" s="301">
        <f>SUM(E718:J718)</f>
        <v>133452.15311436536</v>
      </c>
      <c r="L718" s="301">
        <f>K718*0.15</f>
        <v>20017.822967154803</v>
      </c>
      <c r="M718" s="315">
        <f>K718+L718</f>
        <v>153469.97608152014</v>
      </c>
      <c r="N718" s="301">
        <f>M718</f>
        <v>153469.97608152014</v>
      </c>
      <c r="O718" s="301">
        <f>O$750/100+(O$752+O$753)/$C678</f>
        <v>308.62051282051283</v>
      </c>
    </row>
    <row r="719" spans="1:15" s="345" customFormat="1" ht="13.15" customHeight="1">
      <c r="A719" s="316"/>
      <c r="B719" s="1035"/>
      <c r="C719" s="1036"/>
      <c r="D719" s="298" t="s">
        <v>20</v>
      </c>
      <c r="E719" s="301">
        <f>E$750/100+(E$752+E$753)/$C679</f>
        <v>10768.252519101126</v>
      </c>
      <c r="F719" s="301"/>
      <c r="G719" s="301">
        <f t="shared" si="240"/>
        <v>1198.235982966004</v>
      </c>
      <c r="H719" s="301">
        <f t="shared" si="240"/>
        <v>92783.420224719113</v>
      </c>
      <c r="I719" s="301">
        <f t="shared" si="240"/>
        <v>3015.1685714285718</v>
      </c>
      <c r="J719" s="301">
        <f t="shared" si="240"/>
        <v>28.492799999999999</v>
      </c>
      <c r="K719" s="301">
        <f>SUM(E719:J719)</f>
        <v>107793.57009821483</v>
      </c>
      <c r="L719" s="301">
        <f>K719*0.15</f>
        <v>16169.035514732223</v>
      </c>
      <c r="M719" s="315">
        <f>K719+L719</f>
        <v>123962.60561294705</v>
      </c>
      <c r="N719" s="301">
        <f>M719</f>
        <v>123962.60561294705</v>
      </c>
      <c r="O719" s="301">
        <f>O$750/100+(O$752+O$753)/$C679</f>
        <v>304.86828003457214</v>
      </c>
    </row>
    <row r="720" spans="1:15" s="345" customFormat="1" ht="13.15" customHeight="1">
      <c r="A720" s="316"/>
      <c r="B720" s="1035"/>
      <c r="C720" s="1036"/>
      <c r="D720" s="298" t="s">
        <v>35</v>
      </c>
      <c r="E720" s="301">
        <f>E$750/100+(E$752+E$753)/$C680</f>
        <v>10684.355726605507</v>
      </c>
      <c r="F720" s="301"/>
      <c r="G720" s="301">
        <f t="shared" si="240"/>
        <v>1585.3625137222616</v>
      </c>
      <c r="H720" s="301">
        <f t="shared" si="240"/>
        <v>76096.480733944962</v>
      </c>
      <c r="I720" s="301">
        <f t="shared" si="240"/>
        <v>4013.2371428571432</v>
      </c>
      <c r="J720" s="301">
        <f t="shared" si="240"/>
        <v>38.064600000000006</v>
      </c>
      <c r="K720" s="301">
        <f>SUM(E720:J720)</f>
        <v>92417.500717129878</v>
      </c>
      <c r="L720" s="301">
        <f>K720*0.15</f>
        <v>13862.625107569482</v>
      </c>
      <c r="M720" s="315">
        <f>K720+L720</f>
        <v>106280.12582469935</v>
      </c>
      <c r="N720" s="301">
        <f>M720</f>
        <v>106280.12582469935</v>
      </c>
      <c r="O720" s="301">
        <f>O$750/100+(O$752+O$753)/$C680</f>
        <v>302.49301340860973</v>
      </c>
    </row>
    <row r="721" spans="1:15" s="345" customFormat="1" ht="13.15" customHeight="1">
      <c r="A721" s="316"/>
      <c r="B721" s="1035"/>
      <c r="C721" s="1036"/>
      <c r="D721" s="298" t="s">
        <v>33</v>
      </c>
      <c r="E721" s="301">
        <f>E$750/100+(E$752+E$753)/$C681</f>
        <v>11507.901447058826</v>
      </c>
      <c r="F721" s="301"/>
      <c r="G721" s="301">
        <f t="shared" si="240"/>
        <v>2303.0443693438915</v>
      </c>
      <c r="H721" s="301">
        <f t="shared" si="240"/>
        <v>239898.42352941178</v>
      </c>
      <c r="I721" s="301">
        <f t="shared" si="240"/>
        <v>5429.8728571428564</v>
      </c>
      <c r="J721" s="301">
        <f t="shared" si="240"/>
        <v>50.752800000000008</v>
      </c>
      <c r="K721" s="301">
        <f>SUM(E721:J721)</f>
        <v>259189.99500295735</v>
      </c>
      <c r="L721" s="301">
        <f>K721*0.15</f>
        <v>38878.499250443601</v>
      </c>
      <c r="M721" s="315">
        <f>K721+L721</f>
        <v>298068.49425340095</v>
      </c>
      <c r="N721" s="301">
        <f>M721</f>
        <v>298068.49425340095</v>
      </c>
      <c r="O721" s="301">
        <f>O$750/100+(O$752+O$753)/$C681</f>
        <v>325.80904977375565</v>
      </c>
    </row>
    <row r="722" spans="1:15" s="345" customFormat="1" ht="13.15" customHeight="1">
      <c r="A722" s="316"/>
      <c r="B722" s="1035"/>
      <c r="C722" s="1036"/>
      <c r="D722" s="298">
        <v>5</v>
      </c>
      <c r="E722" s="301">
        <f>E$750/100+(E$752+E$753)/$C682</f>
        <v>11215.329204444448</v>
      </c>
      <c r="F722" s="301"/>
      <c r="G722" s="301">
        <f t="shared" si="240"/>
        <v>2910.4527332621083</v>
      </c>
      <c r="H722" s="301">
        <f t="shared" si="240"/>
        <v>181706.26666666666</v>
      </c>
      <c r="I722" s="301">
        <f t="shared" si="240"/>
        <v>7022.7707142857134</v>
      </c>
      <c r="J722" s="301">
        <f t="shared" si="240"/>
        <v>66.557399999999987</v>
      </c>
      <c r="K722" s="301">
        <f>SUM(E722:J722)</f>
        <v>202921.37671865892</v>
      </c>
      <c r="L722" s="301">
        <f>K722*0.15</f>
        <v>30438.206507798837</v>
      </c>
      <c r="M722" s="315">
        <f>K722+L722</f>
        <v>233359.58322645776</v>
      </c>
      <c r="N722" s="301">
        <f>M722</f>
        <v>233359.58322645776</v>
      </c>
      <c r="O722" s="301">
        <f>O$750/100+(O$752+O$753)/$C682</f>
        <v>317.52581196581195</v>
      </c>
    </row>
    <row r="723" spans="1:15" s="345" customFormat="1">
      <c r="A723" s="298">
        <v>1</v>
      </c>
      <c r="B723" s="316" t="s">
        <v>190</v>
      </c>
      <c r="C723" s="333"/>
      <c r="D723" s="333"/>
      <c r="E723" s="301"/>
      <c r="F723" s="301"/>
      <c r="G723" s="301"/>
      <c r="H723" s="301"/>
      <c r="I723" s="301"/>
      <c r="J723" s="301"/>
      <c r="K723" s="301"/>
      <c r="L723" s="301"/>
      <c r="M723" s="302"/>
      <c r="N723" s="301"/>
      <c r="O723" s="301"/>
    </row>
    <row r="724" spans="1:15" s="345" customFormat="1">
      <c r="A724" s="1043">
        <v>1.1000000000000001</v>
      </c>
      <c r="B724" s="1038" t="str">
        <f>NhanCong!B$150</f>
        <v>Đối soát thực địa (công nhóm/mảnh)</v>
      </c>
      <c r="C724" s="1039" t="s">
        <v>317</v>
      </c>
      <c r="D724" s="319" t="s">
        <v>18</v>
      </c>
      <c r="E724" s="301">
        <f>NhanCong!Q$150</f>
        <v>211938.22650000002</v>
      </c>
      <c r="F724" s="301"/>
      <c r="G724" s="320">
        <f>Dcu!O$200</f>
        <v>1787.7192307692308</v>
      </c>
      <c r="H724" s="320">
        <f>VLieu!F$133</f>
        <v>4047000</v>
      </c>
      <c r="I724" s="320"/>
      <c r="J724" s="320"/>
      <c r="K724" s="320">
        <f t="shared" ref="K724:K733" si="241">SUM(E724:J724)</f>
        <v>4260725.9457307691</v>
      </c>
      <c r="L724" s="320">
        <f>K724*0.25</f>
        <v>1065181.4864326923</v>
      </c>
      <c r="M724" s="321">
        <f t="shared" ref="M724:M733" si="242">K724+L724</f>
        <v>5325907.4321634611</v>
      </c>
      <c r="N724" s="320"/>
      <c r="O724" s="320">
        <f>NhanCong!R$150</f>
        <v>6451.5</v>
      </c>
    </row>
    <row r="725" spans="1:15" s="345" customFormat="1">
      <c r="A725" s="1043"/>
      <c r="B725" s="1038"/>
      <c r="C725" s="1039"/>
      <c r="D725" s="319" t="s">
        <v>20</v>
      </c>
      <c r="E725" s="301">
        <f>NhanCong!Q$151</f>
        <v>275551.66100000002</v>
      </c>
      <c r="F725" s="301"/>
      <c r="G725" s="320">
        <f>Dcu!O$201</f>
        <v>2234.6490384615386</v>
      </c>
      <c r="H725" s="320">
        <f>VLieu!F$133</f>
        <v>4047000</v>
      </c>
      <c r="I725" s="320"/>
      <c r="J725" s="320"/>
      <c r="K725" s="320">
        <f t="shared" si="241"/>
        <v>4324786.3100384613</v>
      </c>
      <c r="L725" s="320">
        <f t="shared" ref="L725:L738" si="243">K725*0.25</f>
        <v>1081196.5775096153</v>
      </c>
      <c r="M725" s="321">
        <f t="shared" si="242"/>
        <v>5405982.8875480769</v>
      </c>
      <c r="N725" s="320"/>
      <c r="O725" s="320">
        <f>NhanCong!R$151</f>
        <v>8387.9230769230762</v>
      </c>
    </row>
    <row r="726" spans="1:15" s="345" customFormat="1">
      <c r="A726" s="1043"/>
      <c r="B726" s="1038"/>
      <c r="C726" s="1039"/>
      <c r="D726" s="319" t="s">
        <v>35</v>
      </c>
      <c r="E726" s="301">
        <f>NhanCong!Q$152</f>
        <v>358025.3600000001</v>
      </c>
      <c r="F726" s="301"/>
      <c r="G726" s="320">
        <f>Dcu!O$202</f>
        <v>2979.5320512820513</v>
      </c>
      <c r="H726" s="320">
        <f>VLieu!F$133</f>
        <v>4047000</v>
      </c>
      <c r="I726" s="320"/>
      <c r="J726" s="320"/>
      <c r="K726" s="320">
        <f t="shared" si="241"/>
        <v>4408004.8920512823</v>
      </c>
      <c r="L726" s="320">
        <f t="shared" si="243"/>
        <v>1102001.2230128206</v>
      </c>
      <c r="M726" s="321">
        <f t="shared" si="242"/>
        <v>5510006.1150641032</v>
      </c>
      <c r="N726" s="320"/>
      <c r="O726" s="320">
        <f>NhanCong!R$152</f>
        <v>10898.461538461537</v>
      </c>
    </row>
    <row r="727" spans="1:15" s="345" customFormat="1">
      <c r="A727" s="1043"/>
      <c r="B727" s="1038"/>
      <c r="C727" s="1039"/>
      <c r="D727" s="319" t="s">
        <v>33</v>
      </c>
      <c r="E727" s="301">
        <f>NhanCong!Q$153</f>
        <v>465432.96800000005</v>
      </c>
      <c r="F727" s="301"/>
      <c r="G727" s="320">
        <f>Dcu!O$203</f>
        <v>4022.3682692307693</v>
      </c>
      <c r="H727" s="320">
        <f>VLieu!F$133</f>
        <v>4047000</v>
      </c>
      <c r="I727" s="320"/>
      <c r="J727" s="320"/>
      <c r="K727" s="320">
        <f t="shared" si="241"/>
        <v>4516455.3362692306</v>
      </c>
      <c r="L727" s="320">
        <f t="shared" si="243"/>
        <v>1129113.8340673076</v>
      </c>
      <c r="M727" s="321">
        <f t="shared" si="242"/>
        <v>5645569.170336538</v>
      </c>
      <c r="N727" s="320"/>
      <c r="O727" s="320">
        <f>NhanCong!R$153</f>
        <v>14168</v>
      </c>
    </row>
    <row r="728" spans="1:15" s="345" customFormat="1">
      <c r="A728" s="1043"/>
      <c r="B728" s="1038"/>
      <c r="C728" s="1039"/>
      <c r="D728" s="319" t="s">
        <v>13</v>
      </c>
      <c r="E728" s="301">
        <f>NhanCong!Q$154</f>
        <v>605126.79150000005</v>
      </c>
      <c r="F728" s="301"/>
      <c r="G728" s="320">
        <f>Dcu!O$204</f>
        <v>5214.1810897435898</v>
      </c>
      <c r="H728" s="320">
        <f>VLieu!F$133</f>
        <v>4047000</v>
      </c>
      <c r="I728" s="320"/>
      <c r="J728" s="320"/>
      <c r="K728" s="320">
        <f t="shared" si="241"/>
        <v>4657340.9725897433</v>
      </c>
      <c r="L728" s="320">
        <f t="shared" si="243"/>
        <v>1164335.2431474358</v>
      </c>
      <c r="M728" s="321">
        <f t="shared" si="242"/>
        <v>5821676.2157371789</v>
      </c>
      <c r="N728" s="320"/>
      <c r="O728" s="320">
        <f>NhanCong!R$154</f>
        <v>18420.346153846152</v>
      </c>
    </row>
    <row r="729" spans="1:15" s="345" customFormat="1" ht="12.75" customHeight="1">
      <c r="A729" s="1043">
        <v>1.2</v>
      </c>
      <c r="B729" s="1038" t="str">
        <f>NhanCong!B$156</f>
        <v>Lưới đo vẽ (công nhóm/100 thửa có biến động cần chỉnh lý)</v>
      </c>
      <c r="C729" s="1040" t="s">
        <v>329</v>
      </c>
      <c r="D729" s="319" t="s">
        <v>18</v>
      </c>
      <c r="E729" s="301">
        <f>NhanCong!Q$156</f>
        <v>773326.12500000023</v>
      </c>
      <c r="F729" s="301"/>
      <c r="G729" s="320">
        <f>Dcu!O$222</f>
        <v>11661.493589743588</v>
      </c>
      <c r="H729" s="320">
        <f>VLieu!M$135</f>
        <v>8760</v>
      </c>
      <c r="I729" s="320">
        <f>TBi!N$317</f>
        <v>12475.857142857143</v>
      </c>
      <c r="J729" s="320">
        <f>TBi!N$321</f>
        <v>133.56</v>
      </c>
      <c r="K729" s="320">
        <f t="shared" si="241"/>
        <v>806357.03573260107</v>
      </c>
      <c r="L729" s="320">
        <f t="shared" si="243"/>
        <v>201589.25893315027</v>
      </c>
      <c r="M729" s="321">
        <f t="shared" si="242"/>
        <v>1007946.2946657513</v>
      </c>
      <c r="N729" s="320"/>
      <c r="O729" s="320">
        <f>NhanCong!R$156</f>
        <v>21894.230769230766</v>
      </c>
    </row>
    <row r="730" spans="1:15" s="345" customFormat="1">
      <c r="A730" s="1043"/>
      <c r="B730" s="1038"/>
      <c r="C730" s="1039" t="s">
        <v>49</v>
      </c>
      <c r="D730" s="319" t="s">
        <v>20</v>
      </c>
      <c r="E730" s="301">
        <f>NhanCong!Q$157</f>
        <v>966657.65625000023</v>
      </c>
      <c r="F730" s="301"/>
      <c r="G730" s="320">
        <f>Dcu!O$223</f>
        <v>14576.866987179486</v>
      </c>
      <c r="H730" s="320">
        <f>VLieu!M$135</f>
        <v>8760</v>
      </c>
      <c r="I730" s="320">
        <f>TBi!O$317</f>
        <v>15293.357142857143</v>
      </c>
      <c r="J730" s="320">
        <f>TBi!O$321</f>
        <v>133.56</v>
      </c>
      <c r="K730" s="320">
        <f t="shared" si="241"/>
        <v>1005421.4403800369</v>
      </c>
      <c r="L730" s="320">
        <f t="shared" si="243"/>
        <v>251355.36009500924</v>
      </c>
      <c r="M730" s="321">
        <f t="shared" si="242"/>
        <v>1256776.8004750463</v>
      </c>
      <c r="N730" s="320"/>
      <c r="O730" s="320">
        <f>NhanCong!R$157</f>
        <v>27367.788461538461</v>
      </c>
    </row>
    <row r="731" spans="1:15" s="345" customFormat="1">
      <c r="A731" s="1043"/>
      <c r="B731" s="1038"/>
      <c r="C731" s="1039"/>
      <c r="D731" s="319" t="s">
        <v>35</v>
      </c>
      <c r="E731" s="301">
        <f>NhanCong!Q$158</f>
        <v>1288876.8750000002</v>
      </c>
      <c r="F731" s="301"/>
      <c r="G731" s="320">
        <f>Dcu!O$224</f>
        <v>19435.822649572649</v>
      </c>
      <c r="H731" s="320">
        <f>VLieu!M$135</f>
        <v>8760</v>
      </c>
      <c r="I731" s="320">
        <f>TBi!P$317</f>
        <v>20404.285714285714</v>
      </c>
      <c r="J731" s="320">
        <f>TBi!P$321</f>
        <v>200.34</v>
      </c>
      <c r="K731" s="320">
        <f t="shared" si="241"/>
        <v>1337677.3233638587</v>
      </c>
      <c r="L731" s="320">
        <f t="shared" si="243"/>
        <v>334419.33084096469</v>
      </c>
      <c r="M731" s="321">
        <f t="shared" si="242"/>
        <v>1672096.6542048235</v>
      </c>
      <c r="N731" s="320"/>
      <c r="O731" s="320">
        <f>NhanCong!R$158</f>
        <v>36490.384615384617</v>
      </c>
    </row>
    <row r="732" spans="1:15" s="345" customFormat="1">
      <c r="A732" s="1043"/>
      <c r="B732" s="1038"/>
      <c r="C732" s="1039"/>
      <c r="D732" s="319" t="s">
        <v>33</v>
      </c>
      <c r="E732" s="301">
        <f>NhanCong!Q$159</f>
        <v>1739983.7812500005</v>
      </c>
      <c r="F732" s="301"/>
      <c r="G732" s="320">
        <f>Dcu!O$225</f>
        <v>26238.360576923078</v>
      </c>
      <c r="H732" s="320">
        <f>VLieu!M$135</f>
        <v>8760</v>
      </c>
      <c r="I732" s="320">
        <f>TBi!Q$317</f>
        <v>27769.214285714286</v>
      </c>
      <c r="J732" s="320">
        <f>TBi!Q$321</f>
        <v>267.12</v>
      </c>
      <c r="K732" s="320">
        <f t="shared" si="241"/>
        <v>1803018.4761126379</v>
      </c>
      <c r="L732" s="320">
        <f t="shared" si="243"/>
        <v>450754.61902815948</v>
      </c>
      <c r="M732" s="321">
        <f t="shared" si="242"/>
        <v>2253773.0951407976</v>
      </c>
      <c r="N732" s="320"/>
      <c r="O732" s="320">
        <f>NhanCong!R$159</f>
        <v>49262.019230769234</v>
      </c>
    </row>
    <row r="733" spans="1:15" s="345" customFormat="1">
      <c r="A733" s="1043"/>
      <c r="B733" s="1038"/>
      <c r="C733" s="1039"/>
      <c r="D733" s="319" t="s">
        <v>13</v>
      </c>
      <c r="E733" s="301">
        <f>NhanCong!Q$160</f>
        <v>2234053.2500000009</v>
      </c>
      <c r="F733" s="301"/>
      <c r="G733" s="320">
        <f>Dcu!O$226</f>
        <v>34012.689636752133</v>
      </c>
      <c r="H733" s="320">
        <f>VLieu!M$135</f>
        <v>8760</v>
      </c>
      <c r="I733" s="320">
        <f>TBi!R$317</f>
        <v>35134.142857142855</v>
      </c>
      <c r="J733" s="320">
        <f>TBi!R$321</f>
        <v>333.9</v>
      </c>
      <c r="K733" s="320">
        <f t="shared" si="241"/>
        <v>2312293.9824938956</v>
      </c>
      <c r="L733" s="320">
        <f t="shared" si="243"/>
        <v>578073.49562347389</v>
      </c>
      <c r="M733" s="321">
        <f t="shared" si="242"/>
        <v>2890367.4781173696</v>
      </c>
      <c r="N733" s="320"/>
      <c r="O733" s="320">
        <f>NhanCong!R$160</f>
        <v>63250</v>
      </c>
    </row>
    <row r="734" spans="1:15" s="345" customFormat="1" ht="12.75" customHeight="1">
      <c r="A734" s="1043">
        <v>1.3</v>
      </c>
      <c r="B734" s="1038" t="str">
        <f>NhanCong!B$162</f>
        <v>Đo đạc ranh giới thửa đất và các đối tượng địa lý có liên quan (công nhóm/100 thửa có biến động cần chỉnh lý)</v>
      </c>
      <c r="C734" s="1040" t="s">
        <v>329</v>
      </c>
      <c r="D734" s="319" t="s">
        <v>18</v>
      </c>
      <c r="E734" s="301">
        <f>NhanCong!Q$162</f>
        <v>13082100.281250004</v>
      </c>
      <c r="F734" s="301">
        <f>NhanCong!Q$163</f>
        <v>773173.07692307699</v>
      </c>
      <c r="G734" s="320">
        <f>Dcu!O$246</f>
        <v>80180.038461538454</v>
      </c>
      <c r="H734" s="320">
        <f>VLieu!M$145</f>
        <v>175200</v>
      </c>
      <c r="I734" s="320">
        <f>TBi!N$352</f>
        <v>228994.57142857142</v>
      </c>
      <c r="J734" s="320">
        <f>TBi!N$356</f>
        <v>2114.6999999999998</v>
      </c>
      <c r="K734" s="320">
        <f t="shared" ref="K734:K738" si="244">SUM(E734:J734)</f>
        <v>14341762.668063188</v>
      </c>
      <c r="L734" s="320">
        <f t="shared" si="243"/>
        <v>3585440.667015797</v>
      </c>
      <c r="M734" s="321">
        <f t="shared" ref="M734:M738" si="245">K734+L734</f>
        <v>17927203.335078984</v>
      </c>
      <c r="N734" s="320"/>
      <c r="O734" s="320">
        <f>NhanCong!R$162</f>
        <v>370377.40384615381</v>
      </c>
    </row>
    <row r="735" spans="1:15" s="345" customFormat="1">
      <c r="A735" s="1043"/>
      <c r="B735" s="1038"/>
      <c r="C735" s="1039" t="s">
        <v>49</v>
      </c>
      <c r="D735" s="319" t="s">
        <v>20</v>
      </c>
      <c r="E735" s="301">
        <f>NhanCong!Q$164</f>
        <v>15702816.593750004</v>
      </c>
      <c r="F735" s="301">
        <f>NhanCong!Q$165</f>
        <v>929626.92307692324</v>
      </c>
      <c r="G735" s="320">
        <f>Dcu!O$247</f>
        <v>100225.04807692308</v>
      </c>
      <c r="H735" s="320">
        <f>VLieu!M$145</f>
        <v>175200</v>
      </c>
      <c r="I735" s="320">
        <f>TBi!O$352</f>
        <v>286223.5</v>
      </c>
      <c r="J735" s="320">
        <f>TBi!O$356</f>
        <v>2715.72</v>
      </c>
      <c r="K735" s="320">
        <f t="shared" si="244"/>
        <v>17196807.78490385</v>
      </c>
      <c r="L735" s="320">
        <f t="shared" si="243"/>
        <v>4299201.9462259626</v>
      </c>
      <c r="M735" s="321">
        <f t="shared" si="245"/>
        <v>21496009.731129814</v>
      </c>
      <c r="N735" s="320"/>
      <c r="O735" s="320">
        <f>NhanCong!R$164</f>
        <v>444574.51923076925</v>
      </c>
    </row>
    <row r="736" spans="1:15" s="345" customFormat="1">
      <c r="A736" s="1043"/>
      <c r="B736" s="1038"/>
      <c r="C736" s="1039"/>
      <c r="D736" s="319" t="s">
        <v>35</v>
      </c>
      <c r="E736" s="301">
        <f>NhanCong!Q$166</f>
        <v>18817602.375000004</v>
      </c>
      <c r="F736" s="301">
        <f>NhanCong!Q$167</f>
        <v>1113369.230769231</v>
      </c>
      <c r="G736" s="320">
        <f>Dcu!O$248</f>
        <v>133633.39743589744</v>
      </c>
      <c r="H736" s="320">
        <f>VLieu!M$145</f>
        <v>175200</v>
      </c>
      <c r="I736" s="320">
        <f>TBi!P$352</f>
        <v>380919.42857142858</v>
      </c>
      <c r="J736" s="320">
        <f>TBi!P$356</f>
        <v>3606.1200000000003</v>
      </c>
      <c r="K736" s="320">
        <f t="shared" si="244"/>
        <v>20624330.551776562</v>
      </c>
      <c r="L736" s="320">
        <f t="shared" si="243"/>
        <v>5156082.6379441405</v>
      </c>
      <c r="M736" s="321">
        <f t="shared" si="245"/>
        <v>25780413.189720701</v>
      </c>
      <c r="N736" s="320"/>
      <c r="O736" s="320">
        <f>NhanCong!R$166</f>
        <v>532759.61538461526</v>
      </c>
    </row>
    <row r="737" spans="1:15" s="345" customFormat="1">
      <c r="A737" s="1043"/>
      <c r="B737" s="1038"/>
      <c r="C737" s="1039"/>
      <c r="D737" s="319" t="s">
        <v>33</v>
      </c>
      <c r="E737" s="301">
        <f>NhanCong!Q$168</f>
        <v>22598307.875000007</v>
      </c>
      <c r="F737" s="301">
        <f>NhanCong!Q$169</f>
        <v>1337134.6153846155</v>
      </c>
      <c r="G737" s="320">
        <f>Dcu!O$249</f>
        <v>180405.08653846156</v>
      </c>
      <c r="H737" s="320">
        <f>VLieu!M$145</f>
        <v>175200</v>
      </c>
      <c r="I737" s="320">
        <f>TBi!Q$352</f>
        <v>515218.07142857142</v>
      </c>
      <c r="J737" s="320">
        <f>TBi!Q$356</f>
        <v>4808.1600000000008</v>
      </c>
      <c r="K737" s="320">
        <f t="shared" si="244"/>
        <v>24811073.808351655</v>
      </c>
      <c r="L737" s="320">
        <f t="shared" si="243"/>
        <v>6202768.4520879136</v>
      </c>
      <c r="M737" s="321">
        <f t="shared" si="245"/>
        <v>31013842.260439567</v>
      </c>
      <c r="N737" s="320"/>
      <c r="O737" s="320">
        <f>NhanCong!R$168</f>
        <v>639798.07692307676</v>
      </c>
    </row>
    <row r="738" spans="1:15" s="345" customFormat="1">
      <c r="A738" s="1043"/>
      <c r="B738" s="1038"/>
      <c r="C738" s="1039"/>
      <c r="D738" s="319" t="s">
        <v>13</v>
      </c>
      <c r="E738" s="301">
        <f>NhanCong!Q$170</f>
        <v>27109376.937500007</v>
      </c>
      <c r="F738" s="301">
        <f>NhanCong!Q$171</f>
        <v>1604561.5384615387</v>
      </c>
      <c r="G738" s="320">
        <f>Dcu!O$250</f>
        <v>233858.4455128205</v>
      </c>
      <c r="H738" s="320">
        <f>VLieu!M$145</f>
        <v>175200</v>
      </c>
      <c r="I738" s="320">
        <f>TBi!R$352</f>
        <v>667142.92857142852</v>
      </c>
      <c r="J738" s="320">
        <f>TBi!R$356</f>
        <v>6321.8399999999992</v>
      </c>
      <c r="K738" s="320">
        <f t="shared" si="244"/>
        <v>29796461.690045796</v>
      </c>
      <c r="L738" s="320">
        <f t="shared" si="243"/>
        <v>7449115.4225114491</v>
      </c>
      <c r="M738" s="321">
        <f t="shared" si="245"/>
        <v>37245577.112557247</v>
      </c>
      <c r="N738" s="320"/>
      <c r="O738" s="320">
        <f>NhanCong!R$170</f>
        <v>767514.42307692301</v>
      </c>
    </row>
    <row r="739" spans="1:15" s="345" customFormat="1">
      <c r="A739" s="298">
        <v>2</v>
      </c>
      <c r="B739" s="316" t="s">
        <v>192</v>
      </c>
      <c r="C739" s="319"/>
      <c r="D739" s="319"/>
      <c r="E739" s="301"/>
      <c r="F739" s="301"/>
      <c r="G739" s="320"/>
      <c r="H739" s="320"/>
      <c r="I739" s="320"/>
      <c r="J739" s="320"/>
      <c r="K739" s="320"/>
      <c r="L739" s="320"/>
      <c r="M739" s="321"/>
      <c r="N739" s="320"/>
      <c r="O739" s="320"/>
    </row>
    <row r="740" spans="1:15" s="345" customFormat="1">
      <c r="A740" s="1043" t="s">
        <v>268</v>
      </c>
      <c r="B740" s="1038" t="str">
        <f>NhanCong!B$173</f>
        <v>Số hóa BĐĐC: Áp dụng theo mức quy định tại Điều 8, Chương I</v>
      </c>
      <c r="C740" s="1039" t="s">
        <v>317</v>
      </c>
      <c r="D740" s="319" t="s">
        <v>18</v>
      </c>
      <c r="E740" s="301">
        <f t="shared" ref="E740:J744" si="246">E478</f>
        <v>116858.17000000004</v>
      </c>
      <c r="F740" s="301">
        <f t="shared" si="246"/>
        <v>0</v>
      </c>
      <c r="G740" s="301">
        <f t="shared" si="246"/>
        <v>1784.5250543589741</v>
      </c>
      <c r="H740" s="301">
        <f t="shared" si="246"/>
        <v>4092</v>
      </c>
      <c r="I740" s="301">
        <f t="shared" si="246"/>
        <v>12750.124542857142</v>
      </c>
      <c r="J740" s="301">
        <f t="shared" si="246"/>
        <v>3668.4480000000003</v>
      </c>
      <c r="K740" s="320">
        <f>SUM(E740:J740)</f>
        <v>139153.26759721615</v>
      </c>
      <c r="L740" s="320">
        <f>K740*0.15</f>
        <v>20872.990139582424</v>
      </c>
      <c r="M740" s="321">
        <f>K740+L740</f>
        <v>160026.25773679858</v>
      </c>
      <c r="N740" s="301">
        <f t="shared" ref="N740:O744" si="247">N478</f>
        <v>0</v>
      </c>
      <c r="O740" s="301">
        <f t="shared" si="247"/>
        <v>3308.4615384615381</v>
      </c>
    </row>
    <row r="741" spans="1:15" s="345" customFormat="1">
      <c r="A741" s="1043"/>
      <c r="B741" s="1038"/>
      <c r="C741" s="1039"/>
      <c r="D741" s="319" t="s">
        <v>20</v>
      </c>
      <c r="E741" s="301">
        <f t="shared" si="246"/>
        <v>130606.19000000003</v>
      </c>
      <c r="F741" s="301">
        <f t="shared" si="246"/>
        <v>0</v>
      </c>
      <c r="G741" s="301">
        <f t="shared" si="246"/>
        <v>2042.811575384615</v>
      </c>
      <c r="H741" s="301">
        <f t="shared" si="246"/>
        <v>4092</v>
      </c>
      <c r="I741" s="301">
        <f t="shared" si="246"/>
        <v>13543.004828571427</v>
      </c>
      <c r="J741" s="301">
        <f t="shared" si="246"/>
        <v>3864.3359999999998</v>
      </c>
      <c r="K741" s="320">
        <f>SUM(E741:J741)</f>
        <v>154148.34240395608</v>
      </c>
      <c r="L741" s="320">
        <f>K741*0.15</f>
        <v>23122.251360593411</v>
      </c>
      <c r="M741" s="321">
        <f>K741+L741</f>
        <v>177270.5937645495</v>
      </c>
      <c r="N741" s="301">
        <f t="shared" si="247"/>
        <v>0</v>
      </c>
      <c r="O741" s="301">
        <f t="shared" si="247"/>
        <v>3697.6923076923072</v>
      </c>
    </row>
    <row r="742" spans="1:15" s="345" customFormat="1">
      <c r="A742" s="1043"/>
      <c r="B742" s="1038"/>
      <c r="C742" s="1039"/>
      <c r="D742" s="319" t="s">
        <v>35</v>
      </c>
      <c r="E742" s="301">
        <f t="shared" si="246"/>
        <v>146416.41300000003</v>
      </c>
      <c r="F742" s="301">
        <f t="shared" si="246"/>
        <v>0</v>
      </c>
      <c r="G742" s="301">
        <f t="shared" si="246"/>
        <v>2348.0592820512816</v>
      </c>
      <c r="H742" s="301">
        <f t="shared" si="246"/>
        <v>4092</v>
      </c>
      <c r="I742" s="301">
        <f t="shared" si="246"/>
        <v>15413.223628571428</v>
      </c>
      <c r="J742" s="301">
        <f t="shared" si="246"/>
        <v>4336.2480000000005</v>
      </c>
      <c r="K742" s="320">
        <f>SUM(E742:J742)</f>
        <v>172605.94391062274</v>
      </c>
      <c r="L742" s="320">
        <f>K742*0.15</f>
        <v>25890.89158659341</v>
      </c>
      <c r="M742" s="321">
        <f>K742+L742</f>
        <v>198496.83549721615</v>
      </c>
      <c r="N742" s="301">
        <f t="shared" si="247"/>
        <v>0</v>
      </c>
      <c r="O742" s="301">
        <f t="shared" si="247"/>
        <v>4145.3076923076924</v>
      </c>
    </row>
    <row r="743" spans="1:15" s="345" customFormat="1">
      <c r="A743" s="1043"/>
      <c r="B743" s="1038"/>
      <c r="C743" s="1039"/>
      <c r="D743" s="319" t="s">
        <v>33</v>
      </c>
      <c r="E743" s="301">
        <f t="shared" si="246"/>
        <v>164563.79940000005</v>
      </c>
      <c r="F743" s="301">
        <f t="shared" si="246"/>
        <v>0</v>
      </c>
      <c r="G743" s="301">
        <f t="shared" si="246"/>
        <v>2700.2681743589737</v>
      </c>
      <c r="H743" s="301">
        <f t="shared" si="246"/>
        <v>4092</v>
      </c>
      <c r="I743" s="301">
        <f t="shared" si="246"/>
        <v>17934.0936</v>
      </c>
      <c r="J743" s="301">
        <f t="shared" si="246"/>
        <v>4977.3359999999993</v>
      </c>
      <c r="K743" s="320">
        <f>SUM(E743:J743)</f>
        <v>194267.49717435901</v>
      </c>
      <c r="L743" s="320">
        <f>K743*0.15</f>
        <v>29140.124576153852</v>
      </c>
      <c r="M743" s="321">
        <f>K743+L743</f>
        <v>223407.62175051286</v>
      </c>
      <c r="N743" s="301">
        <f t="shared" si="247"/>
        <v>0</v>
      </c>
      <c r="O743" s="301">
        <f t="shared" si="247"/>
        <v>4659.0923076923082</v>
      </c>
    </row>
    <row r="744" spans="1:15" s="345" customFormat="1">
      <c r="A744" s="1043"/>
      <c r="B744" s="1038"/>
      <c r="C744" s="1039"/>
      <c r="D744" s="319" t="s">
        <v>13</v>
      </c>
      <c r="E744" s="301">
        <f t="shared" si="246"/>
        <v>185460.78980000006</v>
      </c>
      <c r="F744" s="301">
        <f t="shared" si="246"/>
        <v>0</v>
      </c>
      <c r="G744" s="301">
        <f t="shared" si="246"/>
        <v>3099.438252307692</v>
      </c>
      <c r="H744" s="301">
        <f t="shared" si="246"/>
        <v>4092</v>
      </c>
      <c r="I744" s="301">
        <f t="shared" si="246"/>
        <v>26065.619971428569</v>
      </c>
      <c r="J744" s="301">
        <f t="shared" si="246"/>
        <v>7034.16</v>
      </c>
      <c r="K744" s="320">
        <f>SUM(E744:J744)</f>
        <v>225752.0080237363</v>
      </c>
      <c r="L744" s="320">
        <f>K744*0.15</f>
        <v>33862.801203560441</v>
      </c>
      <c r="M744" s="321">
        <f>K744+L744</f>
        <v>259614.80922729673</v>
      </c>
      <c r="N744" s="301">
        <f t="shared" si="247"/>
        <v>0</v>
      </c>
      <c r="O744" s="301">
        <f t="shared" si="247"/>
        <v>5250.7230769230773</v>
      </c>
    </row>
    <row r="745" spans="1:15" s="345" customFormat="1" ht="12.75" customHeight="1">
      <c r="A745" s="1043" t="s">
        <v>34</v>
      </c>
      <c r="B745" s="1038" t="str">
        <f>NhanCong!B$174</f>
        <v>Lập bản vẽ BĐĐC (Công nhóm/100 thửa chỉnh lý)</v>
      </c>
      <c r="C745" s="1040" t="s">
        <v>329</v>
      </c>
      <c r="D745" s="319" t="s">
        <v>18</v>
      </c>
      <c r="E745" s="301">
        <f>NhanCong!Q$174</f>
        <v>430947.55000000016</v>
      </c>
      <c r="F745" s="301"/>
      <c r="G745" s="320">
        <f>Dcu!O$271</f>
        <v>10222.451446153844</v>
      </c>
      <c r="H745" s="320">
        <f>VLieu!M$159</f>
        <v>626800</v>
      </c>
      <c r="I745" s="320">
        <f>TBi!N$389</f>
        <v>9402.887142857142</v>
      </c>
      <c r="J745" s="320">
        <f>TBi!N$393</f>
        <v>37419.06</v>
      </c>
      <c r="K745" s="320">
        <f t="shared" ref="K745:K751" si="248">SUM(E745:J745)</f>
        <v>1114791.9485890111</v>
      </c>
      <c r="L745" s="320">
        <f t="shared" ref="L745:L753" si="249">K745*0.15</f>
        <v>167218.79228835166</v>
      </c>
      <c r="M745" s="321">
        <f t="shared" ref="M745:M751" si="250">K745+L745</f>
        <v>1282010.7408773627</v>
      </c>
      <c r="N745" s="320"/>
      <c r="O745" s="320">
        <f>NhanCong!R$174</f>
        <v>10703.846153846154</v>
      </c>
    </row>
    <row r="746" spans="1:15" s="345" customFormat="1">
      <c r="A746" s="1043"/>
      <c r="B746" s="1038"/>
      <c r="C746" s="1039"/>
      <c r="D746" s="319" t="s">
        <v>20</v>
      </c>
      <c r="E746" s="301">
        <f>NhanCong!Q$175</f>
        <v>540643.29000000015</v>
      </c>
      <c r="F746" s="301"/>
      <c r="G746" s="320">
        <f>Dcu!O$272</f>
        <v>12778.064307692304</v>
      </c>
      <c r="H746" s="320">
        <f>VLieu!M$159</f>
        <v>626800</v>
      </c>
      <c r="I746" s="320">
        <f>TBi!O$389</f>
        <v>9753.4803571428565</v>
      </c>
      <c r="J746" s="320">
        <f>TBi!O$393</f>
        <v>38754.660000000003</v>
      </c>
      <c r="K746" s="320">
        <f t="shared" si="248"/>
        <v>1228729.4946648353</v>
      </c>
      <c r="L746" s="320">
        <f t="shared" si="249"/>
        <v>184309.4241997253</v>
      </c>
      <c r="M746" s="321">
        <f t="shared" si="250"/>
        <v>1413038.9188645605</v>
      </c>
      <c r="N746" s="320"/>
      <c r="O746" s="320">
        <f>NhanCong!R$175</f>
        <v>13428.461538461537</v>
      </c>
    </row>
    <row r="747" spans="1:15" s="345" customFormat="1">
      <c r="A747" s="1043"/>
      <c r="B747" s="1038"/>
      <c r="C747" s="1039"/>
      <c r="D747" s="319" t="s">
        <v>35</v>
      </c>
      <c r="E747" s="301">
        <f>NhanCong!Q$176</f>
        <v>720857.7200000002</v>
      </c>
      <c r="F747" s="301"/>
      <c r="G747" s="320">
        <f>Dcu!O$273</f>
        <v>17037.419076923074</v>
      </c>
      <c r="H747" s="320">
        <f>VLieu!M$159</f>
        <v>626800</v>
      </c>
      <c r="I747" s="320">
        <f>TBi!P$389</f>
        <v>10378.657857142858</v>
      </c>
      <c r="J747" s="320">
        <f>TBi!P$393</f>
        <v>41225.519999999997</v>
      </c>
      <c r="K747" s="320">
        <f t="shared" si="248"/>
        <v>1416299.3169340661</v>
      </c>
      <c r="L747" s="320">
        <f t="shared" si="249"/>
        <v>212444.8975401099</v>
      </c>
      <c r="M747" s="321">
        <f t="shared" si="250"/>
        <v>1628744.2144741761</v>
      </c>
      <c r="N747" s="320"/>
      <c r="O747" s="320">
        <f>NhanCong!R$176</f>
        <v>17904.615384615387</v>
      </c>
    </row>
    <row r="748" spans="1:15" s="345" customFormat="1">
      <c r="A748" s="1043"/>
      <c r="B748" s="1038"/>
      <c r="C748" s="1039"/>
      <c r="D748" s="319" t="s">
        <v>33</v>
      </c>
      <c r="E748" s="301">
        <f>NhanCong!Q$177</f>
        <v>971590.84000000032</v>
      </c>
      <c r="F748" s="301"/>
      <c r="G748" s="320">
        <f>Dcu!O$274</f>
        <v>23000.51575384615</v>
      </c>
      <c r="H748" s="320">
        <f>VLieu!M$159</f>
        <v>626800</v>
      </c>
      <c r="I748" s="320">
        <f>TBi!Q$389</f>
        <v>11216.138928571429</v>
      </c>
      <c r="J748" s="320">
        <f>TBi!Q$393</f>
        <v>44564.52</v>
      </c>
      <c r="K748" s="320">
        <f t="shared" si="248"/>
        <v>1677172.014682418</v>
      </c>
      <c r="L748" s="320">
        <f t="shared" si="249"/>
        <v>251575.80220236268</v>
      </c>
      <c r="M748" s="321">
        <f t="shared" si="250"/>
        <v>1928747.8168847808</v>
      </c>
      <c r="N748" s="320"/>
      <c r="O748" s="320">
        <f>NhanCong!R$177</f>
        <v>24132.307692307691</v>
      </c>
    </row>
    <row r="749" spans="1:15" s="345" customFormat="1">
      <c r="A749" s="1043"/>
      <c r="B749" s="1038"/>
      <c r="C749" s="1039"/>
      <c r="D749" s="319" t="s">
        <v>13</v>
      </c>
      <c r="E749" s="301">
        <f>NhanCong!Q$178</f>
        <v>1261501.0100000005</v>
      </c>
      <c r="F749" s="301"/>
      <c r="G749" s="320">
        <f>Dcu!O$275</f>
        <v>29815.483384615378</v>
      </c>
      <c r="H749" s="320">
        <f>VLieu!M$159</f>
        <v>626800</v>
      </c>
      <c r="I749" s="320">
        <f>TBi!R$389</f>
        <v>12228.417857142858</v>
      </c>
      <c r="J749" s="320">
        <f>TBi!R$393</f>
        <v>48593.579999999994</v>
      </c>
      <c r="K749" s="320">
        <f t="shared" si="248"/>
        <v>1978938.4912417587</v>
      </c>
      <c r="L749" s="320">
        <f t="shared" si="249"/>
        <v>296840.77368626377</v>
      </c>
      <c r="M749" s="321">
        <f t="shared" si="250"/>
        <v>2275779.2649280224</v>
      </c>
      <c r="N749" s="320"/>
      <c r="O749" s="320">
        <f>NhanCong!R$178</f>
        <v>31333.076923076926</v>
      </c>
    </row>
    <row r="750" spans="1:15" s="345" customFormat="1" ht="26">
      <c r="A750" s="323" t="s">
        <v>246</v>
      </c>
      <c r="B750" s="324" t="str">
        <f>NhanCong!B$179</f>
        <v>Lập Phiếu đo đạc chỉnh lý thửa đất (Công/100 thửa chỉnh lý)</v>
      </c>
      <c r="C750" s="341" t="s">
        <v>329</v>
      </c>
      <c r="D750" s="341" t="s">
        <v>15</v>
      </c>
      <c r="E750" s="342">
        <f>NhanCong!Q$179</f>
        <v>1031101.5000000002</v>
      </c>
      <c r="F750" s="342"/>
      <c r="G750" s="343">
        <f>Dcu!O$270</f>
        <v>17037.419076923074</v>
      </c>
      <c r="H750" s="320">
        <f>VLieu!M$159</f>
        <v>626800</v>
      </c>
      <c r="I750" s="343"/>
      <c r="J750" s="343"/>
      <c r="K750" s="343">
        <f t="shared" si="248"/>
        <v>1674938.9190769233</v>
      </c>
      <c r="L750" s="320">
        <f t="shared" si="249"/>
        <v>251240.83786153849</v>
      </c>
      <c r="M750" s="344">
        <f t="shared" si="250"/>
        <v>1926179.7569384617</v>
      </c>
      <c r="N750" s="343"/>
      <c r="O750" s="343">
        <f>NhanCong!R$179</f>
        <v>29192.307692307691</v>
      </c>
    </row>
    <row r="751" spans="1:15" s="345" customFormat="1" ht="26">
      <c r="A751" s="323" t="s">
        <v>271</v>
      </c>
      <c r="B751" s="324" t="str">
        <f>NhanCong!B$180</f>
        <v>Bổ sung sổ mục kê (công nhóm/100 thửa chỉnh lý)</v>
      </c>
      <c r="C751" s="341" t="s">
        <v>329</v>
      </c>
      <c r="D751" s="341" t="s">
        <v>15</v>
      </c>
      <c r="E751" s="342">
        <f>NhanCong!Q$180</f>
        <v>893621.30000000016</v>
      </c>
      <c r="F751" s="342"/>
      <c r="G751" s="343">
        <f>Dcu!O$290</f>
        <v>13800.392222222223</v>
      </c>
      <c r="H751" s="343">
        <f>VLieu!J$170</f>
        <v>120500</v>
      </c>
      <c r="I751" s="343">
        <f>TBi!N$411</f>
        <v>6891.4414285714283</v>
      </c>
      <c r="J751" s="343">
        <f>TBi!N$414</f>
        <v>27379.800000000003</v>
      </c>
      <c r="K751" s="343">
        <f t="shared" si="248"/>
        <v>1062192.9336507937</v>
      </c>
      <c r="L751" s="320">
        <f t="shared" si="249"/>
        <v>159328.94004761905</v>
      </c>
      <c r="M751" s="344">
        <f t="shared" si="250"/>
        <v>1221521.8736984129</v>
      </c>
      <c r="N751" s="343"/>
      <c r="O751" s="343">
        <f>NhanCong!R$180</f>
        <v>25300</v>
      </c>
    </row>
    <row r="752" spans="1:15" s="345" customFormat="1" ht="26">
      <c r="A752" s="323" t="s">
        <v>365</v>
      </c>
      <c r="B752" s="324" t="str">
        <f>NhanCong!B$181</f>
        <v>Biên tập bản đồ và in (công nhóm/mảnh)</v>
      </c>
      <c r="C752" s="341" t="s">
        <v>317</v>
      </c>
      <c r="D752" s="341" t="s">
        <v>15</v>
      </c>
      <c r="E752" s="342">
        <f>NhanCong!Q$181</f>
        <v>9348.6536000000015</v>
      </c>
      <c r="F752" s="342"/>
      <c r="G752" s="343">
        <f>Dcu!O$304</f>
        <v>279.14451282051283</v>
      </c>
      <c r="H752" s="343">
        <f>VLieu!M$181</f>
        <v>4972.6000000000004</v>
      </c>
      <c r="I752" s="343">
        <f>TBi!N$428</f>
        <v>130.5920857142857</v>
      </c>
      <c r="J752" s="343">
        <f>TBi!N$432</f>
        <v>302.73599999999999</v>
      </c>
      <c r="K752" s="343">
        <f>SUM(E752:J752)</f>
        <v>15033.726198534801</v>
      </c>
      <c r="L752" s="320">
        <f t="shared" si="249"/>
        <v>2255.0589297802203</v>
      </c>
      <c r="M752" s="344">
        <f>K752+L752</f>
        <v>17288.785128315023</v>
      </c>
      <c r="N752" s="343"/>
      <c r="O752" s="343">
        <f>NhanCong!R$181</f>
        <v>264.67692307692306</v>
      </c>
    </row>
    <row r="753" spans="1:17" s="345" customFormat="1" ht="26">
      <c r="A753" s="323" t="s">
        <v>366</v>
      </c>
      <c r="B753" s="324" t="str">
        <f>NhanCong!B$182</f>
        <v>Xác nhận hồ sơ các cấp (công nhóm/mảnh)</v>
      </c>
      <c r="C753" s="341" t="s">
        <v>317</v>
      </c>
      <c r="D753" s="341" t="s">
        <v>15</v>
      </c>
      <c r="E753" s="342">
        <f>NhanCong!Q$182</f>
        <v>10998.416000000003</v>
      </c>
      <c r="F753" s="342"/>
      <c r="G753" s="343">
        <f>Dcu!O$304</f>
        <v>279.14451282051283</v>
      </c>
      <c r="H753" s="343">
        <f>VLieu!M$181</f>
        <v>4972.6000000000004</v>
      </c>
      <c r="I753" s="343">
        <f>TBi!N$428</f>
        <v>130.5920857142857</v>
      </c>
      <c r="J753" s="343">
        <f>TBi!N$432</f>
        <v>302.73599999999999</v>
      </c>
      <c r="K753" s="343">
        <f>SUM(E753:J753)</f>
        <v>16683.488598534801</v>
      </c>
      <c r="L753" s="320">
        <f t="shared" si="249"/>
        <v>2502.5232897802202</v>
      </c>
      <c r="M753" s="344">
        <f>K753+L753</f>
        <v>19186.011888315021</v>
      </c>
      <c r="N753" s="343"/>
      <c r="O753" s="343">
        <f>NhanCong!R$182</f>
        <v>311.38461538461542</v>
      </c>
    </row>
    <row r="754" spans="1:17" s="345" customFormat="1" ht="26">
      <c r="A754" s="323" t="s">
        <v>367</v>
      </c>
      <c r="B754" s="324" t="str">
        <f>NhanCong!B$183</f>
        <v>Giao nộp sản phẩm (công nhóm/mảnh)</v>
      </c>
      <c r="C754" s="341" t="s">
        <v>317</v>
      </c>
      <c r="D754" s="341" t="s">
        <v>15</v>
      </c>
      <c r="E754" s="342">
        <f>NhanCong!Q$183</f>
        <v>23371.634000000005</v>
      </c>
      <c r="F754" s="342"/>
      <c r="G754" s="343">
        <f>Dcu!O$304</f>
        <v>279.14451282051283</v>
      </c>
      <c r="H754" s="343">
        <f>VLieu!M$181</f>
        <v>4972.6000000000004</v>
      </c>
      <c r="I754" s="343">
        <f>TBi!N$428</f>
        <v>130.5920857142857</v>
      </c>
      <c r="J754" s="343">
        <f>TBi!N$432</f>
        <v>302.73599999999999</v>
      </c>
      <c r="K754" s="343">
        <f>SUM(E754:J754)</f>
        <v>29056.706598534805</v>
      </c>
      <c r="L754" s="320">
        <f>K754*0.15</f>
        <v>4358.5059897802203</v>
      </c>
      <c r="M754" s="344">
        <f>K754+L754</f>
        <v>33415.212588315029</v>
      </c>
      <c r="N754" s="343"/>
      <c r="O754" s="343">
        <f>NhanCong!R$183</f>
        <v>661.69230769230762</v>
      </c>
    </row>
    <row r="755" spans="1:17" s="345" customFormat="1">
      <c r="A755" s="298" t="s">
        <v>29</v>
      </c>
      <c r="B755" s="316" t="s">
        <v>205</v>
      </c>
      <c r="C755" s="337" t="s">
        <v>349</v>
      </c>
      <c r="D755" s="333"/>
      <c r="E755" s="301"/>
      <c r="F755" s="301"/>
      <c r="G755" s="301"/>
      <c r="H755" s="301"/>
      <c r="I755" s="301"/>
      <c r="J755" s="301"/>
      <c r="K755" s="301"/>
      <c r="L755" s="301"/>
      <c r="M755" s="302">
        <v>100</v>
      </c>
      <c r="N755" s="301" t="s">
        <v>21</v>
      </c>
      <c r="O755" s="301"/>
    </row>
    <row r="756" spans="1:17" s="345" customFormat="1" ht="13.15" customHeight="1">
      <c r="A756" s="1036"/>
      <c r="B756" s="1035" t="s">
        <v>190</v>
      </c>
      <c r="C756" s="298">
        <f>HeSoKK!B33</f>
        <v>7</v>
      </c>
      <c r="D756" s="298">
        <v>1</v>
      </c>
      <c r="E756" s="301">
        <f>E807/C756+(E812+E817)/100</f>
        <v>203206.31100000002</v>
      </c>
      <c r="F756" s="301">
        <f>F807/C756+(F812+F817)/100</f>
        <v>10842.615384615385</v>
      </c>
      <c r="G756" s="301">
        <f>G807/C756+(G812+G817)/100</f>
        <v>1029.1089468864468</v>
      </c>
      <c r="H756" s="301">
        <f>H807/C756+(H812+H817)/100</f>
        <v>578873.65714285721</v>
      </c>
      <c r="I756" s="301">
        <f>I807/C756+(I812+I817)/100</f>
        <v>2482.7185714285715</v>
      </c>
      <c r="J756" s="301">
        <f>J807/C756+(J812+J817)/100</f>
        <v>25.376400000000004</v>
      </c>
      <c r="K756" s="301">
        <f t="shared" ref="K756:K765" si="251">SUM(E756:J756)</f>
        <v>796459.78744578757</v>
      </c>
      <c r="L756" s="301">
        <f>K756*0.25</f>
        <v>199114.94686144689</v>
      </c>
      <c r="M756" s="315">
        <f t="shared" ref="M756:M765" si="252">K756+L756</f>
        <v>995574.73430723441</v>
      </c>
      <c r="N756" s="301">
        <f>M756+M761</f>
        <v>1053716.1850584005</v>
      </c>
      <c r="O756" s="301">
        <f>O807/C756+(O812+O817)/100</f>
        <v>5781.4670329670325</v>
      </c>
      <c r="Q756" s="346"/>
    </row>
    <row r="757" spans="1:17" s="345" customFormat="1" ht="13.15" customHeight="1">
      <c r="A757" s="1036"/>
      <c r="B757" s="1035"/>
      <c r="C757" s="298">
        <f>HeSoKK!D33</f>
        <v>14.5</v>
      </c>
      <c r="D757" s="298">
        <v>2</v>
      </c>
      <c r="E757" s="301">
        <f>E808/C757+(E813+E818)/100</f>
        <v>236706.52191810351</v>
      </c>
      <c r="F757" s="301">
        <f>F808/C757+(F813+F818)/100</f>
        <v>13025.69230769231</v>
      </c>
      <c r="G757" s="301">
        <f>G808/C757+(G813+G818)/100</f>
        <v>1224.4598502431475</v>
      </c>
      <c r="H757" s="301">
        <f>H808/C757+(H813+H818)/100</f>
        <v>279834.24827586208</v>
      </c>
      <c r="I757" s="301">
        <f>I808/C757+(I813+I818)/100</f>
        <v>3310.16</v>
      </c>
      <c r="J757" s="301">
        <f>J808/C757+(J813+J818)/100</f>
        <v>31.831800000000001</v>
      </c>
      <c r="K757" s="301">
        <f t="shared" si="251"/>
        <v>534132.91415190115</v>
      </c>
      <c r="L757" s="301">
        <f>K757*0.25</f>
        <v>133533.22853797529</v>
      </c>
      <c r="M757" s="315">
        <f t="shared" si="252"/>
        <v>667666.14268987649</v>
      </c>
      <c r="N757" s="301">
        <f>M757+M762</f>
        <v>721896.60564501735</v>
      </c>
      <c r="O757" s="301">
        <f>O808/C757+(O813+O818)/100</f>
        <v>6718.0056366047747</v>
      </c>
      <c r="Q757" s="346"/>
    </row>
    <row r="758" spans="1:17" s="345" customFormat="1" ht="13.15" customHeight="1">
      <c r="A758" s="1036"/>
      <c r="B758" s="1035"/>
      <c r="C758" s="298">
        <f>HeSoKK!F33</f>
        <v>24.5</v>
      </c>
      <c r="D758" s="298">
        <v>3</v>
      </c>
      <c r="E758" s="301">
        <f>E809/C758+(E814+E819)/100</f>
        <v>280440.38</v>
      </c>
      <c r="F758" s="301">
        <f>F809/C758+(F814+F819)/100</f>
        <v>15627.192307692307</v>
      </c>
      <c r="G758" s="301">
        <f>G809/C758+(G814+G819)/100</f>
        <v>1601.1584881388453</v>
      </c>
      <c r="H758" s="301">
        <f>H809/C758+(H814+H819)/100</f>
        <v>165914.47346938774</v>
      </c>
      <c r="I758" s="301">
        <f>I809/C758+(I814+I819)/100</f>
        <v>4131.9664285714289</v>
      </c>
      <c r="J758" s="301">
        <f>J809/C758+(J814+J819)/100</f>
        <v>41.181000000000004</v>
      </c>
      <c r="K758" s="301">
        <f t="shared" si="251"/>
        <v>467756.35169379035</v>
      </c>
      <c r="L758" s="301">
        <f>K758*0.25</f>
        <v>116939.08792344759</v>
      </c>
      <c r="M758" s="315">
        <f t="shared" si="252"/>
        <v>584695.43961723789</v>
      </c>
      <c r="N758" s="301">
        <f>M758+M763</f>
        <v>638683.97589982755</v>
      </c>
      <c r="O758" s="301">
        <f>O809/C758+(O814+O819)/100</f>
        <v>7951.4285714285716</v>
      </c>
      <c r="Q758" s="346"/>
    </row>
    <row r="759" spans="1:17" s="345" customFormat="1" ht="13.15" customHeight="1">
      <c r="A759" s="1036"/>
      <c r="B759" s="1035"/>
      <c r="C759" s="298">
        <f>HeSoKK!H33</f>
        <v>5.5</v>
      </c>
      <c r="D759" s="298">
        <v>4</v>
      </c>
      <c r="E759" s="301">
        <f>E810/C759+(E815+E820)/100</f>
        <v>359889.90243750013</v>
      </c>
      <c r="F759" s="301">
        <f>F810/C759+(F815+F820)/100</f>
        <v>18756.269230769234</v>
      </c>
      <c r="G759" s="301">
        <f>G810/C759+(G815+G820)/100</f>
        <v>2374.268850524476</v>
      </c>
      <c r="H759" s="301">
        <f>H810/C759+(H815+H820)/100</f>
        <v>736548.98181818181</v>
      </c>
      <c r="I759" s="301">
        <f>I810/C759+(I815+I820)/100</f>
        <v>5169.0857142857149</v>
      </c>
      <c r="J759" s="301">
        <f>J810/C759+(J815+J820)/100</f>
        <v>50.307600000000008</v>
      </c>
      <c r="K759" s="301">
        <f t="shared" si="251"/>
        <v>1122788.8156512612</v>
      </c>
      <c r="L759" s="301">
        <f>K759*0.25</f>
        <v>280697.20391281531</v>
      </c>
      <c r="M759" s="315">
        <f t="shared" si="252"/>
        <v>1403486.0195640766</v>
      </c>
      <c r="N759" s="301">
        <f>M759+M764</f>
        <v>1477632.4780707124</v>
      </c>
      <c r="O759" s="301">
        <f>O810/C759+(O815+O820)/100</f>
        <v>10251.475961538463</v>
      </c>
      <c r="Q759" s="346"/>
    </row>
    <row r="760" spans="1:17" s="345" customFormat="1" ht="13.15" customHeight="1">
      <c r="A760" s="1036"/>
      <c r="B760" s="1035"/>
      <c r="C760" s="298">
        <f>HeSoKK!J33</f>
        <v>8.5</v>
      </c>
      <c r="D760" s="298">
        <v>5</v>
      </c>
      <c r="E760" s="301">
        <f>E811/C760+(E816+E821)/100</f>
        <v>422295.0913823531</v>
      </c>
      <c r="F760" s="301">
        <f>F811/C760+(F816+F821)/100</f>
        <v>22503.884615384613</v>
      </c>
      <c r="G760" s="301">
        <f>G811/C760+(G816+G821)/100</f>
        <v>2952.2695434263446</v>
      </c>
      <c r="H760" s="301">
        <f>H811/C760+(H816+H821)/100</f>
        <v>476848.44705882354</v>
      </c>
      <c r="I760" s="301">
        <f>I811/C760+(I816+I821)/100</f>
        <v>7197.4721428571429</v>
      </c>
      <c r="J760" s="301">
        <f>J811/C760+(J816+J821)/100</f>
        <v>2.6712000000000002</v>
      </c>
      <c r="K760" s="301">
        <f t="shared" si="251"/>
        <v>931799.83594284474</v>
      </c>
      <c r="L760" s="301">
        <f>K760*0.25</f>
        <v>232949.95898571119</v>
      </c>
      <c r="M760" s="315">
        <f t="shared" si="252"/>
        <v>1164749.7949285558</v>
      </c>
      <c r="N760" s="301">
        <f>M760+M765</f>
        <v>1237910.2016327563</v>
      </c>
      <c r="O760" s="301">
        <f>O811/C760+(O816+O821)/100</f>
        <v>12004.334841628959</v>
      </c>
      <c r="Q760" s="346"/>
    </row>
    <row r="761" spans="1:17" s="345" customFormat="1">
      <c r="A761" s="1036"/>
      <c r="B761" s="1035" t="s">
        <v>192</v>
      </c>
      <c r="C761" s="298">
        <f>C756</f>
        <v>7</v>
      </c>
      <c r="D761" s="298">
        <v>1</v>
      </c>
      <c r="E761" s="301">
        <f>(E823+E835+E836+E837)/C761+(E828+E833+E834)/100</f>
        <v>34051.826600000008</v>
      </c>
      <c r="F761" s="301">
        <f>(F823+F835+F836+F837)/C761+(F828+F833+F834)/100</f>
        <v>0</v>
      </c>
      <c r="G761" s="301">
        <f>(G823+G835+G836+G837)/C761+(G828+G833+G834)/100</f>
        <v>553.52669963858364</v>
      </c>
      <c r="H761" s="301">
        <f>(H823+H835+H836+H837)/C761+(H828+H833+H834)/100</f>
        <v>14344.9</v>
      </c>
      <c r="I761" s="301">
        <f>(I823+I835+I836+I837)/C761+(I828+I833+I834)/100</f>
        <v>734.81076224489789</v>
      </c>
      <c r="J761" s="301">
        <f>(J823+J835+J836+J837)/C761+(J828+J833+J834)/100</f>
        <v>872.7192</v>
      </c>
      <c r="K761" s="301">
        <f t="shared" si="251"/>
        <v>50557.783261883487</v>
      </c>
      <c r="L761" s="301">
        <f>K761*0.15</f>
        <v>7583.6674892825231</v>
      </c>
      <c r="M761" s="315">
        <f t="shared" si="252"/>
        <v>58141.450751166012</v>
      </c>
      <c r="N761" s="301"/>
      <c r="O761" s="301">
        <f>(O823+O835+O836+O837)/C761+(O828+O833+O834)/100</f>
        <v>945.83076923076919</v>
      </c>
    </row>
    <row r="762" spans="1:17" s="345" customFormat="1">
      <c r="A762" s="1036"/>
      <c r="B762" s="1035"/>
      <c r="C762" s="298">
        <f>C757</f>
        <v>14.5</v>
      </c>
      <c r="D762" s="298">
        <v>2</v>
      </c>
      <c r="E762" s="301">
        <f>(E824+E835+E836+E837)/C762+(E829+E833+E834)/100</f>
        <v>31286.177165517249</v>
      </c>
      <c r="F762" s="301">
        <f>(F824+F835+F836+F837)/C762+(F829+F833+F834)/100</f>
        <v>0</v>
      </c>
      <c r="G762" s="301">
        <f>(G824+G835+G836+G837)/C762+(G829+G833+G834)/100</f>
        <v>521.66670795608604</v>
      </c>
      <c r="H762" s="301">
        <f>(H824+H835+H836+H837)/C762+(H829+H833+H834)/100</f>
        <v>14032.537931034483</v>
      </c>
      <c r="I762" s="301">
        <f>(I824+I835+I836+I837)/C762+(I829+I833+I834)/100</f>
        <v>509.21835948275861</v>
      </c>
      <c r="J762" s="301">
        <f>(J824+J835+J836+J837)/C762+(J829+J833+J834)/100</f>
        <v>807.32414482758634</v>
      </c>
      <c r="K762" s="301">
        <f t="shared" si="251"/>
        <v>47156.924308818168</v>
      </c>
      <c r="L762" s="301">
        <f>K762*0.15</f>
        <v>7073.5386463227251</v>
      </c>
      <c r="M762" s="315">
        <f t="shared" si="252"/>
        <v>54230.462955140894</v>
      </c>
      <c r="N762" s="301"/>
      <c r="O762" s="301">
        <f>(O824+O835+O836+O837)/C762+(O829+O833+O834)/100</f>
        <v>861.54217506631301</v>
      </c>
    </row>
    <row r="763" spans="1:17" s="345" customFormat="1">
      <c r="A763" s="1036"/>
      <c r="B763" s="1035"/>
      <c r="C763" s="298">
        <f>C758</f>
        <v>24.5</v>
      </c>
      <c r="D763" s="298">
        <v>3</v>
      </c>
      <c r="E763" s="301">
        <f>(E825+E835+E836+E837)/C763+(E830+E833+E834)/100</f>
        <v>31249.669336734707</v>
      </c>
      <c r="F763" s="301">
        <f>(F825+F835+F836+F837)/C763+(F830+F833+F834)/100</f>
        <v>0</v>
      </c>
      <c r="G763" s="301">
        <f>(G825+G835+G836+G837)/C763+(G830+G833+G834)/100</f>
        <v>543.93790728414444</v>
      </c>
      <c r="H763" s="301">
        <f>(H825+H835+H836+H837)/C763+(H830+H833+H834)/100</f>
        <v>13913.542857142857</v>
      </c>
      <c r="I763" s="301">
        <f>(I825+I835+I836+I837)/C763+(I830+I833+I834)/100</f>
        <v>440.24647376093287</v>
      </c>
      <c r="J763" s="301">
        <f>(J825+J835+J836+J837)/C763+(J830+J833+J834)/100</f>
        <v>799.15671428571443</v>
      </c>
      <c r="K763" s="301">
        <f t="shared" si="251"/>
        <v>46946.553289208357</v>
      </c>
      <c r="L763" s="301">
        <f>K763*0.15</f>
        <v>7041.9829933812534</v>
      </c>
      <c r="M763" s="315">
        <f t="shared" si="252"/>
        <v>53988.536282589608</v>
      </c>
      <c r="N763" s="301"/>
      <c r="O763" s="301">
        <f>(O825+O835+O836+O837)/C763+(O830+O833+O834)/100</f>
        <v>854.52040816326542</v>
      </c>
    </row>
    <row r="764" spans="1:17" s="345" customFormat="1">
      <c r="A764" s="1036"/>
      <c r="B764" s="1035"/>
      <c r="C764" s="298">
        <f>C759</f>
        <v>5.5</v>
      </c>
      <c r="D764" s="298">
        <v>4</v>
      </c>
      <c r="E764" s="301">
        <f>(E826+E835+E836+E837)/C764+(E831+E833+E834)/100</f>
        <v>46436.10070000001</v>
      </c>
      <c r="F764" s="301">
        <f>(F826+F835+F836+F837)/C764+(F831+F833+F834)/100</f>
        <v>0</v>
      </c>
      <c r="G764" s="301">
        <f>(G826+G835+G836+G837)/C764+(G831+G833+G834)/100</f>
        <v>779.26727148174052</v>
      </c>
      <c r="H764" s="301">
        <f>(H826+H835+H836+H837)/C764+(H831+H833+H834)/100</f>
        <v>14509.6</v>
      </c>
      <c r="I764" s="301">
        <f>(I826+I835+I836+I837)/C764+(I831+I833+I834)/100</f>
        <v>1541.1310840909089</v>
      </c>
      <c r="J764" s="301">
        <f>(J826+J835+J836+J837)/C764+(J831+J833+J834)/100</f>
        <v>1209.0822545454546</v>
      </c>
      <c r="K764" s="301">
        <f t="shared" si="251"/>
        <v>64475.181310118111</v>
      </c>
      <c r="L764" s="301">
        <f>K764*0.15</f>
        <v>9671.2771965177162</v>
      </c>
      <c r="M764" s="315">
        <f t="shared" si="252"/>
        <v>74146.458506635827</v>
      </c>
      <c r="N764" s="301"/>
      <c r="O764" s="301">
        <f>(O826+O835+O836+O837)/C764+(O831+O833+O834)/100</f>
        <v>1276.853846153846</v>
      </c>
    </row>
    <row r="765" spans="1:17" s="345" customFormat="1">
      <c r="A765" s="1036"/>
      <c r="B765" s="1035"/>
      <c r="C765" s="298">
        <f>C760</f>
        <v>8.5</v>
      </c>
      <c r="D765" s="298">
        <v>5</v>
      </c>
      <c r="E765" s="301">
        <f>(E827+E835+E836+E837)/C765+(E832+E833+E834)/100</f>
        <v>46166.088682352958</v>
      </c>
      <c r="F765" s="301">
        <f>(F827+F835+F836+F837)/C765+(F832+F833+F834)/100</f>
        <v>0</v>
      </c>
      <c r="G765" s="301">
        <f>(G827+G835+G836+G837)/C765+(G832+G833+G834)/100</f>
        <v>791.36237698089496</v>
      </c>
      <c r="H765" s="301">
        <f>(H827+H835+H836+H837)/C765+(H832+H833+H834)/100</f>
        <v>14238.329411764706</v>
      </c>
      <c r="I765" s="301">
        <f>(I827+I835+I836+I837)/C765+(I832+I833+I834)/100</f>
        <v>1287.477042016807</v>
      </c>
      <c r="J765" s="301">
        <f>(J827+J835+J836+J837)/C765+(J832+J833+J834)/100</f>
        <v>1134.4874470588236</v>
      </c>
      <c r="K765" s="301">
        <f t="shared" si="251"/>
        <v>63617.744960174197</v>
      </c>
      <c r="L765" s="301">
        <f>K765*0.15</f>
        <v>9542.6617440261289</v>
      </c>
      <c r="M765" s="315">
        <f t="shared" si="252"/>
        <v>73160.40670420033</v>
      </c>
      <c r="N765" s="301"/>
      <c r="O765" s="301">
        <f>(O827+O835+O836+O837)/C765+(O832+O833+O834)/100</f>
        <v>1254.2389140271491</v>
      </c>
    </row>
    <row r="766" spans="1:17" s="345" customFormat="1" ht="13.5">
      <c r="A766" s="298"/>
      <c r="B766" s="340" t="s">
        <v>332</v>
      </c>
      <c r="C766" s="298"/>
      <c r="D766" s="298"/>
      <c r="E766" s="301"/>
      <c r="F766" s="301"/>
      <c r="G766" s="301"/>
      <c r="H766" s="301"/>
      <c r="I766" s="301"/>
      <c r="J766" s="301"/>
      <c r="K766" s="301"/>
      <c r="L766" s="301"/>
      <c r="M766" s="315"/>
      <c r="N766" s="301"/>
      <c r="O766" s="301"/>
    </row>
    <row r="767" spans="1:17" s="345" customFormat="1" ht="13.5">
      <c r="A767" s="298" t="s">
        <v>505</v>
      </c>
      <c r="B767" s="340" t="s">
        <v>333</v>
      </c>
      <c r="C767" s="298"/>
      <c r="D767" s="298"/>
      <c r="E767" s="301"/>
      <c r="F767" s="301"/>
      <c r="G767" s="301"/>
      <c r="H767" s="301"/>
      <c r="I767" s="301"/>
      <c r="J767" s="301"/>
      <c r="K767" s="301"/>
      <c r="L767" s="301"/>
      <c r="M767" s="315"/>
      <c r="N767" s="301"/>
      <c r="O767" s="301"/>
    </row>
    <row r="768" spans="1:17" s="345" customFormat="1" ht="13.15" customHeight="1">
      <c r="A768" s="1036"/>
      <c r="B768" s="1037" t="s">
        <v>330</v>
      </c>
      <c r="C768" s="1036" t="s">
        <v>49</v>
      </c>
      <c r="D768" s="298">
        <v>1</v>
      </c>
      <c r="E768" s="301">
        <f t="shared" ref="E768:J772" si="253">E756-E812/100</f>
        <v>196547.1138125</v>
      </c>
      <c r="F768" s="301">
        <f t="shared" si="253"/>
        <v>10842.615384615385</v>
      </c>
      <c r="G768" s="301">
        <f t="shared" si="253"/>
        <v>928.11003663003657</v>
      </c>
      <c r="H768" s="301">
        <f t="shared" si="253"/>
        <v>578838.85714285716</v>
      </c>
      <c r="I768" s="301">
        <f t="shared" si="253"/>
        <v>2374.8650000000002</v>
      </c>
      <c r="J768" s="301">
        <f t="shared" si="253"/>
        <v>24.040800000000004</v>
      </c>
      <c r="K768" s="301">
        <f t="shared" ref="K768:K777" si="254">SUM(E768:J768)</f>
        <v>789555.60217660258</v>
      </c>
      <c r="L768" s="301">
        <f>K768*0.25</f>
        <v>197388.90054415065</v>
      </c>
      <c r="M768" s="315">
        <f t="shared" ref="M768:M777" si="255">K768+L768</f>
        <v>986944.5027207532</v>
      </c>
      <c r="N768" s="301">
        <f>M768+M773</f>
        <v>1045085.9534719192</v>
      </c>
      <c r="O768" s="301">
        <f>O756-O812/100</f>
        <v>5592.9333791208783</v>
      </c>
    </row>
    <row r="769" spans="1:15" s="345" customFormat="1" ht="13.15" customHeight="1">
      <c r="A769" s="1036"/>
      <c r="B769" s="1037"/>
      <c r="C769" s="1036"/>
      <c r="D769" s="298">
        <v>2</v>
      </c>
      <c r="E769" s="301">
        <f t="shared" si="253"/>
        <v>227684.38379310351</v>
      </c>
      <c r="F769" s="301">
        <f t="shared" si="253"/>
        <v>13025.69230769231</v>
      </c>
      <c r="G769" s="301">
        <f t="shared" si="253"/>
        <v>1098.2112124226346</v>
      </c>
      <c r="H769" s="301">
        <f t="shared" si="253"/>
        <v>279799.44827586209</v>
      </c>
      <c r="I769" s="301">
        <f t="shared" si="253"/>
        <v>3168.4964285714286</v>
      </c>
      <c r="J769" s="301">
        <f t="shared" si="253"/>
        <v>30.051000000000002</v>
      </c>
      <c r="K769" s="301">
        <f t="shared" si="254"/>
        <v>524806.28301765199</v>
      </c>
      <c r="L769" s="301">
        <f>K769*0.25</f>
        <v>131201.570754413</v>
      </c>
      <c r="M769" s="315">
        <f t="shared" si="255"/>
        <v>656007.85377206502</v>
      </c>
      <c r="N769" s="301">
        <f>M769+M774</f>
        <v>710238.31672720588</v>
      </c>
      <c r="O769" s="301">
        <f>O757-O813/100</f>
        <v>6462.5729442970824</v>
      </c>
    </row>
    <row r="770" spans="1:15" s="345" customFormat="1" ht="13.15" customHeight="1">
      <c r="A770" s="1036"/>
      <c r="B770" s="1037"/>
      <c r="C770" s="1036"/>
      <c r="D770" s="298">
        <v>3</v>
      </c>
      <c r="E770" s="301">
        <f t="shared" si="253"/>
        <v>269270.11375000002</v>
      </c>
      <c r="F770" s="301">
        <f t="shared" si="253"/>
        <v>15627.192307692307</v>
      </c>
      <c r="G770" s="301">
        <f t="shared" si="253"/>
        <v>1432.8269710448283</v>
      </c>
      <c r="H770" s="301">
        <f t="shared" si="253"/>
        <v>165879.67346938775</v>
      </c>
      <c r="I770" s="301">
        <f t="shared" si="253"/>
        <v>3956.0985714285716</v>
      </c>
      <c r="J770" s="301">
        <f t="shared" si="253"/>
        <v>39.177600000000005</v>
      </c>
      <c r="K770" s="301">
        <f t="shared" si="254"/>
        <v>456205.08266955346</v>
      </c>
      <c r="L770" s="301">
        <f>K770*0.25</f>
        <v>114051.27066738837</v>
      </c>
      <c r="M770" s="315">
        <f t="shared" si="255"/>
        <v>570256.3533369418</v>
      </c>
      <c r="N770" s="301">
        <f>M770+M775</f>
        <v>624244.88961953146</v>
      </c>
      <c r="O770" s="301">
        <f>O758-O814/100</f>
        <v>7635.1785714285716</v>
      </c>
    </row>
    <row r="771" spans="1:15" s="345" customFormat="1" ht="13.15" customHeight="1">
      <c r="A771" s="1036"/>
      <c r="B771" s="1037"/>
      <c r="C771" s="1036"/>
      <c r="D771" s="298">
        <v>4</v>
      </c>
      <c r="E771" s="301">
        <f t="shared" si="253"/>
        <v>345927.06962500012</v>
      </c>
      <c r="F771" s="301">
        <f t="shared" si="253"/>
        <v>18756.269230769234</v>
      </c>
      <c r="G771" s="301">
        <f t="shared" si="253"/>
        <v>2147.0213024475529</v>
      </c>
      <c r="H771" s="301">
        <f t="shared" si="253"/>
        <v>736514.18181818177</v>
      </c>
      <c r="I771" s="301">
        <f t="shared" si="253"/>
        <v>4948.1378571428577</v>
      </c>
      <c r="J771" s="301">
        <f t="shared" si="253"/>
        <v>48.081600000000009</v>
      </c>
      <c r="K771" s="301">
        <f t="shared" si="254"/>
        <v>1108340.7614335415</v>
      </c>
      <c r="L771" s="301">
        <f>K771*0.25</f>
        <v>277085.19035838539</v>
      </c>
      <c r="M771" s="315">
        <f t="shared" si="255"/>
        <v>1385425.951791927</v>
      </c>
      <c r="N771" s="301">
        <f>M771+M776</f>
        <v>1459572.4102985628</v>
      </c>
      <c r="O771" s="301">
        <f>O759-O815/100</f>
        <v>9856.1634615384628</v>
      </c>
    </row>
    <row r="772" spans="1:15" s="345" customFormat="1" ht="13.15" customHeight="1">
      <c r="A772" s="1036"/>
      <c r="B772" s="1037"/>
      <c r="C772" s="1036"/>
      <c r="D772" s="298">
        <v>5</v>
      </c>
      <c r="E772" s="301">
        <f t="shared" si="253"/>
        <v>402747.1254448531</v>
      </c>
      <c r="F772" s="301">
        <f t="shared" si="253"/>
        <v>22503.884615384613</v>
      </c>
      <c r="G772" s="301">
        <f t="shared" si="253"/>
        <v>2657.6893885118147</v>
      </c>
      <c r="H772" s="301">
        <f t="shared" si="253"/>
        <v>476813.64705882355</v>
      </c>
      <c r="I772" s="301">
        <f t="shared" si="253"/>
        <v>6885.97</v>
      </c>
      <c r="J772" s="301">
        <f t="shared" si="253"/>
        <v>0</v>
      </c>
      <c r="K772" s="301">
        <f t="shared" si="254"/>
        <v>911608.31650757301</v>
      </c>
      <c r="L772" s="301">
        <f>K772*0.25</f>
        <v>227902.07912689325</v>
      </c>
      <c r="M772" s="315">
        <f t="shared" si="255"/>
        <v>1139510.3956344663</v>
      </c>
      <c r="N772" s="301">
        <f>M772+M777</f>
        <v>1212670.8023386667</v>
      </c>
      <c r="O772" s="301">
        <f>O760-O816/100</f>
        <v>11450.897341628959</v>
      </c>
    </row>
    <row r="773" spans="1:15" s="345" customFormat="1">
      <c r="A773" s="1036"/>
      <c r="B773" s="1037" t="s">
        <v>331</v>
      </c>
      <c r="C773" s="1036" t="s">
        <v>49</v>
      </c>
      <c r="D773" s="298">
        <v>1</v>
      </c>
      <c r="E773" s="301">
        <f t="shared" ref="E773:J777" si="256">E761</f>
        <v>34051.826600000008</v>
      </c>
      <c r="F773" s="301">
        <f t="shared" si="256"/>
        <v>0</v>
      </c>
      <c r="G773" s="301">
        <f t="shared" si="256"/>
        <v>553.52669963858364</v>
      </c>
      <c r="H773" s="301">
        <f t="shared" si="256"/>
        <v>14344.9</v>
      </c>
      <c r="I773" s="301">
        <f t="shared" si="256"/>
        <v>734.81076224489789</v>
      </c>
      <c r="J773" s="301">
        <f t="shared" si="256"/>
        <v>872.7192</v>
      </c>
      <c r="K773" s="301">
        <f t="shared" si="254"/>
        <v>50557.783261883487</v>
      </c>
      <c r="L773" s="301">
        <f>K773*0.15</f>
        <v>7583.6674892825231</v>
      </c>
      <c r="M773" s="315">
        <f t="shared" si="255"/>
        <v>58141.450751166012</v>
      </c>
      <c r="N773" s="301"/>
      <c r="O773" s="301">
        <f>O761</f>
        <v>945.83076923076919</v>
      </c>
    </row>
    <row r="774" spans="1:15" s="345" customFormat="1">
      <c r="A774" s="1036"/>
      <c r="B774" s="1035"/>
      <c r="C774" s="1036"/>
      <c r="D774" s="298">
        <v>2</v>
      </c>
      <c r="E774" s="301">
        <f t="shared" si="256"/>
        <v>31286.177165517249</v>
      </c>
      <c r="F774" s="301">
        <f t="shared" si="256"/>
        <v>0</v>
      </c>
      <c r="G774" s="301">
        <f t="shared" si="256"/>
        <v>521.66670795608604</v>
      </c>
      <c r="H774" s="301">
        <f t="shared" si="256"/>
        <v>14032.537931034483</v>
      </c>
      <c r="I774" s="301">
        <f t="shared" si="256"/>
        <v>509.21835948275861</v>
      </c>
      <c r="J774" s="301">
        <f t="shared" si="256"/>
        <v>807.32414482758634</v>
      </c>
      <c r="K774" s="301">
        <f t="shared" si="254"/>
        <v>47156.924308818168</v>
      </c>
      <c r="L774" s="301">
        <f>K774*0.15</f>
        <v>7073.5386463227251</v>
      </c>
      <c r="M774" s="315">
        <f t="shared" si="255"/>
        <v>54230.462955140894</v>
      </c>
      <c r="N774" s="301"/>
      <c r="O774" s="301">
        <f>O762</f>
        <v>861.54217506631301</v>
      </c>
    </row>
    <row r="775" spans="1:15" s="345" customFormat="1">
      <c r="A775" s="1036"/>
      <c r="B775" s="1035"/>
      <c r="C775" s="1036"/>
      <c r="D775" s="298">
        <v>3</v>
      </c>
      <c r="E775" s="301">
        <f t="shared" si="256"/>
        <v>31249.669336734707</v>
      </c>
      <c r="F775" s="301">
        <f t="shared" si="256"/>
        <v>0</v>
      </c>
      <c r="G775" s="301">
        <f t="shared" si="256"/>
        <v>543.93790728414444</v>
      </c>
      <c r="H775" s="301">
        <f t="shared" si="256"/>
        <v>13913.542857142857</v>
      </c>
      <c r="I775" s="301">
        <f t="shared" si="256"/>
        <v>440.24647376093287</v>
      </c>
      <c r="J775" s="301">
        <f t="shared" si="256"/>
        <v>799.15671428571443</v>
      </c>
      <c r="K775" s="301">
        <f t="shared" si="254"/>
        <v>46946.553289208357</v>
      </c>
      <c r="L775" s="301">
        <f>K775*0.15</f>
        <v>7041.9829933812534</v>
      </c>
      <c r="M775" s="315">
        <f t="shared" si="255"/>
        <v>53988.536282589608</v>
      </c>
      <c r="N775" s="301"/>
      <c r="O775" s="301">
        <f>O763</f>
        <v>854.52040816326542</v>
      </c>
    </row>
    <row r="776" spans="1:15" s="345" customFormat="1">
      <c r="A776" s="1036"/>
      <c r="B776" s="1035"/>
      <c r="C776" s="1036"/>
      <c r="D776" s="298">
        <v>4</v>
      </c>
      <c r="E776" s="301">
        <f t="shared" si="256"/>
        <v>46436.10070000001</v>
      </c>
      <c r="F776" s="301">
        <f t="shared" si="256"/>
        <v>0</v>
      </c>
      <c r="G776" s="301">
        <f t="shared" si="256"/>
        <v>779.26727148174052</v>
      </c>
      <c r="H776" s="301">
        <f t="shared" si="256"/>
        <v>14509.6</v>
      </c>
      <c r="I776" s="301">
        <f t="shared" si="256"/>
        <v>1541.1310840909089</v>
      </c>
      <c r="J776" s="301">
        <f t="shared" si="256"/>
        <v>1209.0822545454546</v>
      </c>
      <c r="K776" s="301">
        <f t="shared" si="254"/>
        <v>64475.181310118111</v>
      </c>
      <c r="L776" s="301">
        <f>K776*0.15</f>
        <v>9671.2771965177162</v>
      </c>
      <c r="M776" s="315">
        <f t="shared" si="255"/>
        <v>74146.458506635827</v>
      </c>
      <c r="N776" s="301"/>
      <c r="O776" s="301">
        <f>O764</f>
        <v>1276.853846153846</v>
      </c>
    </row>
    <row r="777" spans="1:15" s="345" customFormat="1">
      <c r="A777" s="1036"/>
      <c r="B777" s="1035"/>
      <c r="C777" s="1036"/>
      <c r="D777" s="298">
        <v>5</v>
      </c>
      <c r="E777" s="301">
        <f t="shared" si="256"/>
        <v>46166.088682352958</v>
      </c>
      <c r="F777" s="301">
        <f t="shared" si="256"/>
        <v>0</v>
      </c>
      <c r="G777" s="301">
        <f t="shared" si="256"/>
        <v>791.36237698089496</v>
      </c>
      <c r="H777" s="301">
        <f t="shared" si="256"/>
        <v>14238.329411764706</v>
      </c>
      <c r="I777" s="301">
        <f t="shared" si="256"/>
        <v>1287.477042016807</v>
      </c>
      <c r="J777" s="301">
        <f t="shared" si="256"/>
        <v>1134.4874470588236</v>
      </c>
      <c r="K777" s="301">
        <f t="shared" si="254"/>
        <v>63617.744960174197</v>
      </c>
      <c r="L777" s="301">
        <f>K777*0.15</f>
        <v>9542.6617440261289</v>
      </c>
      <c r="M777" s="315">
        <f t="shared" si="255"/>
        <v>73160.40670420033</v>
      </c>
      <c r="N777" s="301"/>
      <c r="O777" s="301">
        <f>O765</f>
        <v>1254.2389140271491</v>
      </c>
    </row>
    <row r="778" spans="1:15" s="345" customFormat="1" ht="13.5">
      <c r="A778" s="298" t="s">
        <v>506</v>
      </c>
      <c r="B778" s="340" t="s">
        <v>423</v>
      </c>
      <c r="C778" s="298"/>
      <c r="D778" s="298"/>
      <c r="E778" s="301"/>
      <c r="F778" s="301"/>
      <c r="G778" s="301"/>
      <c r="H778" s="301"/>
      <c r="I778" s="301"/>
      <c r="J778" s="301"/>
      <c r="K778" s="301"/>
      <c r="L778" s="301"/>
      <c r="M778" s="315"/>
      <c r="N778" s="301"/>
      <c r="O778" s="301"/>
    </row>
    <row r="779" spans="1:15" s="345" customFormat="1" ht="13.15" customHeight="1">
      <c r="A779" s="1036"/>
      <c r="B779" s="1037" t="s">
        <v>330</v>
      </c>
      <c r="C779" s="1036" t="s">
        <v>49</v>
      </c>
      <c r="D779" s="298">
        <v>1</v>
      </c>
      <c r="E779" s="301">
        <f t="shared" ref="E779:G788" si="257">E756*0.9</f>
        <v>182885.67990000002</v>
      </c>
      <c r="F779" s="301">
        <f t="shared" si="257"/>
        <v>9758.3538461538465</v>
      </c>
      <c r="G779" s="301">
        <f t="shared" si="257"/>
        <v>926.1980521978021</v>
      </c>
      <c r="H779" s="301">
        <f t="shared" ref="H779:H788" si="258">H756</f>
        <v>578873.65714285721</v>
      </c>
      <c r="I779" s="301">
        <f t="shared" ref="I779:J788" si="259">I756*0.9</f>
        <v>2234.4467142857143</v>
      </c>
      <c r="J779" s="301">
        <f t="shared" si="259"/>
        <v>22.838760000000004</v>
      </c>
      <c r="K779" s="301">
        <f t="shared" ref="K779:K788" si="260">SUM(E779:J779)</f>
        <v>774701.17441549455</v>
      </c>
      <c r="L779" s="301">
        <f>K779*0.25</f>
        <v>193675.29360387364</v>
      </c>
      <c r="M779" s="315">
        <f t="shared" ref="M779:M788" si="261">K779+L779</f>
        <v>968376.46801936813</v>
      </c>
      <c r="N779" s="301">
        <f>M779+M784</f>
        <v>1022353.4371954176</v>
      </c>
      <c r="O779" s="301">
        <f t="shared" ref="O779:O788" si="262">O756*0.9</f>
        <v>5203.3203296703296</v>
      </c>
    </row>
    <row r="780" spans="1:15" s="345" customFormat="1" ht="13.15" customHeight="1">
      <c r="A780" s="1036"/>
      <c r="B780" s="1037"/>
      <c r="C780" s="1036"/>
      <c r="D780" s="298">
        <v>2</v>
      </c>
      <c r="E780" s="301">
        <f t="shared" si="257"/>
        <v>213035.86972629317</v>
      </c>
      <c r="F780" s="301">
        <f t="shared" si="257"/>
        <v>11723.123076923079</v>
      </c>
      <c r="G780" s="301">
        <f t="shared" si="257"/>
        <v>1102.0138652188327</v>
      </c>
      <c r="H780" s="301">
        <f t="shared" si="258"/>
        <v>279834.24827586208</v>
      </c>
      <c r="I780" s="301">
        <f t="shared" si="259"/>
        <v>2979.1439999999998</v>
      </c>
      <c r="J780" s="301">
        <f t="shared" si="259"/>
        <v>28.648620000000001</v>
      </c>
      <c r="K780" s="301">
        <f t="shared" si="260"/>
        <v>508703.0475642971</v>
      </c>
      <c r="L780" s="301">
        <f>K780*0.25</f>
        <v>127175.76189107427</v>
      </c>
      <c r="M780" s="315">
        <f t="shared" si="261"/>
        <v>635878.80945537135</v>
      </c>
      <c r="N780" s="301">
        <f>M780+M785</f>
        <v>686299.96797706711</v>
      </c>
      <c r="O780" s="301">
        <f t="shared" si="262"/>
        <v>6046.2050729442972</v>
      </c>
    </row>
    <row r="781" spans="1:15" s="345" customFormat="1" ht="13.15" customHeight="1">
      <c r="A781" s="1036"/>
      <c r="B781" s="1037"/>
      <c r="C781" s="1036"/>
      <c r="D781" s="298">
        <v>3</v>
      </c>
      <c r="E781" s="301">
        <f t="shared" si="257"/>
        <v>252396.342</v>
      </c>
      <c r="F781" s="301">
        <f t="shared" si="257"/>
        <v>14064.473076923075</v>
      </c>
      <c r="G781" s="301">
        <f t="shared" si="257"/>
        <v>1441.0426393249609</v>
      </c>
      <c r="H781" s="301">
        <f t="shared" si="258"/>
        <v>165914.47346938774</v>
      </c>
      <c r="I781" s="301">
        <f t="shared" si="259"/>
        <v>3718.7697857142862</v>
      </c>
      <c r="J781" s="301">
        <f t="shared" si="259"/>
        <v>37.062900000000006</v>
      </c>
      <c r="K781" s="301">
        <f t="shared" si="260"/>
        <v>437572.16387135006</v>
      </c>
      <c r="L781" s="301">
        <f>K781*0.25</f>
        <v>109393.04096783751</v>
      </c>
      <c r="M781" s="315">
        <f t="shared" si="261"/>
        <v>546965.20483918756</v>
      </c>
      <c r="N781" s="301">
        <f>M781+M786</f>
        <v>597154.94492208969</v>
      </c>
      <c r="O781" s="301">
        <f t="shared" si="262"/>
        <v>7156.2857142857147</v>
      </c>
    </row>
    <row r="782" spans="1:15" s="345" customFormat="1" ht="13.15" customHeight="1">
      <c r="A782" s="1036"/>
      <c r="B782" s="1037"/>
      <c r="C782" s="1036"/>
      <c r="D782" s="298">
        <v>4</v>
      </c>
      <c r="E782" s="301">
        <f t="shared" si="257"/>
        <v>323900.91219375015</v>
      </c>
      <c r="F782" s="301">
        <f t="shared" si="257"/>
        <v>16880.642307692313</v>
      </c>
      <c r="G782" s="301">
        <f t="shared" si="257"/>
        <v>2136.8419654720283</v>
      </c>
      <c r="H782" s="301">
        <f t="shared" si="258"/>
        <v>736548.98181818181</v>
      </c>
      <c r="I782" s="301">
        <f t="shared" si="259"/>
        <v>4652.1771428571437</v>
      </c>
      <c r="J782" s="301">
        <f t="shared" si="259"/>
        <v>45.276840000000007</v>
      </c>
      <c r="K782" s="301">
        <f t="shared" si="260"/>
        <v>1084164.8322679533</v>
      </c>
      <c r="L782" s="301">
        <f>K782*0.25</f>
        <v>271041.20806698833</v>
      </c>
      <c r="M782" s="315">
        <f t="shared" si="261"/>
        <v>1355206.0403349416</v>
      </c>
      <c r="N782" s="301">
        <f>M782+M787</f>
        <v>1423606.4569909137</v>
      </c>
      <c r="O782" s="301">
        <f t="shared" si="262"/>
        <v>9226.3283653846174</v>
      </c>
    </row>
    <row r="783" spans="1:15" s="345" customFormat="1" ht="13.15" customHeight="1">
      <c r="A783" s="1036"/>
      <c r="B783" s="1037"/>
      <c r="C783" s="1036"/>
      <c r="D783" s="298">
        <v>5</v>
      </c>
      <c r="E783" s="301">
        <f t="shared" si="257"/>
        <v>380065.5822441178</v>
      </c>
      <c r="F783" s="301">
        <f t="shared" si="257"/>
        <v>20253.496153846154</v>
      </c>
      <c r="G783" s="301">
        <f t="shared" si="257"/>
        <v>2657.04258908371</v>
      </c>
      <c r="H783" s="301">
        <f t="shared" si="258"/>
        <v>476848.44705882354</v>
      </c>
      <c r="I783" s="301">
        <f t="shared" si="259"/>
        <v>6477.7249285714288</v>
      </c>
      <c r="J783" s="301">
        <f t="shared" si="259"/>
        <v>2.4040800000000004</v>
      </c>
      <c r="K783" s="301">
        <f t="shared" si="260"/>
        <v>886304.6970544426</v>
      </c>
      <c r="L783" s="301">
        <f>K783*0.25</f>
        <v>221576.17426361065</v>
      </c>
      <c r="M783" s="315">
        <f t="shared" si="261"/>
        <v>1107880.8713180532</v>
      </c>
      <c r="N783" s="301">
        <f>M783+M788</f>
        <v>1175362.6452341864</v>
      </c>
      <c r="O783" s="301">
        <f t="shared" si="262"/>
        <v>10803.901357466064</v>
      </c>
    </row>
    <row r="784" spans="1:15" s="345" customFormat="1">
      <c r="A784" s="1036"/>
      <c r="B784" s="1037" t="s">
        <v>331</v>
      </c>
      <c r="C784" s="1036" t="s">
        <v>49</v>
      </c>
      <c r="D784" s="333" t="s">
        <v>18</v>
      </c>
      <c r="E784" s="301">
        <f t="shared" si="257"/>
        <v>30646.643940000009</v>
      </c>
      <c r="F784" s="301">
        <f t="shared" si="257"/>
        <v>0</v>
      </c>
      <c r="G784" s="301">
        <f t="shared" si="257"/>
        <v>498.17402967472526</v>
      </c>
      <c r="H784" s="301">
        <f t="shared" si="258"/>
        <v>14344.9</v>
      </c>
      <c r="I784" s="301">
        <f t="shared" si="259"/>
        <v>661.32968602040808</v>
      </c>
      <c r="J784" s="301">
        <f t="shared" si="259"/>
        <v>785.44727999999998</v>
      </c>
      <c r="K784" s="301">
        <f t="shared" si="260"/>
        <v>46936.49493569514</v>
      </c>
      <c r="L784" s="301">
        <f>K784*0.15</f>
        <v>7040.4742403542705</v>
      </c>
      <c r="M784" s="315">
        <f t="shared" si="261"/>
        <v>53976.96917604941</v>
      </c>
      <c r="N784" s="301"/>
      <c r="O784" s="301">
        <f t="shared" si="262"/>
        <v>851.24769230769232</v>
      </c>
    </row>
    <row r="785" spans="1:15" s="345" customFormat="1">
      <c r="A785" s="1036"/>
      <c r="B785" s="1035"/>
      <c r="C785" s="1036"/>
      <c r="D785" s="298">
        <v>2</v>
      </c>
      <c r="E785" s="301">
        <f t="shared" si="257"/>
        <v>28157.559448965523</v>
      </c>
      <c r="F785" s="301">
        <f t="shared" si="257"/>
        <v>0</v>
      </c>
      <c r="G785" s="301">
        <f t="shared" si="257"/>
        <v>469.50003716047746</v>
      </c>
      <c r="H785" s="301">
        <f t="shared" si="258"/>
        <v>14032.537931034483</v>
      </c>
      <c r="I785" s="301">
        <f t="shared" si="259"/>
        <v>458.29652353448279</v>
      </c>
      <c r="J785" s="301">
        <f t="shared" si="259"/>
        <v>726.59173034482774</v>
      </c>
      <c r="K785" s="301">
        <f t="shared" si="260"/>
        <v>43844.485671039794</v>
      </c>
      <c r="L785" s="301">
        <f>K785*0.15</f>
        <v>6576.6728506559693</v>
      </c>
      <c r="M785" s="315">
        <f t="shared" si="261"/>
        <v>50421.158521695761</v>
      </c>
      <c r="N785" s="301"/>
      <c r="O785" s="301">
        <f t="shared" si="262"/>
        <v>775.38795755968169</v>
      </c>
    </row>
    <row r="786" spans="1:15" s="345" customFormat="1">
      <c r="A786" s="1036"/>
      <c r="B786" s="1035"/>
      <c r="C786" s="1036"/>
      <c r="D786" s="298">
        <v>3</v>
      </c>
      <c r="E786" s="301">
        <f t="shared" si="257"/>
        <v>28124.702403061237</v>
      </c>
      <c r="F786" s="301">
        <f t="shared" si="257"/>
        <v>0</v>
      </c>
      <c r="G786" s="301">
        <f t="shared" si="257"/>
        <v>489.54411655573</v>
      </c>
      <c r="H786" s="301">
        <f t="shared" si="258"/>
        <v>13913.542857142857</v>
      </c>
      <c r="I786" s="301">
        <f t="shared" si="259"/>
        <v>396.22182638483957</v>
      </c>
      <c r="J786" s="301">
        <f t="shared" si="259"/>
        <v>719.24104285714304</v>
      </c>
      <c r="K786" s="301">
        <f t="shared" si="260"/>
        <v>43643.252246001815</v>
      </c>
      <c r="L786" s="301">
        <f>K786*0.15</f>
        <v>6546.4878369002718</v>
      </c>
      <c r="M786" s="315">
        <f t="shared" si="261"/>
        <v>50189.740082902084</v>
      </c>
      <c r="N786" s="301"/>
      <c r="O786" s="301">
        <f t="shared" si="262"/>
        <v>769.06836734693889</v>
      </c>
    </row>
    <row r="787" spans="1:15" s="345" customFormat="1">
      <c r="A787" s="1036"/>
      <c r="B787" s="1035"/>
      <c r="C787" s="1036"/>
      <c r="D787" s="298">
        <v>4</v>
      </c>
      <c r="E787" s="301">
        <f t="shared" si="257"/>
        <v>41792.490630000008</v>
      </c>
      <c r="F787" s="301">
        <f t="shared" si="257"/>
        <v>0</v>
      </c>
      <c r="G787" s="301">
        <f t="shared" si="257"/>
        <v>701.34054433356653</v>
      </c>
      <c r="H787" s="301">
        <f t="shared" si="258"/>
        <v>14509.6</v>
      </c>
      <c r="I787" s="301">
        <f t="shared" si="259"/>
        <v>1387.0179756818179</v>
      </c>
      <c r="J787" s="301">
        <f t="shared" si="259"/>
        <v>1088.1740290909092</v>
      </c>
      <c r="K787" s="301">
        <f t="shared" si="260"/>
        <v>59478.623179106296</v>
      </c>
      <c r="L787" s="301">
        <f>K787*0.15</f>
        <v>8921.7934768659434</v>
      </c>
      <c r="M787" s="315">
        <f t="shared" si="261"/>
        <v>68400.416655972236</v>
      </c>
      <c r="N787" s="301"/>
      <c r="O787" s="301">
        <f t="shared" si="262"/>
        <v>1149.1684615384615</v>
      </c>
    </row>
    <row r="788" spans="1:15" s="345" customFormat="1">
      <c r="A788" s="1036"/>
      <c r="B788" s="1035"/>
      <c r="C788" s="1036"/>
      <c r="D788" s="298">
        <v>5</v>
      </c>
      <c r="E788" s="301">
        <f t="shared" si="257"/>
        <v>41549.479814117665</v>
      </c>
      <c r="F788" s="301">
        <f t="shared" si="257"/>
        <v>0</v>
      </c>
      <c r="G788" s="301">
        <f t="shared" si="257"/>
        <v>712.22613928280543</v>
      </c>
      <c r="H788" s="301">
        <f t="shared" si="258"/>
        <v>14238.329411764706</v>
      </c>
      <c r="I788" s="301">
        <f t="shared" si="259"/>
        <v>1158.7293378151264</v>
      </c>
      <c r="J788" s="301">
        <f t="shared" si="259"/>
        <v>1021.0387023529413</v>
      </c>
      <c r="K788" s="301">
        <f t="shared" si="260"/>
        <v>58679.803405333252</v>
      </c>
      <c r="L788" s="301">
        <f>K788*0.15</f>
        <v>8801.9705107999871</v>
      </c>
      <c r="M788" s="315">
        <f t="shared" si="261"/>
        <v>67481.773916133243</v>
      </c>
      <c r="N788" s="301"/>
      <c r="O788" s="301">
        <f t="shared" si="262"/>
        <v>1128.8150226244343</v>
      </c>
    </row>
    <row r="789" spans="1:15" s="345" customFormat="1" ht="13.5">
      <c r="A789" s="298" t="s">
        <v>507</v>
      </c>
      <c r="B789" s="340" t="s">
        <v>424</v>
      </c>
      <c r="C789" s="298"/>
      <c r="D789" s="298"/>
      <c r="E789" s="301"/>
      <c r="F789" s="301"/>
      <c r="G789" s="301"/>
      <c r="H789" s="301"/>
      <c r="I789" s="301"/>
      <c r="J789" s="301"/>
      <c r="K789" s="301"/>
      <c r="L789" s="301"/>
      <c r="M789" s="315"/>
      <c r="N789" s="301"/>
      <c r="O789" s="301"/>
    </row>
    <row r="790" spans="1:15" s="345" customFormat="1" ht="13.15" customHeight="1">
      <c r="A790" s="1036"/>
      <c r="B790" s="1037" t="s">
        <v>330</v>
      </c>
      <c r="C790" s="1036" t="s">
        <v>49</v>
      </c>
      <c r="D790" s="298">
        <v>1</v>
      </c>
      <c r="E790" s="301">
        <f t="shared" ref="E790:G799" si="263">E756*0.8</f>
        <v>162565.04880000002</v>
      </c>
      <c r="F790" s="301">
        <f t="shared" si="263"/>
        <v>8674.0923076923082</v>
      </c>
      <c r="G790" s="301">
        <f t="shared" si="263"/>
        <v>823.28715750915751</v>
      </c>
      <c r="H790" s="301">
        <f t="shared" ref="H790:H799" si="264">H756</f>
        <v>578873.65714285721</v>
      </c>
      <c r="I790" s="301">
        <f t="shared" ref="I790:J799" si="265">I756*0.8</f>
        <v>1986.1748571428573</v>
      </c>
      <c r="J790" s="301">
        <f t="shared" si="265"/>
        <v>20.301120000000004</v>
      </c>
      <c r="K790" s="301">
        <f t="shared" ref="K790:K799" si="266">SUM(E790:J790)</f>
        <v>752942.56138520152</v>
      </c>
      <c r="L790" s="301">
        <f>K790*0.25</f>
        <v>188235.64034630038</v>
      </c>
      <c r="M790" s="315">
        <f t="shared" ref="M790:M799" si="267">K790+L790</f>
        <v>941178.20173150185</v>
      </c>
      <c r="N790" s="301">
        <f>M790+M795</f>
        <v>990990.68933243467</v>
      </c>
      <c r="O790" s="301">
        <f t="shared" ref="O790:O799" si="268">O756*0.8</f>
        <v>4625.1736263736266</v>
      </c>
    </row>
    <row r="791" spans="1:15" s="345" customFormat="1" ht="13.15" customHeight="1">
      <c r="A791" s="1036"/>
      <c r="B791" s="1037"/>
      <c r="C791" s="1036"/>
      <c r="D791" s="298">
        <v>2</v>
      </c>
      <c r="E791" s="301">
        <f t="shared" si="263"/>
        <v>189365.21753448283</v>
      </c>
      <c r="F791" s="301">
        <f t="shared" si="263"/>
        <v>10420.553846153849</v>
      </c>
      <c r="G791" s="301">
        <f t="shared" si="263"/>
        <v>979.56788019451801</v>
      </c>
      <c r="H791" s="301">
        <f t="shared" si="264"/>
        <v>279834.24827586208</v>
      </c>
      <c r="I791" s="301">
        <f t="shared" si="265"/>
        <v>2648.1280000000002</v>
      </c>
      <c r="J791" s="301">
        <f t="shared" si="265"/>
        <v>25.465440000000001</v>
      </c>
      <c r="K791" s="301">
        <f t="shared" si="266"/>
        <v>483273.18097669329</v>
      </c>
      <c r="L791" s="301">
        <f>K791*0.25</f>
        <v>120818.29524417332</v>
      </c>
      <c r="M791" s="315">
        <f t="shared" si="267"/>
        <v>604091.47622086667</v>
      </c>
      <c r="N791" s="301">
        <f>M791+M796</f>
        <v>650703.33030911733</v>
      </c>
      <c r="O791" s="301">
        <f t="shared" si="268"/>
        <v>5374.4045092838205</v>
      </c>
    </row>
    <row r="792" spans="1:15" s="345" customFormat="1" ht="13.15" customHeight="1">
      <c r="A792" s="1036"/>
      <c r="B792" s="1037"/>
      <c r="C792" s="1036"/>
      <c r="D792" s="298">
        <v>3</v>
      </c>
      <c r="E792" s="301">
        <f t="shared" si="263"/>
        <v>224352.304</v>
      </c>
      <c r="F792" s="301">
        <f t="shared" si="263"/>
        <v>12501.753846153846</v>
      </c>
      <c r="G792" s="301">
        <f t="shared" si="263"/>
        <v>1280.9267905110764</v>
      </c>
      <c r="H792" s="301">
        <f t="shared" si="264"/>
        <v>165914.47346938774</v>
      </c>
      <c r="I792" s="301">
        <f t="shared" si="265"/>
        <v>3305.5731428571435</v>
      </c>
      <c r="J792" s="301">
        <f t="shared" si="265"/>
        <v>32.944800000000008</v>
      </c>
      <c r="K792" s="301">
        <f t="shared" si="266"/>
        <v>407387.97604890983</v>
      </c>
      <c r="L792" s="301">
        <f>K792*0.25</f>
        <v>101846.99401222746</v>
      </c>
      <c r="M792" s="315">
        <f t="shared" si="267"/>
        <v>509234.97006113728</v>
      </c>
      <c r="N792" s="301">
        <f>M792+M797</f>
        <v>555625.91394435184</v>
      </c>
      <c r="O792" s="301">
        <f t="shared" si="268"/>
        <v>6361.1428571428578</v>
      </c>
    </row>
    <row r="793" spans="1:15" s="345" customFormat="1" ht="13.15" customHeight="1">
      <c r="A793" s="1036"/>
      <c r="B793" s="1037"/>
      <c r="C793" s="1036"/>
      <c r="D793" s="298">
        <v>4</v>
      </c>
      <c r="E793" s="301">
        <f t="shared" si="263"/>
        <v>287911.92195000011</v>
      </c>
      <c r="F793" s="301">
        <f t="shared" si="263"/>
        <v>15005.015384615388</v>
      </c>
      <c r="G793" s="301">
        <f t="shared" si="263"/>
        <v>1899.4150804195808</v>
      </c>
      <c r="H793" s="301">
        <f t="shared" si="264"/>
        <v>736548.98181818181</v>
      </c>
      <c r="I793" s="301">
        <f t="shared" si="265"/>
        <v>4135.2685714285717</v>
      </c>
      <c r="J793" s="301">
        <f t="shared" si="265"/>
        <v>40.246080000000006</v>
      </c>
      <c r="K793" s="301">
        <f t="shared" si="266"/>
        <v>1045540.8488846455</v>
      </c>
      <c r="L793" s="301">
        <f>K793*0.25</f>
        <v>261385.21222116138</v>
      </c>
      <c r="M793" s="315">
        <f t="shared" si="267"/>
        <v>1306926.0611058068</v>
      </c>
      <c r="N793" s="301">
        <f>M793+M798</f>
        <v>1369580.4359111155</v>
      </c>
      <c r="O793" s="301">
        <f t="shared" si="268"/>
        <v>8201.1807692307702</v>
      </c>
    </row>
    <row r="794" spans="1:15" s="345" customFormat="1" ht="13.15" customHeight="1">
      <c r="A794" s="1036"/>
      <c r="B794" s="1037"/>
      <c r="C794" s="1036"/>
      <c r="D794" s="298">
        <v>5</v>
      </c>
      <c r="E794" s="301">
        <f t="shared" si="263"/>
        <v>337836.0731058825</v>
      </c>
      <c r="F794" s="301">
        <f t="shared" si="263"/>
        <v>18003.107692307691</v>
      </c>
      <c r="G794" s="301">
        <f t="shared" si="263"/>
        <v>2361.8156347410759</v>
      </c>
      <c r="H794" s="301">
        <f t="shared" si="264"/>
        <v>476848.44705882354</v>
      </c>
      <c r="I794" s="301">
        <f t="shared" si="265"/>
        <v>5757.9777142857147</v>
      </c>
      <c r="J794" s="301">
        <f t="shared" si="265"/>
        <v>2.1369600000000002</v>
      </c>
      <c r="K794" s="301">
        <f t="shared" si="266"/>
        <v>840809.55816604057</v>
      </c>
      <c r="L794" s="301">
        <f>K794*0.25</f>
        <v>210202.38954151014</v>
      </c>
      <c r="M794" s="315">
        <f t="shared" si="267"/>
        <v>1051011.9477075506</v>
      </c>
      <c r="N794" s="301">
        <f>M794+M799</f>
        <v>1112815.0888356168</v>
      </c>
      <c r="O794" s="301">
        <f t="shared" si="268"/>
        <v>9603.4678733031669</v>
      </c>
    </row>
    <row r="795" spans="1:15" s="345" customFormat="1" ht="13.15" customHeight="1">
      <c r="A795" s="1036"/>
      <c r="B795" s="1037" t="s">
        <v>331</v>
      </c>
      <c r="C795" s="1036" t="s">
        <v>49</v>
      </c>
      <c r="D795" s="298" t="s">
        <v>18</v>
      </c>
      <c r="E795" s="301">
        <f t="shared" si="263"/>
        <v>27241.461280000007</v>
      </c>
      <c r="F795" s="301">
        <f t="shared" si="263"/>
        <v>0</v>
      </c>
      <c r="G795" s="301">
        <f t="shared" si="263"/>
        <v>442.82135971086694</v>
      </c>
      <c r="H795" s="301">
        <f t="shared" si="264"/>
        <v>14344.9</v>
      </c>
      <c r="I795" s="301">
        <f t="shared" si="265"/>
        <v>587.84860979591838</v>
      </c>
      <c r="J795" s="301">
        <f t="shared" si="265"/>
        <v>698.17536000000007</v>
      </c>
      <c r="K795" s="301">
        <f t="shared" si="266"/>
        <v>43315.206609506793</v>
      </c>
      <c r="L795" s="301">
        <f>K795*0.15</f>
        <v>6497.2809914260188</v>
      </c>
      <c r="M795" s="315">
        <f t="shared" si="267"/>
        <v>49812.487600932815</v>
      </c>
      <c r="N795" s="301"/>
      <c r="O795" s="301">
        <f t="shared" si="268"/>
        <v>756.66461538461544</v>
      </c>
    </row>
    <row r="796" spans="1:15" s="345" customFormat="1" ht="13.15" customHeight="1">
      <c r="A796" s="1036"/>
      <c r="B796" s="1037"/>
      <c r="C796" s="1036"/>
      <c r="D796" s="298">
        <v>2</v>
      </c>
      <c r="E796" s="301">
        <f t="shared" si="263"/>
        <v>25028.941732413801</v>
      </c>
      <c r="F796" s="301">
        <f t="shared" si="263"/>
        <v>0</v>
      </c>
      <c r="G796" s="301">
        <f t="shared" si="263"/>
        <v>417.33336636486888</v>
      </c>
      <c r="H796" s="301">
        <f t="shared" si="264"/>
        <v>14032.537931034483</v>
      </c>
      <c r="I796" s="301">
        <f t="shared" si="265"/>
        <v>407.3746875862069</v>
      </c>
      <c r="J796" s="301">
        <f t="shared" si="265"/>
        <v>645.85931586206914</v>
      </c>
      <c r="K796" s="301">
        <f t="shared" si="266"/>
        <v>40532.047033261435</v>
      </c>
      <c r="L796" s="301">
        <f>K796*0.15</f>
        <v>6079.8070549892154</v>
      </c>
      <c r="M796" s="315">
        <f t="shared" si="267"/>
        <v>46611.85408825065</v>
      </c>
      <c r="N796" s="301"/>
      <c r="O796" s="301">
        <f t="shared" si="268"/>
        <v>689.2337400530505</v>
      </c>
    </row>
    <row r="797" spans="1:15" s="345" customFormat="1" ht="13.15" customHeight="1">
      <c r="A797" s="1036"/>
      <c r="B797" s="1037"/>
      <c r="C797" s="1036"/>
      <c r="D797" s="298">
        <v>3</v>
      </c>
      <c r="E797" s="301">
        <f t="shared" si="263"/>
        <v>24999.735469387768</v>
      </c>
      <c r="F797" s="301">
        <f t="shared" si="263"/>
        <v>0</v>
      </c>
      <c r="G797" s="301">
        <f t="shared" si="263"/>
        <v>435.15032582731556</v>
      </c>
      <c r="H797" s="301">
        <f t="shared" si="264"/>
        <v>13913.542857142857</v>
      </c>
      <c r="I797" s="301">
        <f t="shared" si="265"/>
        <v>352.19717900874633</v>
      </c>
      <c r="J797" s="301">
        <f t="shared" si="265"/>
        <v>639.32537142857154</v>
      </c>
      <c r="K797" s="301">
        <f t="shared" si="266"/>
        <v>40339.951202795259</v>
      </c>
      <c r="L797" s="301">
        <f>K797*0.15</f>
        <v>6050.9926804192883</v>
      </c>
      <c r="M797" s="315">
        <f t="shared" si="267"/>
        <v>46390.943883214546</v>
      </c>
      <c r="N797" s="301"/>
      <c r="O797" s="301">
        <f t="shared" si="268"/>
        <v>683.61632653061235</v>
      </c>
    </row>
    <row r="798" spans="1:15" s="345" customFormat="1" ht="13.15" customHeight="1">
      <c r="A798" s="1036"/>
      <c r="B798" s="1037"/>
      <c r="C798" s="1036"/>
      <c r="D798" s="298">
        <v>4</v>
      </c>
      <c r="E798" s="301">
        <f t="shared" si="263"/>
        <v>37148.880560000012</v>
      </c>
      <c r="F798" s="301">
        <f t="shared" si="263"/>
        <v>0</v>
      </c>
      <c r="G798" s="301">
        <f t="shared" si="263"/>
        <v>623.41381718539242</v>
      </c>
      <c r="H798" s="301">
        <f t="shared" si="264"/>
        <v>14509.6</v>
      </c>
      <c r="I798" s="301">
        <f t="shared" si="265"/>
        <v>1232.9048672727272</v>
      </c>
      <c r="J798" s="301">
        <f t="shared" si="265"/>
        <v>967.26580363636367</v>
      </c>
      <c r="K798" s="301">
        <f t="shared" si="266"/>
        <v>54482.065048094497</v>
      </c>
      <c r="L798" s="301">
        <f>K798*0.15</f>
        <v>8172.3097572141742</v>
      </c>
      <c r="M798" s="315">
        <f t="shared" si="267"/>
        <v>62654.374805308675</v>
      </c>
      <c r="N798" s="301"/>
      <c r="O798" s="301">
        <f t="shared" si="268"/>
        <v>1021.4830769230769</v>
      </c>
    </row>
    <row r="799" spans="1:15" s="345" customFormat="1" ht="13.15" customHeight="1">
      <c r="A799" s="1036"/>
      <c r="B799" s="1037"/>
      <c r="C799" s="1036"/>
      <c r="D799" s="298">
        <v>5</v>
      </c>
      <c r="E799" s="301">
        <f t="shared" si="263"/>
        <v>36932.870945882365</v>
      </c>
      <c r="F799" s="301">
        <f t="shared" si="263"/>
        <v>0</v>
      </c>
      <c r="G799" s="301">
        <f t="shared" si="263"/>
        <v>633.08990158471602</v>
      </c>
      <c r="H799" s="301">
        <f t="shared" si="264"/>
        <v>14238.329411764706</v>
      </c>
      <c r="I799" s="301">
        <f t="shared" si="265"/>
        <v>1029.9816336134456</v>
      </c>
      <c r="J799" s="301">
        <f t="shared" si="265"/>
        <v>907.5899576470589</v>
      </c>
      <c r="K799" s="301">
        <f t="shared" si="266"/>
        <v>53741.861850492292</v>
      </c>
      <c r="L799" s="301">
        <f>K799*0.15</f>
        <v>8061.2792775738435</v>
      </c>
      <c r="M799" s="315">
        <f t="shared" si="267"/>
        <v>61803.141128066134</v>
      </c>
      <c r="N799" s="301"/>
      <c r="O799" s="301">
        <f t="shared" si="268"/>
        <v>1003.3911312217193</v>
      </c>
    </row>
    <row r="800" spans="1:15" s="308" customFormat="1" ht="12.75" customHeight="1">
      <c r="A800" s="298" t="s">
        <v>493</v>
      </c>
      <c r="B800" s="340" t="s">
        <v>491</v>
      </c>
      <c r="C800" s="298"/>
      <c r="D800" s="298"/>
      <c r="E800" s="301"/>
      <c r="F800" s="301"/>
      <c r="G800" s="301"/>
      <c r="H800" s="301"/>
      <c r="I800" s="301"/>
      <c r="J800" s="301"/>
      <c r="K800" s="301"/>
      <c r="L800" s="301"/>
      <c r="M800" s="315"/>
      <c r="N800" s="301"/>
      <c r="O800" s="301"/>
    </row>
    <row r="801" spans="1:15" s="345" customFormat="1" ht="13.15" customHeight="1">
      <c r="A801" s="1036"/>
      <c r="B801" s="1037" t="s">
        <v>192</v>
      </c>
      <c r="C801" s="1036" t="s">
        <v>49</v>
      </c>
      <c r="D801" s="298" t="s">
        <v>18</v>
      </c>
      <c r="E801" s="301">
        <f>E$833/100+(E$835+E$836)/$C761</f>
        <v>11229.186335714288</v>
      </c>
      <c r="F801" s="301"/>
      <c r="G801" s="301">
        <f t="shared" ref="G801:J805" si="269">G756</f>
        <v>1029.1089468864468</v>
      </c>
      <c r="H801" s="301">
        <f t="shared" si="269"/>
        <v>578873.65714285721</v>
      </c>
      <c r="I801" s="301">
        <f t="shared" si="269"/>
        <v>2482.7185714285715</v>
      </c>
      <c r="J801" s="301">
        <f t="shared" si="269"/>
        <v>25.376400000000004</v>
      </c>
      <c r="K801" s="301">
        <f>SUM(E801:J801)</f>
        <v>593640.0473968864</v>
      </c>
      <c r="L801" s="301">
        <f>K801*0.15</f>
        <v>89046.007109532962</v>
      </c>
      <c r="M801" s="315">
        <f>K801+L801</f>
        <v>682686.05450641934</v>
      </c>
      <c r="N801" s="301">
        <f>M801</f>
        <v>682686.05450641934</v>
      </c>
      <c r="O801" s="301">
        <f>O$833/100+(O$835+O$836)/$C761</f>
        <v>317.91813186813187</v>
      </c>
    </row>
    <row r="802" spans="1:15" s="345" customFormat="1" ht="13.15" customHeight="1">
      <c r="A802" s="1036"/>
      <c r="B802" s="1037"/>
      <c r="C802" s="1036"/>
      <c r="D802" s="298" t="s">
        <v>20</v>
      </c>
      <c r="E802" s="301">
        <f>E$833/100+(E$835+E$836)/$C762</f>
        <v>10754.270127586211</v>
      </c>
      <c r="F802" s="301"/>
      <c r="G802" s="301">
        <f t="shared" si="269"/>
        <v>1224.4598502431475</v>
      </c>
      <c r="H802" s="301">
        <f t="shared" si="269"/>
        <v>279834.24827586208</v>
      </c>
      <c r="I802" s="301">
        <f t="shared" si="269"/>
        <v>3310.16</v>
      </c>
      <c r="J802" s="301">
        <f t="shared" si="269"/>
        <v>31.831800000000001</v>
      </c>
      <c r="K802" s="301">
        <f>SUM(E802:J802)</f>
        <v>295154.97005369142</v>
      </c>
      <c r="L802" s="301">
        <f>K802*0.15</f>
        <v>44273.245508053711</v>
      </c>
      <c r="M802" s="315">
        <f>K802+L802</f>
        <v>339428.21556174511</v>
      </c>
      <c r="N802" s="301">
        <f>M802</f>
        <v>339428.21556174511</v>
      </c>
      <c r="O802" s="301">
        <f>O$833/100+(O$835+O$836)/$C762</f>
        <v>304.47241379310344</v>
      </c>
    </row>
    <row r="803" spans="1:15" s="345" customFormat="1" ht="13.15" customHeight="1">
      <c r="A803" s="1036"/>
      <c r="B803" s="1037"/>
      <c r="C803" s="1036"/>
      <c r="D803" s="298" t="s">
        <v>35</v>
      </c>
      <c r="E803" s="301">
        <f>E$833/100+(E$835+E$836)/$C763</f>
        <v>10573.349667346942</v>
      </c>
      <c r="F803" s="301"/>
      <c r="G803" s="301">
        <f t="shared" si="269"/>
        <v>1601.1584881388453</v>
      </c>
      <c r="H803" s="301">
        <f t="shared" si="269"/>
        <v>165914.47346938774</v>
      </c>
      <c r="I803" s="301">
        <f t="shared" si="269"/>
        <v>4131.9664285714289</v>
      </c>
      <c r="J803" s="301">
        <f t="shared" si="269"/>
        <v>41.181000000000004</v>
      </c>
      <c r="K803" s="301">
        <f>SUM(E803:J803)</f>
        <v>182262.12905344498</v>
      </c>
      <c r="L803" s="301">
        <f>K803*0.15</f>
        <v>27339.319358016746</v>
      </c>
      <c r="M803" s="315">
        <f>K803+L803</f>
        <v>209601.44841146172</v>
      </c>
      <c r="N803" s="301">
        <f>M803</f>
        <v>209601.44841146172</v>
      </c>
      <c r="O803" s="301">
        <f>O$833/100+(O$835+O$836)/$C763</f>
        <v>299.35023547880689</v>
      </c>
    </row>
    <row r="804" spans="1:15" s="345" customFormat="1" ht="13.15" customHeight="1">
      <c r="A804" s="1036"/>
      <c r="B804" s="1037"/>
      <c r="C804" s="1036"/>
      <c r="D804" s="298" t="s">
        <v>33</v>
      </c>
      <c r="E804" s="301">
        <f>E$833/100+(E$835+E$836)/$C764</f>
        <v>11479.596700000004</v>
      </c>
      <c r="F804" s="301"/>
      <c r="G804" s="301">
        <f t="shared" si="269"/>
        <v>2374.268850524476</v>
      </c>
      <c r="H804" s="301">
        <f t="shared" si="269"/>
        <v>736548.98181818181</v>
      </c>
      <c r="I804" s="301">
        <f t="shared" si="269"/>
        <v>5169.0857142857149</v>
      </c>
      <c r="J804" s="301">
        <f t="shared" si="269"/>
        <v>50.307600000000008</v>
      </c>
      <c r="K804" s="301">
        <f>SUM(E804:J804)</f>
        <v>755622.24068299192</v>
      </c>
      <c r="L804" s="301">
        <f>K804*0.15</f>
        <v>113343.33610244878</v>
      </c>
      <c r="M804" s="315">
        <f>K804+L804</f>
        <v>868965.57678544067</v>
      </c>
      <c r="N804" s="301">
        <f>M804</f>
        <v>868965.57678544067</v>
      </c>
      <c r="O804" s="301">
        <f>O$833/100+(O$835+O$836)/$C764</f>
        <v>325.00769230769231</v>
      </c>
    </row>
    <row r="805" spans="1:15" s="345" customFormat="1" ht="13.15" customHeight="1">
      <c r="A805" s="1036"/>
      <c r="B805" s="1037"/>
      <c r="C805" s="1036"/>
      <c r="D805" s="298">
        <v>5</v>
      </c>
      <c r="E805" s="301">
        <f>E$833/100+(E$835+E$836)/$C765</f>
        <v>11067.156100000004</v>
      </c>
      <c r="F805" s="301"/>
      <c r="G805" s="301">
        <f t="shared" si="269"/>
        <v>2952.2695434263446</v>
      </c>
      <c r="H805" s="301">
        <f t="shared" si="269"/>
        <v>476848.44705882354</v>
      </c>
      <c r="I805" s="301">
        <f t="shared" si="269"/>
        <v>7197.4721428571429</v>
      </c>
      <c r="J805" s="301">
        <f t="shared" si="269"/>
        <v>2.6712000000000002</v>
      </c>
      <c r="K805" s="301">
        <f>SUM(E805:J805)</f>
        <v>498068.01604510704</v>
      </c>
      <c r="L805" s="301">
        <f>K805*0.15</f>
        <v>74710.202406766053</v>
      </c>
      <c r="M805" s="315">
        <f>K805+L805</f>
        <v>572778.21845187305</v>
      </c>
      <c r="N805" s="301">
        <f>M805</f>
        <v>572778.21845187305</v>
      </c>
      <c r="O805" s="301">
        <f>O$833/100+(O$835+O$836)/$C765</f>
        <v>313.33076923076919</v>
      </c>
    </row>
    <row r="806" spans="1:15" s="345" customFormat="1">
      <c r="A806" s="298">
        <v>1</v>
      </c>
      <c r="B806" s="316" t="s">
        <v>190</v>
      </c>
      <c r="C806" s="333"/>
      <c r="D806" s="333"/>
      <c r="E806" s="301"/>
      <c r="F806" s="301"/>
      <c r="G806" s="301"/>
      <c r="H806" s="301"/>
      <c r="I806" s="301"/>
      <c r="J806" s="301"/>
      <c r="K806" s="301"/>
      <c r="L806" s="301"/>
      <c r="M806" s="302"/>
      <c r="N806" s="301"/>
      <c r="O806" s="301"/>
    </row>
    <row r="807" spans="1:15" s="345" customFormat="1">
      <c r="A807" s="1043">
        <v>1.1000000000000001</v>
      </c>
      <c r="B807" s="1038" t="str">
        <f>NhanCong!B$150</f>
        <v>Đối soát thực địa (công nhóm/mảnh)</v>
      </c>
      <c r="C807" s="1039" t="s">
        <v>317</v>
      </c>
      <c r="D807" s="319" t="s">
        <v>18</v>
      </c>
      <c r="E807" s="301">
        <f>NhanCong!U$150</f>
        <v>93182.493250000029</v>
      </c>
      <c r="F807" s="301"/>
      <c r="G807" s="320">
        <f>Dcu!P$200</f>
        <v>670.45576923076919</v>
      </c>
      <c r="H807" s="320">
        <f>VLieu!F$133</f>
        <v>4047000</v>
      </c>
      <c r="I807" s="320"/>
      <c r="J807" s="320"/>
      <c r="K807" s="320">
        <f t="shared" ref="K807:K816" si="270">SUM(E807:J807)</f>
        <v>4140852.9490192309</v>
      </c>
      <c r="L807" s="320">
        <f>K807*0.25</f>
        <v>1035213.2372548077</v>
      </c>
      <c r="M807" s="321">
        <f t="shared" ref="M807:M816" si="271">K807+L807</f>
        <v>5176066.1862740386</v>
      </c>
      <c r="N807" s="320"/>
      <c r="O807" s="320">
        <f>NhanCong!V$150</f>
        <v>2836.5192307692305</v>
      </c>
    </row>
    <row r="808" spans="1:15" s="345" customFormat="1">
      <c r="A808" s="1043"/>
      <c r="B808" s="1038"/>
      <c r="C808" s="1039"/>
      <c r="D808" s="319" t="s">
        <v>20</v>
      </c>
      <c r="E808" s="301">
        <f>NhanCong!U$151</f>
        <v>111882.92500000002</v>
      </c>
      <c r="F808" s="301"/>
      <c r="G808" s="320">
        <f>Dcu!P$201</f>
        <v>838.06971153846143</v>
      </c>
      <c r="H808" s="320">
        <f>VLieu!F$133</f>
        <v>4047000</v>
      </c>
      <c r="I808" s="320"/>
      <c r="J808" s="320"/>
      <c r="K808" s="320">
        <f t="shared" si="270"/>
        <v>4159720.9947115383</v>
      </c>
      <c r="L808" s="320">
        <f t="shared" ref="L808:L821" si="272">K808*0.25</f>
        <v>1039930.2486778846</v>
      </c>
      <c r="M808" s="321">
        <f t="shared" si="271"/>
        <v>5199651.243389423</v>
      </c>
      <c r="N808" s="320"/>
      <c r="O808" s="320">
        <f>NhanCong!V$151</f>
        <v>3405.7692307692305</v>
      </c>
    </row>
    <row r="809" spans="1:15" s="345" customFormat="1">
      <c r="A809" s="1043"/>
      <c r="B809" s="1038"/>
      <c r="C809" s="1039"/>
      <c r="D809" s="319" t="s">
        <v>35</v>
      </c>
      <c r="E809" s="301">
        <f>NhanCong!U$152</f>
        <v>134259.51000000004</v>
      </c>
      <c r="F809" s="301"/>
      <c r="G809" s="320">
        <f>Dcu!P$202</f>
        <v>1117.426282051282</v>
      </c>
      <c r="H809" s="320">
        <f>VLieu!F$133</f>
        <v>4047000</v>
      </c>
      <c r="I809" s="320"/>
      <c r="J809" s="320"/>
      <c r="K809" s="320">
        <f t="shared" si="270"/>
        <v>4182376.9362820513</v>
      </c>
      <c r="L809" s="320">
        <f t="shared" si="272"/>
        <v>1045594.2340705128</v>
      </c>
      <c r="M809" s="321">
        <f t="shared" si="271"/>
        <v>5227971.1703525642</v>
      </c>
      <c r="N809" s="320"/>
      <c r="O809" s="320">
        <f>NhanCong!V$152</f>
        <v>4086.9230769230776</v>
      </c>
    </row>
    <row r="810" spans="1:15" s="345" customFormat="1">
      <c r="A810" s="1043"/>
      <c r="B810" s="1038"/>
      <c r="C810" s="1039"/>
      <c r="D810" s="319" t="s">
        <v>33</v>
      </c>
      <c r="E810" s="301">
        <f>NhanCong!U$153</f>
        <v>161111.41200000004</v>
      </c>
      <c r="F810" s="301"/>
      <c r="G810" s="320">
        <f>Dcu!P$203</f>
        <v>1508.5254807692309</v>
      </c>
      <c r="H810" s="320">
        <f>VLieu!F$133</f>
        <v>4047000</v>
      </c>
      <c r="I810" s="320"/>
      <c r="J810" s="320"/>
      <c r="K810" s="320">
        <f t="shared" si="270"/>
        <v>4209619.9374807691</v>
      </c>
      <c r="L810" s="320">
        <f t="shared" si="272"/>
        <v>1052404.9843701923</v>
      </c>
      <c r="M810" s="321">
        <f t="shared" si="271"/>
        <v>5262024.9218509616</v>
      </c>
      <c r="N810" s="320"/>
      <c r="O810" s="320">
        <f>NhanCong!V$153</f>
        <v>4904.3076923076924</v>
      </c>
    </row>
    <row r="811" spans="1:15" s="345" customFormat="1">
      <c r="A811" s="1043"/>
      <c r="B811" s="1038"/>
      <c r="C811" s="1039"/>
      <c r="D811" s="319" t="s">
        <v>13</v>
      </c>
      <c r="E811" s="301">
        <f>NhanCong!U$154</f>
        <v>193317.71112500003</v>
      </c>
      <c r="F811" s="301"/>
      <c r="G811" s="320">
        <f>Dcu!P$204</f>
        <v>1955.4959935897434</v>
      </c>
      <c r="H811" s="320">
        <f>VLieu!F$133</f>
        <v>4047000</v>
      </c>
      <c r="I811" s="320"/>
      <c r="J811" s="320"/>
      <c r="K811" s="320">
        <f t="shared" si="270"/>
        <v>4242273.2071185894</v>
      </c>
      <c r="L811" s="320">
        <f t="shared" si="272"/>
        <v>1060568.3017796474</v>
      </c>
      <c r="M811" s="321">
        <f t="shared" si="271"/>
        <v>5302841.5088982368</v>
      </c>
      <c r="N811" s="320"/>
      <c r="O811" s="320">
        <f>NhanCong!V$154</f>
        <v>5884.6826923076924</v>
      </c>
    </row>
    <row r="812" spans="1:15" s="345" customFormat="1" ht="12.75" customHeight="1">
      <c r="A812" s="1043">
        <v>1.2</v>
      </c>
      <c r="B812" s="1038" t="str">
        <f>NhanCong!B$156</f>
        <v>Lưới đo vẽ (công nhóm/100 thửa có biến động cần chỉnh lý)</v>
      </c>
      <c r="C812" s="1040" t="s">
        <v>329</v>
      </c>
      <c r="D812" s="319" t="s">
        <v>18</v>
      </c>
      <c r="E812" s="301">
        <f>NhanCong!U$156</f>
        <v>665919.71875000023</v>
      </c>
      <c r="F812" s="301"/>
      <c r="G812" s="320">
        <f>Dcu!P$222</f>
        <v>10099.891025641025</v>
      </c>
      <c r="H812" s="320">
        <f>VLieu!N$135</f>
        <v>3480</v>
      </c>
      <c r="I812" s="320">
        <f>TBi!N$322</f>
        <v>10785.357142857143</v>
      </c>
      <c r="J812" s="320">
        <f>TBi!N$326</f>
        <v>133.56</v>
      </c>
      <c r="K812" s="320">
        <f t="shared" si="270"/>
        <v>690418.52691849845</v>
      </c>
      <c r="L812" s="320">
        <f t="shared" si="272"/>
        <v>172604.63172962461</v>
      </c>
      <c r="M812" s="321">
        <f t="shared" si="271"/>
        <v>863023.15864812303</v>
      </c>
      <c r="N812" s="320"/>
      <c r="O812" s="320">
        <f>NhanCong!V$156</f>
        <v>18853.365384615387</v>
      </c>
    </row>
    <row r="813" spans="1:15" s="345" customFormat="1">
      <c r="A813" s="1043"/>
      <c r="B813" s="1038"/>
      <c r="C813" s="1039" t="s">
        <v>49</v>
      </c>
      <c r="D813" s="319" t="s">
        <v>20</v>
      </c>
      <c r="E813" s="301">
        <f>NhanCong!U$157</f>
        <v>902213.81250000023</v>
      </c>
      <c r="F813" s="301"/>
      <c r="G813" s="320">
        <f>Dcu!P$223</f>
        <v>12624.863782051283</v>
      </c>
      <c r="H813" s="320">
        <f>VLieu!N$135</f>
        <v>3480</v>
      </c>
      <c r="I813" s="320">
        <f>TBi!O$322</f>
        <v>14166.357142857143</v>
      </c>
      <c r="J813" s="320">
        <f>TBi!O$326</f>
        <v>178.08</v>
      </c>
      <c r="K813" s="320">
        <f t="shared" si="270"/>
        <v>932663.1134249086</v>
      </c>
      <c r="L813" s="320">
        <f t="shared" si="272"/>
        <v>233165.77835622715</v>
      </c>
      <c r="M813" s="321">
        <f t="shared" si="271"/>
        <v>1165828.8917811357</v>
      </c>
      <c r="N813" s="320"/>
      <c r="O813" s="320">
        <f>NhanCong!V$157</f>
        <v>25543.269230769234</v>
      </c>
    </row>
    <row r="814" spans="1:15" s="345" customFormat="1">
      <c r="A814" s="1043"/>
      <c r="B814" s="1038"/>
      <c r="C814" s="1039"/>
      <c r="D814" s="319" t="s">
        <v>35</v>
      </c>
      <c r="E814" s="301">
        <f>NhanCong!U$158</f>
        <v>1117026.6250000005</v>
      </c>
      <c r="F814" s="301"/>
      <c r="G814" s="320">
        <f>Dcu!P$224</f>
        <v>16833.151709401711</v>
      </c>
      <c r="H814" s="320">
        <f>VLieu!N$135</f>
        <v>3480</v>
      </c>
      <c r="I814" s="320">
        <f>TBi!P$322</f>
        <v>17586.785714285714</v>
      </c>
      <c r="J814" s="320">
        <f>TBi!P$326</f>
        <v>200.34</v>
      </c>
      <c r="K814" s="320">
        <f t="shared" si="270"/>
        <v>1155126.902423688</v>
      </c>
      <c r="L814" s="320">
        <f t="shared" si="272"/>
        <v>288781.72560592199</v>
      </c>
      <c r="M814" s="321">
        <f t="shared" si="271"/>
        <v>1443908.62802961</v>
      </c>
      <c r="N814" s="320"/>
      <c r="O814" s="320">
        <f>NhanCong!V$158</f>
        <v>31625</v>
      </c>
    </row>
    <row r="815" spans="1:15" s="345" customFormat="1">
      <c r="A815" s="1043"/>
      <c r="B815" s="1038"/>
      <c r="C815" s="1039"/>
      <c r="D815" s="319" t="s">
        <v>33</v>
      </c>
      <c r="E815" s="301">
        <f>NhanCong!U$159</f>
        <v>1396283.2812500002</v>
      </c>
      <c r="F815" s="301"/>
      <c r="G815" s="320">
        <f>Dcu!P$225</f>
        <v>22724.754807692312</v>
      </c>
      <c r="H815" s="320">
        <f>VLieu!N$135</f>
        <v>3480</v>
      </c>
      <c r="I815" s="320">
        <f>TBi!Q$322</f>
        <v>22094.785714285714</v>
      </c>
      <c r="J815" s="320">
        <f>TBi!Q$326</f>
        <v>222.60000000000002</v>
      </c>
      <c r="K815" s="320">
        <f t="shared" si="270"/>
        <v>1444805.4217719783</v>
      </c>
      <c r="L815" s="320">
        <f t="shared" si="272"/>
        <v>361201.35544299457</v>
      </c>
      <c r="M815" s="321">
        <f t="shared" si="271"/>
        <v>1806006.7772149728</v>
      </c>
      <c r="N815" s="320"/>
      <c r="O815" s="320">
        <f>NhanCong!V$159</f>
        <v>39531.25</v>
      </c>
    </row>
    <row r="816" spans="1:15" s="345" customFormat="1">
      <c r="A816" s="1043"/>
      <c r="B816" s="1038"/>
      <c r="C816" s="1039"/>
      <c r="D816" s="319" t="s">
        <v>13</v>
      </c>
      <c r="E816" s="301">
        <f>NhanCong!U$160</f>
        <v>1954796.5937500005</v>
      </c>
      <c r="F816" s="301"/>
      <c r="G816" s="320">
        <f>Dcu!P$226</f>
        <v>29458.015491452992</v>
      </c>
      <c r="H816" s="320">
        <f>VLieu!N$135</f>
        <v>3480</v>
      </c>
      <c r="I816" s="320">
        <f>TBi!R$322</f>
        <v>31150.21428571429</v>
      </c>
      <c r="J816" s="320">
        <f>TBi!R$326</f>
        <v>267.12</v>
      </c>
      <c r="K816" s="320">
        <f t="shared" si="270"/>
        <v>2019151.9435271679</v>
      </c>
      <c r="L816" s="320">
        <f t="shared" si="272"/>
        <v>504787.98588179197</v>
      </c>
      <c r="M816" s="321">
        <f t="shared" si="271"/>
        <v>2523939.92940896</v>
      </c>
      <c r="N816" s="320"/>
      <c r="O816" s="320">
        <f>NhanCong!V$160</f>
        <v>55343.75</v>
      </c>
    </row>
    <row r="817" spans="1:15" s="345" customFormat="1" ht="12.75" customHeight="1">
      <c r="A817" s="1043">
        <v>1.3</v>
      </c>
      <c r="B817" s="1038" t="str">
        <f>NhanCong!B$162</f>
        <v>Đo đạc ranh giới thửa đất và các đối tượng địa lý có liên quan (công nhóm/100 thửa có biến động cần chỉnh lý)</v>
      </c>
      <c r="C817" s="1040" t="s">
        <v>329</v>
      </c>
      <c r="D817" s="319" t="s">
        <v>18</v>
      </c>
      <c r="E817" s="301">
        <f>NhanCong!U$162</f>
        <v>18323532.906250004</v>
      </c>
      <c r="F817" s="301">
        <f>NhanCong!U$163</f>
        <v>1084261.5384615385</v>
      </c>
      <c r="G817" s="320">
        <f>Dcu!P$246</f>
        <v>83233.064102564094</v>
      </c>
      <c r="H817" s="320">
        <f>VLieu!N$145</f>
        <v>69600</v>
      </c>
      <c r="I817" s="320">
        <f>TBi!N$357</f>
        <v>237486.50000000003</v>
      </c>
      <c r="J817" s="320">
        <f>TBi!N$361</f>
        <v>2404.0800000000004</v>
      </c>
      <c r="K817" s="320">
        <f t="shared" ref="K817:K821" si="273">SUM(E817:J817)</f>
        <v>19800518.088814106</v>
      </c>
      <c r="L817" s="320">
        <f t="shared" si="272"/>
        <v>4950129.5222035265</v>
      </c>
      <c r="M817" s="321">
        <f t="shared" ref="M817:M821" si="274">K817+L817</f>
        <v>24750647.611017633</v>
      </c>
      <c r="N817" s="320"/>
      <c r="O817" s="320">
        <f>NhanCong!V$162</f>
        <v>518771.63461538462</v>
      </c>
    </row>
    <row r="818" spans="1:15" s="345" customFormat="1">
      <c r="A818" s="1043"/>
      <c r="B818" s="1038"/>
      <c r="C818" s="1039" t="s">
        <v>49</v>
      </c>
      <c r="D818" s="319" t="s">
        <v>20</v>
      </c>
      <c r="E818" s="301">
        <f>NhanCong!U$164</f>
        <v>21996832.000000007</v>
      </c>
      <c r="F818" s="301">
        <f>NhanCong!U$165</f>
        <v>1302569.230769231</v>
      </c>
      <c r="G818" s="320">
        <f>Dcu!P$247</f>
        <v>104041.33012820513</v>
      </c>
      <c r="H818" s="320">
        <f>VLieu!N$145</f>
        <v>69600</v>
      </c>
      <c r="I818" s="320">
        <f>TBi!O$357</f>
        <v>316849.64285714284</v>
      </c>
      <c r="J818" s="320">
        <f>TBi!O$361</f>
        <v>3005.1000000000004</v>
      </c>
      <c r="K818" s="320">
        <f t="shared" si="273"/>
        <v>23792897.303754587</v>
      </c>
      <c r="L818" s="320">
        <f t="shared" si="272"/>
        <v>5948224.3259386467</v>
      </c>
      <c r="M818" s="321">
        <f t="shared" si="274"/>
        <v>29741121.629693232</v>
      </c>
      <c r="N818" s="320"/>
      <c r="O818" s="320">
        <f>NhanCong!V$164</f>
        <v>622769.23076923075</v>
      </c>
    </row>
    <row r="819" spans="1:15" s="345" customFormat="1">
      <c r="A819" s="1043"/>
      <c r="B819" s="1038"/>
      <c r="C819" s="1039"/>
      <c r="D819" s="319" t="s">
        <v>35</v>
      </c>
      <c r="E819" s="301">
        <f>NhanCong!U$166</f>
        <v>26379013.375000004</v>
      </c>
      <c r="F819" s="301">
        <f>NhanCong!U$167</f>
        <v>1562719.2307692308</v>
      </c>
      <c r="G819" s="320">
        <f>Dcu!P$248</f>
        <v>138721.7735042735</v>
      </c>
      <c r="H819" s="320">
        <f>VLieu!N$145</f>
        <v>69600</v>
      </c>
      <c r="I819" s="320">
        <f>TBi!P$357</f>
        <v>395609.85714285716</v>
      </c>
      <c r="J819" s="320">
        <f>TBi!P$361</f>
        <v>3917.76</v>
      </c>
      <c r="K819" s="320">
        <f t="shared" si="273"/>
        <v>28549581.996416368</v>
      </c>
      <c r="L819" s="320">
        <f t="shared" si="272"/>
        <v>7137395.4991040919</v>
      </c>
      <c r="M819" s="321">
        <f t="shared" si="274"/>
        <v>35686977.495520458</v>
      </c>
      <c r="N819" s="320"/>
      <c r="O819" s="320">
        <f>NhanCong!V$166</f>
        <v>746836.5384615385</v>
      </c>
    </row>
    <row r="820" spans="1:15" s="345" customFormat="1">
      <c r="A820" s="1043"/>
      <c r="B820" s="1038"/>
      <c r="C820" s="1039"/>
      <c r="D820" s="319" t="s">
        <v>33</v>
      </c>
      <c r="E820" s="301">
        <f>NhanCong!U$168</f>
        <v>31663408.562500011</v>
      </c>
      <c r="F820" s="301">
        <f>NhanCong!U$169</f>
        <v>1875626.9230769232</v>
      </c>
      <c r="G820" s="320">
        <f>Dcu!P$249</f>
        <v>187274.39423076925</v>
      </c>
      <c r="H820" s="320">
        <f>VLieu!N$145</f>
        <v>69600</v>
      </c>
      <c r="I820" s="320">
        <f>TBi!Q$357</f>
        <v>494813.78571428574</v>
      </c>
      <c r="J820" s="320">
        <f>TBi!Q$361</f>
        <v>4808.1600000000008</v>
      </c>
      <c r="K820" s="320">
        <f t="shared" si="273"/>
        <v>34295531.825521983</v>
      </c>
      <c r="L820" s="320">
        <f t="shared" si="272"/>
        <v>8573882.9563804958</v>
      </c>
      <c r="M820" s="321">
        <f t="shared" si="274"/>
        <v>42869414.781902477</v>
      </c>
      <c r="N820" s="320"/>
      <c r="O820" s="320">
        <f>NhanCong!V$168</f>
        <v>896447.11538461549</v>
      </c>
    </row>
    <row r="821" spans="1:15" s="345" customFormat="1">
      <c r="A821" s="1043"/>
      <c r="B821" s="1038"/>
      <c r="C821" s="1039"/>
      <c r="D821" s="319" t="s">
        <v>13</v>
      </c>
      <c r="E821" s="301">
        <f>NhanCong!U$170</f>
        <v>38000386.531250015</v>
      </c>
      <c r="F821" s="301">
        <f>NhanCong!U$171</f>
        <v>2250388.4615384615</v>
      </c>
      <c r="G821" s="320">
        <f>Dcu!P$250</f>
        <v>242763.10363247863</v>
      </c>
      <c r="H821" s="320">
        <f>VLieu!N$145</f>
        <v>69600</v>
      </c>
      <c r="I821" s="320">
        <f>TBi!R$357</f>
        <v>688597</v>
      </c>
      <c r="J821" s="320">
        <f>TBi!R$361</f>
        <v>0</v>
      </c>
      <c r="K821" s="320">
        <f t="shared" si="273"/>
        <v>41251735.096420959</v>
      </c>
      <c r="L821" s="320">
        <f t="shared" si="272"/>
        <v>10312933.77410524</v>
      </c>
      <c r="M821" s="321">
        <f t="shared" si="274"/>
        <v>51564668.870526195</v>
      </c>
      <c r="N821" s="320"/>
      <c r="O821" s="320">
        <f>NhanCong!V$170</f>
        <v>1075858.173076923</v>
      </c>
    </row>
    <row r="822" spans="1:15" s="345" customFormat="1">
      <c r="A822" s="298">
        <v>2</v>
      </c>
      <c r="B822" s="316" t="s">
        <v>192</v>
      </c>
      <c r="C822" s="319"/>
      <c r="D822" s="319"/>
      <c r="E822" s="301"/>
      <c r="F822" s="301"/>
      <c r="G822" s="320"/>
      <c r="H822" s="320"/>
      <c r="I822" s="320"/>
      <c r="J822" s="320"/>
      <c r="K822" s="320"/>
      <c r="L822" s="320"/>
      <c r="M822" s="321"/>
      <c r="N822" s="320"/>
      <c r="O822" s="320"/>
    </row>
    <row r="823" spans="1:15" s="345" customFormat="1">
      <c r="A823" s="1043" t="s">
        <v>268</v>
      </c>
      <c r="B823" s="1038" t="str">
        <f>NhanCong!B$173</f>
        <v>Số hóa BĐĐC: Áp dụng theo mức quy định tại Điều 8, Chương I</v>
      </c>
      <c r="C823" s="1039" t="s">
        <v>317</v>
      </c>
      <c r="D823" s="319" t="s">
        <v>18</v>
      </c>
      <c r="E823" s="301">
        <f t="shared" ref="E823:J827" si="275">E484</f>
        <v>51726.925250000008</v>
      </c>
      <c r="F823" s="301">
        <f t="shared" si="275"/>
        <v>0</v>
      </c>
      <c r="G823" s="301">
        <f t="shared" si="275"/>
        <v>595.83065914529925</v>
      </c>
      <c r="H823" s="301">
        <f t="shared" si="275"/>
        <v>1101</v>
      </c>
      <c r="I823" s="301">
        <f t="shared" si="275"/>
        <v>3876.912864285714</v>
      </c>
      <c r="J823" s="301">
        <f t="shared" si="275"/>
        <v>1241.4402</v>
      </c>
      <c r="K823" s="320">
        <f>SUM(E823:J823)</f>
        <v>58542.108973431023</v>
      </c>
      <c r="L823" s="320">
        <f>K823*0.15</f>
        <v>8781.3163460146534</v>
      </c>
      <c r="M823" s="321">
        <f>K823+L823</f>
        <v>67323.425319445669</v>
      </c>
      <c r="N823" s="301">
        <f t="shared" ref="N823:O827" si="276">N484</f>
        <v>0</v>
      </c>
      <c r="O823" s="301">
        <f t="shared" si="276"/>
        <v>1464.4807692307691</v>
      </c>
    </row>
    <row r="824" spans="1:15" s="345" customFormat="1">
      <c r="A824" s="1043"/>
      <c r="B824" s="1038"/>
      <c r="C824" s="1039"/>
      <c r="D824" s="319" t="s">
        <v>20</v>
      </c>
      <c r="E824" s="301">
        <f t="shared" si="275"/>
        <v>58291.604800000008</v>
      </c>
      <c r="F824" s="301">
        <f t="shared" si="275"/>
        <v>0</v>
      </c>
      <c r="G824" s="301">
        <f t="shared" si="275"/>
        <v>682.06930717948728</v>
      </c>
      <c r="H824" s="301">
        <f t="shared" si="275"/>
        <v>1101</v>
      </c>
      <c r="I824" s="301">
        <f t="shared" si="275"/>
        <v>4789.8023142857146</v>
      </c>
      <c r="J824" s="301">
        <f t="shared" si="275"/>
        <v>1540.1694</v>
      </c>
      <c r="K824" s="320">
        <f>SUM(E824:J824)</f>
        <v>66404.645821465208</v>
      </c>
      <c r="L824" s="320">
        <f>K824*0.15</f>
        <v>9960.6968732197802</v>
      </c>
      <c r="M824" s="321">
        <f>K824+L824</f>
        <v>76365.342694684994</v>
      </c>
      <c r="N824" s="301">
        <f t="shared" si="276"/>
        <v>0</v>
      </c>
      <c r="O824" s="301">
        <f t="shared" si="276"/>
        <v>1650.3384615384614</v>
      </c>
    </row>
    <row r="825" spans="1:15" s="345" customFormat="1">
      <c r="A825" s="1043"/>
      <c r="B825" s="1038"/>
      <c r="C825" s="1039"/>
      <c r="D825" s="319" t="s">
        <v>35</v>
      </c>
      <c r="E825" s="301">
        <f t="shared" si="275"/>
        <v>65818.645750000011</v>
      </c>
      <c r="F825" s="301">
        <f t="shared" si="275"/>
        <v>0</v>
      </c>
      <c r="G825" s="301">
        <f t="shared" si="275"/>
        <v>783.98770940170948</v>
      </c>
      <c r="H825" s="301">
        <f t="shared" si="275"/>
        <v>1101</v>
      </c>
      <c r="I825" s="301">
        <f t="shared" si="275"/>
        <v>6322.0746857142849</v>
      </c>
      <c r="J825" s="301">
        <f t="shared" si="275"/>
        <v>2031.8928000000001</v>
      </c>
      <c r="K825" s="320">
        <f>SUM(E825:J825)</f>
        <v>76057.600945116006</v>
      </c>
      <c r="L825" s="320">
        <f>K825*0.15</f>
        <v>11408.640141767401</v>
      </c>
      <c r="M825" s="321">
        <f>K825+L825</f>
        <v>87466.241086883412</v>
      </c>
      <c r="N825" s="301">
        <f t="shared" si="276"/>
        <v>0</v>
      </c>
      <c r="O825" s="301">
        <f t="shared" si="276"/>
        <v>1863.4423076923078</v>
      </c>
    </row>
    <row r="826" spans="1:15" s="345" customFormat="1">
      <c r="A826" s="1043"/>
      <c r="B826" s="1038"/>
      <c r="C826" s="1039"/>
      <c r="D826" s="319" t="s">
        <v>33</v>
      </c>
      <c r="E826" s="301">
        <f t="shared" si="275"/>
        <v>74479.898350000018</v>
      </c>
      <c r="F826" s="301">
        <f t="shared" si="275"/>
        <v>0</v>
      </c>
      <c r="G826" s="301">
        <f t="shared" si="275"/>
        <v>901.58586581196585</v>
      </c>
      <c r="H826" s="301">
        <f t="shared" si="275"/>
        <v>1101</v>
      </c>
      <c r="I826" s="301">
        <f t="shared" si="275"/>
        <v>7354.7002928571428</v>
      </c>
      <c r="J826" s="301">
        <f t="shared" si="275"/>
        <v>2353.5498000000002</v>
      </c>
      <c r="K826" s="320">
        <f>SUM(E826:J826)</f>
        <v>86190.734308669125</v>
      </c>
      <c r="L826" s="320">
        <f>K826*0.15</f>
        <v>12928.610146300369</v>
      </c>
      <c r="M826" s="321">
        <f>K826+L826</f>
        <v>99119.344454969498</v>
      </c>
      <c r="N826" s="301">
        <f t="shared" si="276"/>
        <v>0</v>
      </c>
      <c r="O826" s="301">
        <f t="shared" si="276"/>
        <v>2108.6576923076923</v>
      </c>
    </row>
    <row r="827" spans="1:15" s="345" customFormat="1">
      <c r="A827" s="1043"/>
      <c r="B827" s="1038"/>
      <c r="C827" s="1039"/>
      <c r="D827" s="319" t="s">
        <v>13</v>
      </c>
      <c r="E827" s="301">
        <f t="shared" si="275"/>
        <v>84447.212850000011</v>
      </c>
      <c r="F827" s="301">
        <f t="shared" si="275"/>
        <v>0</v>
      </c>
      <c r="G827" s="301">
        <f t="shared" si="275"/>
        <v>1034.8637764102566</v>
      </c>
      <c r="H827" s="301">
        <f t="shared" si="275"/>
        <v>1101</v>
      </c>
      <c r="I827" s="301">
        <f t="shared" si="275"/>
        <v>9142.9525428571433</v>
      </c>
      <c r="J827" s="301">
        <f t="shared" si="275"/>
        <v>2912.7209999999995</v>
      </c>
      <c r="K827" s="320">
        <f>SUM(E827:J827)</f>
        <v>98638.750169267427</v>
      </c>
      <c r="L827" s="320">
        <f>K827*0.15</f>
        <v>14795.812525390113</v>
      </c>
      <c r="M827" s="321">
        <f>K827+L827</f>
        <v>113434.56269465754</v>
      </c>
      <c r="N827" s="301">
        <f t="shared" si="276"/>
        <v>0</v>
      </c>
      <c r="O827" s="301">
        <f t="shared" si="276"/>
        <v>2390.85</v>
      </c>
    </row>
    <row r="828" spans="1:15" s="345" customFormat="1" ht="12.75" customHeight="1">
      <c r="A828" s="1043" t="s">
        <v>34</v>
      </c>
      <c r="B828" s="1038" t="str">
        <f>NhanCong!B$174</f>
        <v>Lập bản vẽ BĐĐC (Công nhóm/100 thửa chỉnh lý)</v>
      </c>
      <c r="C828" s="1040" t="s">
        <v>329</v>
      </c>
      <c r="D828" s="319" t="s">
        <v>18</v>
      </c>
      <c r="E828" s="301">
        <f>NhanCong!U$174</f>
        <v>524972.4700000002</v>
      </c>
      <c r="F828" s="301"/>
      <c r="G828" s="320">
        <f>Dcu!P$271</f>
        <v>10870.739907692308</v>
      </c>
      <c r="H828" s="320">
        <f>VLieu!N$159</f>
        <v>626800</v>
      </c>
      <c r="I828" s="320">
        <f>TBi!N$394</f>
        <v>9714.9771428571439</v>
      </c>
      <c r="J828" s="320">
        <f>TBi!N$398</f>
        <v>38532.06</v>
      </c>
      <c r="K828" s="320">
        <f t="shared" ref="K828:K834" si="277">SUM(E828:J828)</f>
        <v>1210890.2470505496</v>
      </c>
      <c r="L828" s="320">
        <f t="shared" ref="L828:L836" si="278">K828*0.15</f>
        <v>181633.53705758243</v>
      </c>
      <c r="M828" s="321">
        <f t="shared" ref="M828:M834" si="279">K828+L828</f>
        <v>1392523.7841081321</v>
      </c>
      <c r="N828" s="320"/>
      <c r="O828" s="320">
        <f>NhanCong!V$174</f>
        <v>13039.23076923077</v>
      </c>
    </row>
    <row r="829" spans="1:15" s="345" customFormat="1">
      <c r="A829" s="1043"/>
      <c r="B829" s="1038"/>
      <c r="C829" s="1039"/>
      <c r="D829" s="319" t="s">
        <v>20</v>
      </c>
      <c r="E829" s="301">
        <f>NhanCong!U$175</f>
        <v>697351.49000000022</v>
      </c>
      <c r="F829" s="301"/>
      <c r="G829" s="320">
        <f>Dcu!P$272</f>
        <v>13588.424884615386</v>
      </c>
      <c r="H829" s="320">
        <f>VLieu!N$159</f>
        <v>626800</v>
      </c>
      <c r="I829" s="320">
        <f>TBi!O$394</f>
        <v>10277.873928571427</v>
      </c>
      <c r="J829" s="320">
        <f>TBi!O$398</f>
        <v>40980.660000000003</v>
      </c>
      <c r="K829" s="320">
        <f t="shared" si="277"/>
        <v>1388998.448813187</v>
      </c>
      <c r="L829" s="320">
        <f t="shared" si="278"/>
        <v>208349.76732197803</v>
      </c>
      <c r="M829" s="321">
        <f t="shared" si="279"/>
        <v>1597348.216135165</v>
      </c>
      <c r="N829" s="320"/>
      <c r="O829" s="320">
        <f>NhanCong!V$175</f>
        <v>17320.76923076923</v>
      </c>
    </row>
    <row r="830" spans="1:15" s="345" customFormat="1">
      <c r="A830" s="1043"/>
      <c r="B830" s="1038"/>
      <c r="C830" s="1039"/>
      <c r="D830" s="319" t="s">
        <v>35</v>
      </c>
      <c r="E830" s="301">
        <f>NhanCong!U$176</f>
        <v>869730.51000000036</v>
      </c>
      <c r="F830" s="301"/>
      <c r="G830" s="320">
        <f>Dcu!P$273</f>
        <v>18117.899846153847</v>
      </c>
      <c r="H830" s="320">
        <f>VLieu!N$159</f>
        <v>626800</v>
      </c>
      <c r="I830" s="320">
        <f>TBi!P$394</f>
        <v>10903.051428571429</v>
      </c>
      <c r="J830" s="320">
        <f>TBi!P$398</f>
        <v>43206.66</v>
      </c>
      <c r="K830" s="320">
        <f t="shared" si="277"/>
        <v>1568758.1212747253</v>
      </c>
      <c r="L830" s="320">
        <f t="shared" si="278"/>
        <v>235313.71819120878</v>
      </c>
      <c r="M830" s="321">
        <f t="shared" si="279"/>
        <v>1804071.8394659341</v>
      </c>
      <c r="N830" s="320"/>
      <c r="O830" s="320">
        <f>NhanCong!V$176</f>
        <v>21602.307692307695</v>
      </c>
    </row>
    <row r="831" spans="1:15" s="345" customFormat="1">
      <c r="A831" s="1043"/>
      <c r="B831" s="1038"/>
      <c r="C831" s="1039"/>
      <c r="D831" s="319" t="s">
        <v>33</v>
      </c>
      <c r="E831" s="301">
        <f>NhanCong!U$177</f>
        <v>1089121.9900000002</v>
      </c>
      <c r="F831" s="301"/>
      <c r="G831" s="320">
        <f>Dcu!P$274</f>
        <v>24459.164792307696</v>
      </c>
      <c r="H831" s="320">
        <f>VLieu!N$159</f>
        <v>626800</v>
      </c>
      <c r="I831" s="320">
        <f>TBi!Q$394</f>
        <v>11603.240357142855</v>
      </c>
      <c r="J831" s="320">
        <f>TBi!Q$398</f>
        <v>46122.719999999994</v>
      </c>
      <c r="K831" s="320">
        <f t="shared" si="277"/>
        <v>1798107.1151494507</v>
      </c>
      <c r="L831" s="320">
        <f t="shared" si="278"/>
        <v>269716.0672724176</v>
      </c>
      <c r="M831" s="321">
        <f t="shared" si="279"/>
        <v>2067823.1824218682</v>
      </c>
      <c r="N831" s="320"/>
      <c r="O831" s="320">
        <f>NhanCong!V$177</f>
        <v>27051.538461538457</v>
      </c>
    </row>
    <row r="832" spans="1:15" s="345" customFormat="1">
      <c r="A832" s="1043"/>
      <c r="B832" s="1038"/>
      <c r="C832" s="1039"/>
      <c r="D832" s="319" t="s">
        <v>13</v>
      </c>
      <c r="E832" s="301">
        <f>NhanCong!U$178</f>
        <v>1520069.5400000005</v>
      </c>
      <c r="F832" s="301"/>
      <c r="G832" s="320">
        <f>Dcu!P$275</f>
        <v>31706.324730769233</v>
      </c>
      <c r="H832" s="320">
        <f>VLieu!N$159</f>
        <v>626800</v>
      </c>
      <c r="I832" s="320">
        <f>TBi!R$394</f>
        <v>13064.901428571429</v>
      </c>
      <c r="J832" s="320">
        <f>TBi!R$398</f>
        <v>48816.18</v>
      </c>
      <c r="K832" s="320">
        <f t="shared" si="277"/>
        <v>2240456.9461593414</v>
      </c>
      <c r="L832" s="320">
        <f t="shared" si="278"/>
        <v>336068.54192390118</v>
      </c>
      <c r="M832" s="321">
        <f t="shared" si="279"/>
        <v>2576525.4880832424</v>
      </c>
      <c r="N832" s="320"/>
      <c r="O832" s="320">
        <f>NhanCong!V$178</f>
        <v>37755.38461538461</v>
      </c>
    </row>
    <row r="833" spans="1:15" s="345" customFormat="1" ht="26">
      <c r="A833" s="323" t="s">
        <v>246</v>
      </c>
      <c r="B833" s="324" t="str">
        <f>NhanCong!B$179</f>
        <v>Lập Phiếu đo đạc chỉnh lý thửa đất (Công/100 thửa chỉnh lý)</v>
      </c>
      <c r="C833" s="341" t="s">
        <v>329</v>
      </c>
      <c r="D833" s="341" t="s">
        <v>15</v>
      </c>
      <c r="E833" s="342">
        <f>NhanCong!U$179</f>
        <v>1031101.5000000002</v>
      </c>
      <c r="F833" s="342"/>
      <c r="G833" s="343">
        <f>Dcu!P$270</f>
        <v>18117.899846153847</v>
      </c>
      <c r="H833" s="320">
        <f>VLieu!N$159</f>
        <v>626800</v>
      </c>
      <c r="I833" s="343"/>
      <c r="J833" s="343"/>
      <c r="K833" s="343">
        <f t="shared" si="277"/>
        <v>1676019.399846154</v>
      </c>
      <c r="L833" s="320">
        <f t="shared" si="278"/>
        <v>251402.90997692308</v>
      </c>
      <c r="M833" s="344">
        <f t="shared" si="279"/>
        <v>1927422.3098230772</v>
      </c>
      <c r="N833" s="343"/>
      <c r="O833" s="343">
        <f>NhanCong!V$179</f>
        <v>29192.307692307691</v>
      </c>
    </row>
    <row r="834" spans="1:15" s="345" customFormat="1" ht="26">
      <c r="A834" s="323" t="s">
        <v>271</v>
      </c>
      <c r="B834" s="324" t="str">
        <f>NhanCong!B$180</f>
        <v>Bổ sung sổ mục kê (công nhóm/100 thửa chỉnh lý)</v>
      </c>
      <c r="C834" s="341" t="s">
        <v>329</v>
      </c>
      <c r="D834" s="341" t="s">
        <v>15</v>
      </c>
      <c r="E834" s="342">
        <f>NhanCong!U$180</f>
        <v>893621.30000000016</v>
      </c>
      <c r="F834" s="342"/>
      <c r="G834" s="343">
        <f>Dcu!P$290</f>
        <v>13800.392222222223</v>
      </c>
      <c r="H834" s="343">
        <f>VLieu!J$170</f>
        <v>120500</v>
      </c>
      <c r="I834" s="343">
        <f>TBi!N$411</f>
        <v>6891.4414285714283</v>
      </c>
      <c r="J834" s="343">
        <f>TBi!N$414</f>
        <v>27379.800000000003</v>
      </c>
      <c r="K834" s="343">
        <f t="shared" si="277"/>
        <v>1062192.9336507937</v>
      </c>
      <c r="L834" s="320">
        <f t="shared" si="278"/>
        <v>159328.94004761905</v>
      </c>
      <c r="M834" s="344">
        <f t="shared" si="279"/>
        <v>1221521.8736984129</v>
      </c>
      <c r="N834" s="343"/>
      <c r="O834" s="343">
        <f>NhanCong!V$180</f>
        <v>25300</v>
      </c>
    </row>
    <row r="835" spans="1:15" s="345" customFormat="1" ht="26">
      <c r="A835" s="323" t="s">
        <v>365</v>
      </c>
      <c r="B835" s="324" t="str">
        <f>NhanCong!B$181</f>
        <v>Biên tập bản đồ và in (công nhóm/mảnh)</v>
      </c>
      <c r="C835" s="341" t="s">
        <v>317</v>
      </c>
      <c r="D835" s="341" t="s">
        <v>15</v>
      </c>
      <c r="E835" s="342">
        <f>NhanCong!U$181</f>
        <v>2646.4938500000007</v>
      </c>
      <c r="F835" s="342"/>
      <c r="G835" s="343">
        <f>Dcu!P$304</f>
        <v>94.541333333333355</v>
      </c>
      <c r="H835" s="343">
        <f>VLieu!N$181</f>
        <v>1042.0999999999999</v>
      </c>
      <c r="I835" s="343">
        <f>TBi!N$433</f>
        <v>34.771057142857146</v>
      </c>
      <c r="J835" s="343">
        <f>TBi!N$437</f>
        <v>84.587999999999994</v>
      </c>
      <c r="K835" s="343">
        <f>SUM(E835:J835)</f>
        <v>3902.4942404761914</v>
      </c>
      <c r="L835" s="320">
        <f t="shared" si="278"/>
        <v>585.37413607142867</v>
      </c>
      <c r="M835" s="344">
        <f>K835+L835</f>
        <v>4487.8683765476198</v>
      </c>
      <c r="N835" s="343"/>
      <c r="O835" s="343">
        <f>NhanCong!V$181</f>
        <v>74.926923076923075</v>
      </c>
    </row>
    <row r="836" spans="1:15" s="345" customFormat="1" ht="26">
      <c r="A836" s="323" t="s">
        <v>366</v>
      </c>
      <c r="B836" s="324" t="str">
        <f>NhanCong!B$182</f>
        <v>Xác nhận hồ sơ các cấp (công nhóm/mảnh)</v>
      </c>
      <c r="C836" s="341" t="s">
        <v>317</v>
      </c>
      <c r="D836" s="341" t="s">
        <v>15</v>
      </c>
      <c r="E836" s="342">
        <f>NhanCong!U$182</f>
        <v>3780.7055000000009</v>
      </c>
      <c r="F836" s="342"/>
      <c r="G836" s="343">
        <f>Dcu!P$304</f>
        <v>94.541333333333355</v>
      </c>
      <c r="H836" s="343">
        <f>VLieu!N$181</f>
        <v>1042.0999999999999</v>
      </c>
      <c r="I836" s="343">
        <f>TBi!N$433</f>
        <v>34.771057142857146</v>
      </c>
      <c r="J836" s="343">
        <f>TBi!N$437</f>
        <v>84.587999999999994</v>
      </c>
      <c r="K836" s="343">
        <f>SUM(E836:J836)</f>
        <v>5036.7058904761916</v>
      </c>
      <c r="L836" s="320">
        <f t="shared" si="278"/>
        <v>755.50588357142874</v>
      </c>
      <c r="M836" s="344">
        <f>K836+L836</f>
        <v>5792.2117740476206</v>
      </c>
      <c r="N836" s="343"/>
      <c r="O836" s="343">
        <f>NhanCong!V$182</f>
        <v>107.03846153846155</v>
      </c>
    </row>
    <row r="837" spans="1:15" s="345" customFormat="1" ht="26">
      <c r="A837" s="323" t="s">
        <v>367</v>
      </c>
      <c r="B837" s="324" t="str">
        <f>NhanCong!B$183</f>
        <v>Giao nộp sản phẩm (công nhóm/mảnh)</v>
      </c>
      <c r="C837" s="341" t="s">
        <v>317</v>
      </c>
      <c r="D837" s="341" t="s">
        <v>15</v>
      </c>
      <c r="E837" s="342">
        <f>NhanCong!U$183</f>
        <v>8729.9927000000007</v>
      </c>
      <c r="F837" s="342"/>
      <c r="G837" s="343">
        <f>Dcu!P$304</f>
        <v>94.541333333333355</v>
      </c>
      <c r="H837" s="343">
        <f>VLieu!N$181</f>
        <v>1042.0999999999999</v>
      </c>
      <c r="I837" s="343">
        <f>TBi!N$433</f>
        <v>34.771057142857146</v>
      </c>
      <c r="J837" s="343">
        <f>TBi!N$437</f>
        <v>84.587999999999994</v>
      </c>
      <c r="K837" s="343">
        <f>SUM(E837:J837)</f>
        <v>9985.9930904761914</v>
      </c>
      <c r="L837" s="320">
        <f>K837*0.15</f>
        <v>1497.8989635714286</v>
      </c>
      <c r="M837" s="344">
        <f>K837+L837</f>
        <v>11483.892054047619</v>
      </c>
      <c r="N837" s="343"/>
      <c r="O837" s="343">
        <f>NhanCong!V$183</f>
        <v>247.16153846153847</v>
      </c>
    </row>
    <row r="838" spans="1:15" s="345" customFormat="1">
      <c r="A838" s="298" t="s">
        <v>30</v>
      </c>
      <c r="B838" s="316" t="s">
        <v>206</v>
      </c>
      <c r="C838" s="337" t="s">
        <v>349</v>
      </c>
      <c r="D838" s="333"/>
      <c r="E838" s="301"/>
      <c r="F838" s="301"/>
      <c r="G838" s="301"/>
      <c r="H838" s="301"/>
      <c r="I838" s="301"/>
      <c r="J838" s="301"/>
      <c r="K838" s="301"/>
      <c r="L838" s="301"/>
      <c r="M838" s="302">
        <v>100</v>
      </c>
      <c r="N838" s="301" t="s">
        <v>21</v>
      </c>
      <c r="O838" s="301"/>
    </row>
    <row r="839" spans="1:15" s="345" customFormat="1" ht="13.15" customHeight="1">
      <c r="A839" s="1036"/>
      <c r="B839" s="1035" t="s">
        <v>190</v>
      </c>
      <c r="C839" s="298">
        <f>HeSoKK!B34</f>
        <v>1.1000000000000001</v>
      </c>
      <c r="D839" s="298">
        <v>1</v>
      </c>
      <c r="E839" s="301">
        <f>E882/C839+(E886+E890)/100</f>
        <v>292933.96722222224</v>
      </c>
      <c r="F839" s="301">
        <f>F882/C839+(F886+F890)/100</f>
        <v>15208.76923076923</v>
      </c>
      <c r="G839" s="301">
        <f>G882/C839+(G886+G890)/100</f>
        <v>1618.508783022533</v>
      </c>
      <c r="H839" s="301">
        <f>H882/C839+(H886+H890)/100</f>
        <v>3679969.6015909086</v>
      </c>
      <c r="I839" s="301">
        <f>I882/C839+(I886+I890)/100</f>
        <v>3678.4064285714285</v>
      </c>
      <c r="J839" s="301">
        <f>J882/C839+(J886+J890)/100</f>
        <v>36.061199999999999</v>
      </c>
      <c r="K839" s="301">
        <f t="shared" ref="K839:K846" si="280">SUM(E839:J839)</f>
        <v>3993445.3144554938</v>
      </c>
      <c r="L839" s="301">
        <f>K839*0.25</f>
        <v>998361.32861387345</v>
      </c>
      <c r="M839" s="315">
        <f t="shared" ref="M839:M846" si="281">K839+L839</f>
        <v>4991806.6430693669</v>
      </c>
      <c r="N839" s="301">
        <f>M839+M843</f>
        <v>5058462.3082469506</v>
      </c>
      <c r="O839" s="301">
        <f>O882/C839+(O886+O890)/100</f>
        <v>8333.5683760683751</v>
      </c>
    </row>
    <row r="840" spans="1:15" s="345" customFormat="1" ht="13.15" customHeight="1">
      <c r="A840" s="1036"/>
      <c r="B840" s="1035"/>
      <c r="C840" s="298">
        <f>HeSoKK!D34</f>
        <v>3</v>
      </c>
      <c r="D840" s="298">
        <v>2</v>
      </c>
      <c r="E840" s="301">
        <f>E883/C840+(E887+E891)/100</f>
        <v>336306.78876157419</v>
      </c>
      <c r="F840" s="301">
        <f>F883/C840+(F887+F891)/100</f>
        <v>18246.884615384613</v>
      </c>
      <c r="G840" s="301">
        <f>G883/C840+(G887+G891)/100</f>
        <v>1915.9082042378916</v>
      </c>
      <c r="H840" s="301">
        <f>H883/C840+(H887+H891)/100</f>
        <v>1349878.6924999999</v>
      </c>
      <c r="I840" s="301">
        <f>I883/C840+(I887+I891)/100</f>
        <v>4239.82</v>
      </c>
      <c r="J840" s="301">
        <f>J883/C840+(J887+J891)/100</f>
        <v>41.180999999999997</v>
      </c>
      <c r="K840" s="301">
        <f t="shared" si="280"/>
        <v>1710629.2750811968</v>
      </c>
      <c r="L840" s="301">
        <f>K840*0.25</f>
        <v>427657.3187702992</v>
      </c>
      <c r="M840" s="315">
        <f t="shared" si="281"/>
        <v>2138286.593851496</v>
      </c>
      <c r="N840" s="301">
        <f>M840+M844</f>
        <v>2198485.3935911544</v>
      </c>
      <c r="O840" s="301">
        <f>O883/C840+(O887+O891)/100</f>
        <v>9539.0820868945866</v>
      </c>
    </row>
    <row r="841" spans="1:15" s="345" customFormat="1" ht="13.15" customHeight="1">
      <c r="A841" s="1036"/>
      <c r="B841" s="1035"/>
      <c r="C841" s="298">
        <f>HeSoKK!F34</f>
        <v>6</v>
      </c>
      <c r="D841" s="298">
        <v>3</v>
      </c>
      <c r="E841" s="301">
        <f>E884/C841+(E888+E892)/100</f>
        <v>401302.21350694459</v>
      </c>
      <c r="F841" s="301">
        <f>F884/C841+(F888+F892)/100</f>
        <v>21885.346153846156</v>
      </c>
      <c r="G841" s="301">
        <f>G884/C841+(G888+G892)/100</f>
        <v>2513.1581137226972</v>
      </c>
      <c r="H841" s="301">
        <f>H884/C841+(H888+H892)/100</f>
        <v>675378.6925</v>
      </c>
      <c r="I841" s="301">
        <f>I884/C841+(I888+I892)/100</f>
        <v>5650.8207142857145</v>
      </c>
      <c r="J841" s="301">
        <f>J884/C841+(J888+J892)/100</f>
        <v>55.204799999999999</v>
      </c>
      <c r="K841" s="301">
        <f t="shared" si="280"/>
        <v>1106785.4357887993</v>
      </c>
      <c r="L841" s="301">
        <f>K841*0.25</f>
        <v>276696.35894719983</v>
      </c>
      <c r="M841" s="315">
        <f t="shared" si="281"/>
        <v>1383481.7947359991</v>
      </c>
      <c r="N841" s="301">
        <f>M841+M845</f>
        <v>1446078.517388551</v>
      </c>
      <c r="O841" s="301">
        <f>O884/C841+(O888+O892)/100</f>
        <v>11372.160790598291</v>
      </c>
    </row>
    <row r="842" spans="1:15" s="345" customFormat="1" ht="13.15" customHeight="1">
      <c r="A842" s="1036"/>
      <c r="B842" s="1035"/>
      <c r="C842" s="298">
        <f>HeSoKK!H34</f>
        <v>8.5</v>
      </c>
      <c r="D842" s="298">
        <v>4</v>
      </c>
      <c r="E842" s="301">
        <f>E885/C842+(E889+E893)/100</f>
        <v>477015.06337132357</v>
      </c>
      <c r="F842" s="301">
        <f>F885/C842+(F889+F893)/100</f>
        <v>26269.692307692309</v>
      </c>
      <c r="G842" s="301">
        <f>G885/C842+(G889+G893)/100</f>
        <v>2751.0842855496908</v>
      </c>
      <c r="H842" s="301">
        <f>H885/C842+(H889+H893)/100</f>
        <v>476996.33955882356</v>
      </c>
      <c r="I842" s="301">
        <f>I885/C842+(I889+I893)/100</f>
        <v>6223.5042857142853</v>
      </c>
      <c r="J842" s="301">
        <f>J885/C842+(J889+J893)/100</f>
        <v>60.324600000000004</v>
      </c>
      <c r="K842" s="301">
        <f t="shared" si="280"/>
        <v>989316.00840910338</v>
      </c>
      <c r="L842" s="301">
        <f>K842*0.25</f>
        <v>247329.00210227584</v>
      </c>
      <c r="M842" s="315">
        <f t="shared" si="281"/>
        <v>1236645.0105113792</v>
      </c>
      <c r="N842" s="301">
        <f>M842+M846</f>
        <v>1300591.8981918234</v>
      </c>
      <c r="O842" s="301">
        <f>O885/C842+(O889+O893)/100</f>
        <v>13514.106617647058</v>
      </c>
    </row>
    <row r="843" spans="1:15" s="345" customFormat="1">
      <c r="A843" s="1036"/>
      <c r="B843" s="1035" t="s">
        <v>192</v>
      </c>
      <c r="C843" s="298">
        <f>C839</f>
        <v>1.1000000000000001</v>
      </c>
      <c r="D843" s="298">
        <v>1</v>
      </c>
      <c r="E843" s="301">
        <f>(E895+E905+E906+E907)/C843+(E899+E903+E904)/100</f>
        <v>41343.671722222229</v>
      </c>
      <c r="F843" s="301">
        <f>(F895+F905+F906+F907)/C843+(F899+F903+F904)/100</f>
        <v>0</v>
      </c>
      <c r="G843" s="301">
        <f>(G895+G905+G906+G907)/C843+(G899+G903+G904)/100</f>
        <v>655.6468891295865</v>
      </c>
      <c r="H843" s="301">
        <f>(H895+H905+H906+H907)/C843+(H899+H903+H904)/100</f>
        <v>14107.075757575758</v>
      </c>
      <c r="I843" s="301">
        <f>(I895+I905+I906+I907)/C843+(I899+I903+I904)/100</f>
        <v>874.19931461038959</v>
      </c>
      <c r="J843" s="301">
        <f>(J895+J905+J906+J907)/C843+(J899+J903+J904)/100</f>
        <v>980.85429696969686</v>
      </c>
      <c r="K843" s="301">
        <f t="shared" si="280"/>
        <v>57961.447980507663</v>
      </c>
      <c r="L843" s="301">
        <f>K843*0.15</f>
        <v>8694.2171970761483</v>
      </c>
      <c r="M843" s="315">
        <f t="shared" si="281"/>
        <v>66655.665177583811</v>
      </c>
      <c r="N843" s="301"/>
      <c r="O843" s="301">
        <f>(O895+O905+O906+O907)/C843+(O899+O903+O904)/100</f>
        <v>1132.4059829059829</v>
      </c>
    </row>
    <row r="844" spans="1:15" s="345" customFormat="1">
      <c r="A844" s="1036"/>
      <c r="B844" s="1035"/>
      <c r="C844" s="298">
        <f>C840</f>
        <v>3</v>
      </c>
      <c r="D844" s="298">
        <v>2</v>
      </c>
      <c r="E844" s="301">
        <f>(E896+E905+E906+E907)/C844+(E900+E903+E904)/100</f>
        <v>36463.436187037049</v>
      </c>
      <c r="F844" s="301">
        <f>(F896+F905+F906+F907)/C844+(F900+F903+F904)/100</f>
        <v>0</v>
      </c>
      <c r="G844" s="301">
        <f>(G896+G905+G906+G907)/C844+(G900+G903+G904)/100</f>
        <v>611.79414924264006</v>
      </c>
      <c r="H844" s="301">
        <f>(H896+H905+H906+H907)/C844+(H900+H903+H904)/100</f>
        <v>13875.227777777778</v>
      </c>
      <c r="I844" s="301">
        <f>(I896+I905+I906+I907)/C844+(I900+I903+I904)/100</f>
        <v>522.05040158730162</v>
      </c>
      <c r="J844" s="301">
        <f>(J896+J905+J906+J907)/C844+(J900+J903+J904)/100</f>
        <v>874.27386666666655</v>
      </c>
      <c r="K844" s="301">
        <f t="shared" si="280"/>
        <v>52346.782382311438</v>
      </c>
      <c r="L844" s="301">
        <f>K844*0.15</f>
        <v>7852.0173573467155</v>
      </c>
      <c r="M844" s="315">
        <f t="shared" si="281"/>
        <v>60198.799739658156</v>
      </c>
      <c r="N844" s="301"/>
      <c r="O844" s="301">
        <f>(O896+O905+O906+O907)/C844+(O900+O903+O904)/100</f>
        <v>988.2497150997151</v>
      </c>
    </row>
    <row r="845" spans="1:15" s="345" customFormat="1">
      <c r="A845" s="1036"/>
      <c r="B845" s="1035"/>
      <c r="C845" s="298">
        <f>C841</f>
        <v>6</v>
      </c>
      <c r="D845" s="298">
        <v>3</v>
      </c>
      <c r="E845" s="301">
        <f>(E897+E905+E906+E907)/C845+(E901+E903+E904)/100</f>
        <v>38688.3650388889</v>
      </c>
      <c r="F845" s="301">
        <f>(F897+F905+F906+F907)/C845+(F901+F903+F904)/100</f>
        <v>0</v>
      </c>
      <c r="G845" s="301">
        <f>(G897+G905+G906+G907)/C845+(G901+G903+G904)/100</f>
        <v>647.6321199208611</v>
      </c>
      <c r="H845" s="301">
        <f>(H897+H905+H906+H907)/C845+(H901+H903+H904)/100</f>
        <v>13808.113888888889</v>
      </c>
      <c r="I845" s="301">
        <f>(I897+I905+I906+I907)/C845+(I901+I903+I904)/100</f>
        <v>403.06913809523803</v>
      </c>
      <c r="J845" s="301">
        <f>(J897+J905+J906+J907)/C845+(J901+J903+J904)/100</f>
        <v>884.75255555555555</v>
      </c>
      <c r="K845" s="301">
        <f t="shared" si="280"/>
        <v>54431.932741349447</v>
      </c>
      <c r="L845" s="301">
        <f>K845*0.15</f>
        <v>8164.789911202417</v>
      </c>
      <c r="M845" s="315">
        <f t="shared" si="281"/>
        <v>62596.722652551864</v>
      </c>
      <c r="N845" s="301"/>
      <c r="O845" s="301">
        <f>(O897+O905+O906+O907)/C845+(O901+O903+O904)/100</f>
        <v>1036.5431623931622</v>
      </c>
    </row>
    <row r="846" spans="1:15" s="345" customFormat="1">
      <c r="A846" s="1036"/>
      <c r="B846" s="1035"/>
      <c r="C846" s="298">
        <f>C842</f>
        <v>8.5</v>
      </c>
      <c r="D846" s="298">
        <v>4</v>
      </c>
      <c r="E846" s="301">
        <f>(E898+E905+E906+E907)/C846+(E902+E903+E904)/100</f>
        <v>39879.082502614394</v>
      </c>
      <c r="F846" s="301">
        <f>(F898+F905+F906+F907)/C846+(F902+F903+F904)/100</f>
        <v>0</v>
      </c>
      <c r="G846" s="301">
        <f>(G898+G905+G906+G907)/C846+(G902+G903+G904)/100</f>
        <v>665.19405697396803</v>
      </c>
      <c r="H846" s="301">
        <f>(H898+H905+H906+H907)/C846+(H902+H903+H904)/100</f>
        <v>13788.374509803922</v>
      </c>
      <c r="I846" s="301">
        <f>(I898+I905+I906+I907)/C846+(I902+I903+I904)/100</f>
        <v>377.69475128384681</v>
      </c>
      <c r="J846" s="301">
        <f>(J898+J905+J906+J907)/C846+(J902+J903+J904)/100</f>
        <v>895.64346666666665</v>
      </c>
      <c r="K846" s="301">
        <f t="shared" si="280"/>
        <v>55605.989287342796</v>
      </c>
      <c r="L846" s="301">
        <f>K846*0.15</f>
        <v>8340.8983931014191</v>
      </c>
      <c r="M846" s="315">
        <f t="shared" si="281"/>
        <v>63946.887680444212</v>
      </c>
      <c r="N846" s="301"/>
      <c r="O846" s="301">
        <f>(O898+O905+O906+O907)/C846+(O902+O903+O904)/100</f>
        <v>1064.2663147310204</v>
      </c>
    </row>
    <row r="847" spans="1:15" s="345" customFormat="1" ht="13.5">
      <c r="A847" s="298"/>
      <c r="B847" s="340" t="s">
        <v>332</v>
      </c>
      <c r="C847" s="298"/>
      <c r="D847" s="298"/>
      <c r="E847" s="301"/>
      <c r="F847" s="301"/>
      <c r="G847" s="301"/>
      <c r="H847" s="301"/>
      <c r="I847" s="301"/>
      <c r="J847" s="301"/>
      <c r="K847" s="301"/>
      <c r="L847" s="301"/>
      <c r="M847" s="315"/>
      <c r="N847" s="301"/>
      <c r="O847" s="301"/>
    </row>
    <row r="848" spans="1:15" s="345" customFormat="1" ht="13.5">
      <c r="A848" s="298" t="s">
        <v>494</v>
      </c>
      <c r="B848" s="340" t="s">
        <v>333</v>
      </c>
      <c r="C848" s="298"/>
      <c r="D848" s="298"/>
      <c r="E848" s="301"/>
      <c r="F848" s="301"/>
      <c r="G848" s="301"/>
      <c r="H848" s="301"/>
      <c r="I848" s="301"/>
      <c r="J848" s="301"/>
      <c r="K848" s="301"/>
      <c r="L848" s="301"/>
      <c r="M848" s="315"/>
      <c r="N848" s="301"/>
      <c r="O848" s="301"/>
    </row>
    <row r="849" spans="1:15" s="345" customFormat="1" ht="13.15" customHeight="1">
      <c r="A849" s="1036"/>
      <c r="B849" s="1035" t="s">
        <v>330</v>
      </c>
      <c r="C849" s="1036" t="s">
        <v>49</v>
      </c>
      <c r="D849" s="298">
        <v>1</v>
      </c>
      <c r="E849" s="301">
        <f t="shared" ref="E849:J852" si="282">E839-E886/100</f>
        <v>275534.12940972223</v>
      </c>
      <c r="F849" s="301">
        <f t="shared" si="282"/>
        <v>15208.76923076923</v>
      </c>
      <c r="G849" s="301">
        <f t="shared" si="282"/>
        <v>1377.4708984071483</v>
      </c>
      <c r="H849" s="301">
        <f t="shared" si="282"/>
        <v>3679927.7590909088</v>
      </c>
      <c r="I849" s="301">
        <f t="shared" si="282"/>
        <v>3400.7142857142858</v>
      </c>
      <c r="J849" s="301">
        <f t="shared" si="282"/>
        <v>33.39</v>
      </c>
      <c r="K849" s="301">
        <f t="shared" ref="K849:K856" si="283">SUM(E849:J849)</f>
        <v>3975482.2329155216</v>
      </c>
      <c r="L849" s="301">
        <f>K849*0.25</f>
        <v>993870.5582288804</v>
      </c>
      <c r="M849" s="315">
        <f t="shared" ref="M849:M856" si="284">K849+L849</f>
        <v>4969352.7911444018</v>
      </c>
      <c r="N849" s="301">
        <f>M849+M853</f>
        <v>5036008.4563219855</v>
      </c>
      <c r="O849" s="301">
        <f>O839-O886/100</f>
        <v>7840.9481837606827</v>
      </c>
    </row>
    <row r="850" spans="1:15" s="345" customFormat="1" ht="13.15" customHeight="1">
      <c r="A850" s="1036"/>
      <c r="B850" s="1035"/>
      <c r="C850" s="1036"/>
      <c r="D850" s="298">
        <v>2</v>
      </c>
      <c r="E850" s="301">
        <f t="shared" si="282"/>
        <v>316329.1971990742</v>
      </c>
      <c r="F850" s="301">
        <f t="shared" si="282"/>
        <v>18246.884615384613</v>
      </c>
      <c r="G850" s="301">
        <f t="shared" si="282"/>
        <v>1614.6108484686608</v>
      </c>
      <c r="H850" s="301">
        <f t="shared" si="282"/>
        <v>1349836.8499999999</v>
      </c>
      <c r="I850" s="301">
        <f t="shared" si="282"/>
        <v>3922.2885714285712</v>
      </c>
      <c r="J850" s="301">
        <f t="shared" si="282"/>
        <v>37.841999999999999</v>
      </c>
      <c r="K850" s="301">
        <f t="shared" si="283"/>
        <v>1689987.6732343559</v>
      </c>
      <c r="L850" s="301">
        <f>K850*0.25</f>
        <v>422496.91830858897</v>
      </c>
      <c r="M850" s="315">
        <f t="shared" si="284"/>
        <v>2112484.5915429448</v>
      </c>
      <c r="N850" s="301">
        <f>M850+M854</f>
        <v>2172683.3912826031</v>
      </c>
      <c r="O850" s="301">
        <f>O840-O887/100</f>
        <v>8973.4811253561256</v>
      </c>
    </row>
    <row r="851" spans="1:15" s="345" customFormat="1" ht="13.15" customHeight="1">
      <c r="A851" s="1036"/>
      <c r="B851" s="1035"/>
      <c r="C851" s="1036"/>
      <c r="D851" s="298">
        <v>3</v>
      </c>
      <c r="E851" s="301">
        <f t="shared" si="282"/>
        <v>374665.42475694459</v>
      </c>
      <c r="F851" s="301">
        <f t="shared" si="282"/>
        <v>21885.346153846156</v>
      </c>
      <c r="G851" s="301">
        <f t="shared" si="282"/>
        <v>2111.4283060303896</v>
      </c>
      <c r="H851" s="301">
        <f t="shared" si="282"/>
        <v>675336.85</v>
      </c>
      <c r="I851" s="301">
        <f t="shared" si="282"/>
        <v>5231.4650000000001</v>
      </c>
      <c r="J851" s="301">
        <f t="shared" si="282"/>
        <v>51.198</v>
      </c>
      <c r="K851" s="301">
        <f t="shared" si="283"/>
        <v>1079281.7122168213</v>
      </c>
      <c r="L851" s="301">
        <f>K851*0.25</f>
        <v>269820.42805420532</v>
      </c>
      <c r="M851" s="315">
        <f t="shared" si="284"/>
        <v>1349102.1402710266</v>
      </c>
      <c r="N851" s="301">
        <f>M851+M855</f>
        <v>1411698.8629235786</v>
      </c>
      <c r="O851" s="301">
        <f>O841-O888/100</f>
        <v>10618.026175213676</v>
      </c>
    </row>
    <row r="852" spans="1:15" s="345" customFormat="1" ht="13.15" customHeight="1">
      <c r="A852" s="1036"/>
      <c r="B852" s="1035"/>
      <c r="C852" s="1036"/>
      <c r="D852" s="298">
        <v>4</v>
      </c>
      <c r="E852" s="301">
        <f t="shared" si="282"/>
        <v>447800.52087132353</v>
      </c>
      <c r="F852" s="301">
        <f t="shared" si="282"/>
        <v>26269.692307692309</v>
      </c>
      <c r="G852" s="301">
        <f t="shared" si="282"/>
        <v>2309.1814970881524</v>
      </c>
      <c r="H852" s="301">
        <f t="shared" si="282"/>
        <v>476954.49705882353</v>
      </c>
      <c r="I852" s="301">
        <f t="shared" si="282"/>
        <v>5758.6742857142854</v>
      </c>
      <c r="J852" s="301">
        <f t="shared" si="282"/>
        <v>55.650000000000006</v>
      </c>
      <c r="K852" s="301">
        <f t="shared" si="283"/>
        <v>959148.21602064185</v>
      </c>
      <c r="L852" s="301">
        <f>K852*0.25</f>
        <v>239787.05400516046</v>
      </c>
      <c r="M852" s="315">
        <f t="shared" si="284"/>
        <v>1198935.2700258023</v>
      </c>
      <c r="N852" s="301">
        <f>M852+M856</f>
        <v>1262882.1577062465</v>
      </c>
      <c r="O852" s="301">
        <f>O842-O889/100</f>
        <v>12686.991233031673</v>
      </c>
    </row>
    <row r="853" spans="1:15" s="345" customFormat="1" ht="13.15" customHeight="1">
      <c r="A853" s="1036"/>
      <c r="B853" s="1035" t="s">
        <v>331</v>
      </c>
      <c r="C853" s="1036" t="s">
        <v>49</v>
      </c>
      <c r="D853" s="298">
        <v>1</v>
      </c>
      <c r="E853" s="301">
        <f t="shared" ref="E853:J856" si="285">E843</f>
        <v>41343.671722222229</v>
      </c>
      <c r="F853" s="301">
        <f t="shared" si="285"/>
        <v>0</v>
      </c>
      <c r="G853" s="301">
        <f t="shared" si="285"/>
        <v>655.6468891295865</v>
      </c>
      <c r="H853" s="301">
        <f t="shared" si="285"/>
        <v>14107.075757575758</v>
      </c>
      <c r="I853" s="301">
        <f t="shared" si="285"/>
        <v>874.19931461038959</v>
      </c>
      <c r="J853" s="301">
        <f t="shared" si="285"/>
        <v>980.85429696969686</v>
      </c>
      <c r="K853" s="301">
        <f t="shared" si="283"/>
        <v>57961.447980507663</v>
      </c>
      <c r="L853" s="301">
        <f>K853*0.15</f>
        <v>8694.2171970761483</v>
      </c>
      <c r="M853" s="315">
        <f t="shared" si="284"/>
        <v>66655.665177583811</v>
      </c>
      <c r="N853" s="301"/>
      <c r="O853" s="301">
        <f>O843</f>
        <v>1132.4059829059829</v>
      </c>
    </row>
    <row r="854" spans="1:15" s="345" customFormat="1" ht="13.15" customHeight="1">
      <c r="A854" s="1036"/>
      <c r="B854" s="1035"/>
      <c r="C854" s="1036"/>
      <c r="D854" s="298">
        <v>2</v>
      </c>
      <c r="E854" s="301">
        <f t="shared" si="285"/>
        <v>36463.436187037049</v>
      </c>
      <c r="F854" s="301">
        <f t="shared" si="285"/>
        <v>0</v>
      </c>
      <c r="G854" s="301">
        <f t="shared" si="285"/>
        <v>611.79414924264006</v>
      </c>
      <c r="H854" s="301">
        <f t="shared" si="285"/>
        <v>13875.227777777778</v>
      </c>
      <c r="I854" s="301">
        <f t="shared" si="285"/>
        <v>522.05040158730162</v>
      </c>
      <c r="J854" s="301">
        <f t="shared" si="285"/>
        <v>874.27386666666655</v>
      </c>
      <c r="K854" s="301">
        <f t="shared" si="283"/>
        <v>52346.782382311438</v>
      </c>
      <c r="L854" s="301">
        <f>K854*0.15</f>
        <v>7852.0173573467155</v>
      </c>
      <c r="M854" s="315">
        <f t="shared" si="284"/>
        <v>60198.799739658156</v>
      </c>
      <c r="N854" s="301"/>
      <c r="O854" s="301">
        <f>O844</f>
        <v>988.2497150997151</v>
      </c>
    </row>
    <row r="855" spans="1:15" s="345" customFormat="1" ht="13.15" customHeight="1">
      <c r="A855" s="1036"/>
      <c r="B855" s="1035"/>
      <c r="C855" s="1036"/>
      <c r="D855" s="298">
        <v>3</v>
      </c>
      <c r="E855" s="301">
        <f t="shared" si="285"/>
        <v>38688.3650388889</v>
      </c>
      <c r="F855" s="301">
        <f t="shared" si="285"/>
        <v>0</v>
      </c>
      <c r="G855" s="301">
        <f t="shared" si="285"/>
        <v>647.6321199208611</v>
      </c>
      <c r="H855" s="301">
        <f t="shared" si="285"/>
        <v>13808.113888888889</v>
      </c>
      <c r="I855" s="301">
        <f t="shared" si="285"/>
        <v>403.06913809523803</v>
      </c>
      <c r="J855" s="301">
        <f t="shared" si="285"/>
        <v>884.75255555555555</v>
      </c>
      <c r="K855" s="301">
        <f t="shared" si="283"/>
        <v>54431.932741349447</v>
      </c>
      <c r="L855" s="301">
        <f>K855*0.15</f>
        <v>8164.789911202417</v>
      </c>
      <c r="M855" s="315">
        <f t="shared" si="284"/>
        <v>62596.722652551864</v>
      </c>
      <c r="N855" s="301"/>
      <c r="O855" s="301">
        <f>O845</f>
        <v>1036.5431623931622</v>
      </c>
    </row>
    <row r="856" spans="1:15" s="345" customFormat="1" ht="13.15" customHeight="1">
      <c r="A856" s="1036"/>
      <c r="B856" s="1035"/>
      <c r="C856" s="1036"/>
      <c r="D856" s="298">
        <v>4</v>
      </c>
      <c r="E856" s="301">
        <f t="shared" si="285"/>
        <v>39879.082502614394</v>
      </c>
      <c r="F856" s="301">
        <f t="shared" si="285"/>
        <v>0</v>
      </c>
      <c r="G856" s="301">
        <f t="shared" si="285"/>
        <v>665.19405697396803</v>
      </c>
      <c r="H856" s="301">
        <f t="shared" si="285"/>
        <v>13788.374509803922</v>
      </c>
      <c r="I856" s="301">
        <f t="shared" si="285"/>
        <v>377.69475128384681</v>
      </c>
      <c r="J856" s="301">
        <f t="shared" si="285"/>
        <v>895.64346666666665</v>
      </c>
      <c r="K856" s="301">
        <f t="shared" si="283"/>
        <v>55605.989287342796</v>
      </c>
      <c r="L856" s="301">
        <f>K856*0.15</f>
        <v>8340.8983931014191</v>
      </c>
      <c r="M856" s="315">
        <f t="shared" si="284"/>
        <v>63946.887680444212</v>
      </c>
      <c r="N856" s="301"/>
      <c r="O856" s="301">
        <f>O846</f>
        <v>1064.2663147310204</v>
      </c>
    </row>
    <row r="857" spans="1:15" s="345" customFormat="1" ht="13.5">
      <c r="A857" s="298" t="s">
        <v>495</v>
      </c>
      <c r="B857" s="340" t="s">
        <v>423</v>
      </c>
      <c r="C857" s="298"/>
      <c r="D857" s="298"/>
      <c r="E857" s="301"/>
      <c r="F857" s="301"/>
      <c r="G857" s="301"/>
      <c r="H857" s="301"/>
      <c r="I857" s="301"/>
      <c r="J857" s="301"/>
      <c r="K857" s="301"/>
      <c r="L857" s="301"/>
      <c r="M857" s="315"/>
      <c r="N857" s="301"/>
      <c r="O857" s="301"/>
    </row>
    <row r="858" spans="1:15" s="345" customFormat="1" ht="13.15" customHeight="1">
      <c r="A858" s="1036"/>
      <c r="B858" s="1035" t="s">
        <v>330</v>
      </c>
      <c r="C858" s="1036" t="s">
        <v>49</v>
      </c>
      <c r="D858" s="298">
        <v>1</v>
      </c>
      <c r="E858" s="301">
        <f t="shared" ref="E858:G865" si="286">E839*0.9</f>
        <v>263640.57050000003</v>
      </c>
      <c r="F858" s="301">
        <f t="shared" si="286"/>
        <v>13687.892307692307</v>
      </c>
      <c r="G858" s="301">
        <f t="shared" si="286"/>
        <v>1456.6579047202797</v>
      </c>
      <c r="H858" s="301">
        <f t="shared" ref="H858:H865" si="287">H839</f>
        <v>3679969.6015909086</v>
      </c>
      <c r="I858" s="301">
        <f t="shared" ref="I858:J865" si="288">I839*0.9</f>
        <v>3310.5657857142855</v>
      </c>
      <c r="J858" s="301">
        <f t="shared" si="288"/>
        <v>32.455080000000002</v>
      </c>
      <c r="K858" s="301">
        <f t="shared" ref="K858:K865" si="289">SUM(E858:J858)</f>
        <v>3962097.7431690358</v>
      </c>
      <c r="L858" s="301">
        <f>K858*0.25</f>
        <v>990524.43579225894</v>
      </c>
      <c r="M858" s="315">
        <f t="shared" ref="M858:M865" si="290">K858+L858</f>
        <v>4952622.1789612947</v>
      </c>
      <c r="N858" s="301">
        <f>M858+M862</f>
        <v>5014234.5913332412</v>
      </c>
      <c r="O858" s="301">
        <f t="shared" ref="O858:O865" si="291">O839*0.9</f>
        <v>7500.2115384615381</v>
      </c>
    </row>
    <row r="859" spans="1:15" s="345" customFormat="1" ht="13.15" customHeight="1">
      <c r="A859" s="1036"/>
      <c r="B859" s="1035"/>
      <c r="C859" s="1036"/>
      <c r="D859" s="298">
        <v>2</v>
      </c>
      <c r="E859" s="301">
        <f t="shared" si="286"/>
        <v>302676.10988541681</v>
      </c>
      <c r="F859" s="301">
        <f t="shared" si="286"/>
        <v>16422.196153846151</v>
      </c>
      <c r="G859" s="301">
        <f t="shared" si="286"/>
        <v>1724.3173838141024</v>
      </c>
      <c r="H859" s="301">
        <f t="shared" si="287"/>
        <v>1349878.6924999999</v>
      </c>
      <c r="I859" s="301">
        <f t="shared" si="288"/>
        <v>3815.8379999999997</v>
      </c>
      <c r="J859" s="301">
        <f t="shared" si="288"/>
        <v>37.062899999999999</v>
      </c>
      <c r="K859" s="301">
        <f t="shared" si="289"/>
        <v>1674554.2168230771</v>
      </c>
      <c r="L859" s="301">
        <f>K859*0.25</f>
        <v>418638.55420576927</v>
      </c>
      <c r="M859" s="315">
        <f t="shared" si="290"/>
        <v>2093192.7710288463</v>
      </c>
      <c r="N859" s="301">
        <f>M859+M863</f>
        <v>2148967.3419889831</v>
      </c>
      <c r="O859" s="301">
        <f t="shared" si="291"/>
        <v>8585.1738782051289</v>
      </c>
    </row>
    <row r="860" spans="1:15" s="345" customFormat="1" ht="13.15" customHeight="1">
      <c r="A860" s="1036"/>
      <c r="B860" s="1035"/>
      <c r="C860" s="1036"/>
      <c r="D860" s="298">
        <v>3</v>
      </c>
      <c r="E860" s="301">
        <f t="shared" si="286"/>
        <v>361171.99215625017</v>
      </c>
      <c r="F860" s="301">
        <f t="shared" si="286"/>
        <v>19696.811538461541</v>
      </c>
      <c r="G860" s="301">
        <f t="shared" si="286"/>
        <v>2261.8423023504274</v>
      </c>
      <c r="H860" s="301">
        <f t="shared" si="287"/>
        <v>675378.6925</v>
      </c>
      <c r="I860" s="301">
        <f t="shared" si="288"/>
        <v>5085.7386428571435</v>
      </c>
      <c r="J860" s="301">
        <f t="shared" si="288"/>
        <v>49.68432</v>
      </c>
      <c r="K860" s="301">
        <f t="shared" si="289"/>
        <v>1063644.7614599194</v>
      </c>
      <c r="L860" s="301">
        <f>K860*0.25</f>
        <v>265911.19036497985</v>
      </c>
      <c r="M860" s="315">
        <f t="shared" si="290"/>
        <v>1329555.9518248993</v>
      </c>
      <c r="N860" s="301">
        <f>M860+M864</f>
        <v>1387480.9353094182</v>
      </c>
      <c r="O860" s="301">
        <f t="shared" si="291"/>
        <v>10234.944711538463</v>
      </c>
    </row>
    <row r="861" spans="1:15" s="345" customFormat="1" ht="13.15" customHeight="1">
      <c r="A861" s="1036"/>
      <c r="B861" s="1035"/>
      <c r="C861" s="1036"/>
      <c r="D861" s="298">
        <v>4</v>
      </c>
      <c r="E861" s="301">
        <f t="shared" si="286"/>
        <v>429313.55703419121</v>
      </c>
      <c r="F861" s="301">
        <f t="shared" si="286"/>
        <v>23642.723076923077</v>
      </c>
      <c r="G861" s="301">
        <f t="shared" si="286"/>
        <v>2475.9758569947217</v>
      </c>
      <c r="H861" s="301">
        <f t="shared" si="287"/>
        <v>476996.33955882356</v>
      </c>
      <c r="I861" s="301">
        <f t="shared" si="288"/>
        <v>5601.1538571428573</v>
      </c>
      <c r="J861" s="301">
        <f t="shared" si="288"/>
        <v>54.292140000000003</v>
      </c>
      <c r="K861" s="301">
        <f t="shared" si="289"/>
        <v>938084.04152407544</v>
      </c>
      <c r="L861" s="301">
        <f>K861*0.25</f>
        <v>234521.01038101886</v>
      </c>
      <c r="M861" s="315">
        <f t="shared" si="290"/>
        <v>1172605.0519050942</v>
      </c>
      <c r="N861" s="301">
        <f>M861+M865</f>
        <v>1231742.9138861215</v>
      </c>
      <c r="O861" s="301">
        <f t="shared" si="291"/>
        <v>12162.695955882353</v>
      </c>
    </row>
    <row r="862" spans="1:15" s="345" customFormat="1">
      <c r="A862" s="1036"/>
      <c r="B862" s="1037" t="s">
        <v>331</v>
      </c>
      <c r="C862" s="1036" t="s">
        <v>49</v>
      </c>
      <c r="D862" s="333" t="s">
        <v>18</v>
      </c>
      <c r="E862" s="301">
        <f t="shared" si="286"/>
        <v>37209.304550000008</v>
      </c>
      <c r="F862" s="301">
        <f t="shared" si="286"/>
        <v>0</v>
      </c>
      <c r="G862" s="301">
        <f t="shared" si="286"/>
        <v>590.08220021662783</v>
      </c>
      <c r="H862" s="301">
        <f t="shared" si="287"/>
        <v>14107.075757575758</v>
      </c>
      <c r="I862" s="301">
        <f t="shared" si="288"/>
        <v>786.77938314935068</v>
      </c>
      <c r="J862" s="301">
        <f t="shared" si="288"/>
        <v>882.76886727272722</v>
      </c>
      <c r="K862" s="301">
        <f t="shared" si="289"/>
        <v>53576.01075821447</v>
      </c>
      <c r="L862" s="301">
        <f>K862*0.15</f>
        <v>8036.4016137321705</v>
      </c>
      <c r="M862" s="315">
        <f t="shared" si="290"/>
        <v>61612.412371946644</v>
      </c>
      <c r="N862" s="301"/>
      <c r="O862" s="301">
        <f t="shared" si="291"/>
        <v>1019.1653846153846</v>
      </c>
    </row>
    <row r="863" spans="1:15" s="345" customFormat="1">
      <c r="A863" s="1036"/>
      <c r="B863" s="1035"/>
      <c r="C863" s="1036"/>
      <c r="D863" s="298">
        <v>2</v>
      </c>
      <c r="E863" s="301">
        <f t="shared" si="286"/>
        <v>32817.092568333348</v>
      </c>
      <c r="F863" s="301">
        <f t="shared" si="286"/>
        <v>0</v>
      </c>
      <c r="G863" s="301">
        <f t="shared" si="286"/>
        <v>550.61473431837612</v>
      </c>
      <c r="H863" s="301">
        <f t="shared" si="287"/>
        <v>13875.227777777778</v>
      </c>
      <c r="I863" s="301">
        <f t="shared" si="288"/>
        <v>469.84536142857149</v>
      </c>
      <c r="J863" s="301">
        <f t="shared" si="288"/>
        <v>786.84647999999993</v>
      </c>
      <c r="K863" s="301">
        <f t="shared" si="289"/>
        <v>48499.626921858071</v>
      </c>
      <c r="L863" s="301">
        <f>K863*0.15</f>
        <v>7274.9440382787107</v>
      </c>
      <c r="M863" s="315">
        <f t="shared" si="290"/>
        <v>55774.570960136785</v>
      </c>
      <c r="N863" s="301"/>
      <c r="O863" s="301">
        <f t="shared" si="291"/>
        <v>889.42474358974357</v>
      </c>
    </row>
    <row r="864" spans="1:15" s="345" customFormat="1">
      <c r="A864" s="1036"/>
      <c r="B864" s="1035"/>
      <c r="C864" s="1036"/>
      <c r="D864" s="298">
        <v>3</v>
      </c>
      <c r="E864" s="301">
        <f t="shared" si="286"/>
        <v>34819.528535000012</v>
      </c>
      <c r="F864" s="301">
        <f t="shared" si="286"/>
        <v>0</v>
      </c>
      <c r="G864" s="301">
        <f t="shared" si="286"/>
        <v>582.868907928775</v>
      </c>
      <c r="H864" s="301">
        <f t="shared" si="287"/>
        <v>13808.113888888889</v>
      </c>
      <c r="I864" s="301">
        <f t="shared" si="288"/>
        <v>362.76222428571424</v>
      </c>
      <c r="J864" s="301">
        <f t="shared" si="288"/>
        <v>796.27729999999997</v>
      </c>
      <c r="K864" s="301">
        <f t="shared" si="289"/>
        <v>50369.550856103393</v>
      </c>
      <c r="L864" s="301">
        <f>K864*0.15</f>
        <v>7555.4326284155086</v>
      </c>
      <c r="M864" s="315">
        <f t="shared" si="290"/>
        <v>57924.983484518903</v>
      </c>
      <c r="N864" s="301"/>
      <c r="O864" s="301">
        <f t="shared" si="291"/>
        <v>932.88884615384598</v>
      </c>
    </row>
    <row r="865" spans="1:15" s="345" customFormat="1">
      <c r="A865" s="1036"/>
      <c r="B865" s="1035"/>
      <c r="C865" s="1036"/>
      <c r="D865" s="298">
        <v>4</v>
      </c>
      <c r="E865" s="301">
        <f t="shared" si="286"/>
        <v>35891.174252352954</v>
      </c>
      <c r="F865" s="301">
        <f t="shared" si="286"/>
        <v>0</v>
      </c>
      <c r="G865" s="301">
        <f t="shared" si="286"/>
        <v>598.67465127657124</v>
      </c>
      <c r="H865" s="301">
        <f t="shared" si="287"/>
        <v>13788.374509803922</v>
      </c>
      <c r="I865" s="301">
        <f t="shared" si="288"/>
        <v>339.92527615546214</v>
      </c>
      <c r="J865" s="301">
        <f t="shared" si="288"/>
        <v>806.07911999999999</v>
      </c>
      <c r="K865" s="301">
        <f t="shared" si="289"/>
        <v>51424.227809588905</v>
      </c>
      <c r="L865" s="301">
        <f>K865*0.15</f>
        <v>7713.6341714383352</v>
      </c>
      <c r="M865" s="315">
        <f t="shared" si="290"/>
        <v>59137.861981027243</v>
      </c>
      <c r="N865" s="301"/>
      <c r="O865" s="301">
        <f t="shared" si="291"/>
        <v>957.83968325791841</v>
      </c>
    </row>
    <row r="866" spans="1:15" s="345" customFormat="1" ht="13.5">
      <c r="A866" s="298" t="s">
        <v>496</v>
      </c>
      <c r="B866" s="340" t="s">
        <v>424</v>
      </c>
      <c r="C866" s="298"/>
      <c r="D866" s="298"/>
      <c r="E866" s="301"/>
      <c r="F866" s="301"/>
      <c r="G866" s="301"/>
      <c r="H866" s="301"/>
      <c r="I866" s="301"/>
      <c r="J866" s="301"/>
      <c r="K866" s="301"/>
      <c r="L866" s="301"/>
      <c r="M866" s="315"/>
      <c r="N866" s="301"/>
      <c r="O866" s="301"/>
    </row>
    <row r="867" spans="1:15" s="345" customFormat="1" ht="13.15" customHeight="1">
      <c r="A867" s="1036"/>
      <c r="B867" s="1035" t="s">
        <v>330</v>
      </c>
      <c r="C867" s="1036" t="s">
        <v>49</v>
      </c>
      <c r="D867" s="298">
        <v>1</v>
      </c>
      <c r="E867" s="301">
        <f t="shared" ref="E867:G874" si="292">E839*0.8</f>
        <v>234347.17377777782</v>
      </c>
      <c r="F867" s="301">
        <f t="shared" si="292"/>
        <v>12167.015384615384</v>
      </c>
      <c r="G867" s="301">
        <f t="shared" si="292"/>
        <v>1294.8070264180265</v>
      </c>
      <c r="H867" s="301">
        <f t="shared" ref="H867:H874" si="293">H839</f>
        <v>3679969.6015909086</v>
      </c>
      <c r="I867" s="301">
        <f t="shared" ref="I867:J874" si="294">I839*0.8</f>
        <v>2942.7251428571431</v>
      </c>
      <c r="J867" s="301">
        <f t="shared" si="294"/>
        <v>28.848960000000002</v>
      </c>
      <c r="K867" s="301">
        <f t="shared" ref="K867:K874" si="295">SUM(E867:J867)</f>
        <v>3930750.1718825768</v>
      </c>
      <c r="L867" s="301">
        <f>K867*0.25</f>
        <v>982687.54297064419</v>
      </c>
      <c r="M867" s="315">
        <f t="shared" ref="M867:M874" si="296">K867+L867</f>
        <v>4913437.7148532206</v>
      </c>
      <c r="N867" s="301">
        <f>M867+M871</f>
        <v>4970006.8744195299</v>
      </c>
      <c r="O867" s="301">
        <f t="shared" ref="O867:O874" si="297">O839*0.8</f>
        <v>6666.8547008547002</v>
      </c>
    </row>
    <row r="868" spans="1:15" s="345" customFormat="1" ht="13.15" customHeight="1">
      <c r="A868" s="1036"/>
      <c r="B868" s="1035"/>
      <c r="C868" s="1036"/>
      <c r="D868" s="298">
        <v>2</v>
      </c>
      <c r="E868" s="301">
        <f t="shared" si="292"/>
        <v>269045.43100925937</v>
      </c>
      <c r="F868" s="301">
        <f t="shared" si="292"/>
        <v>14597.507692307692</v>
      </c>
      <c r="G868" s="301">
        <f t="shared" si="292"/>
        <v>1532.7265633903135</v>
      </c>
      <c r="H868" s="301">
        <f t="shared" si="293"/>
        <v>1349878.6924999999</v>
      </c>
      <c r="I868" s="301">
        <f t="shared" si="294"/>
        <v>3391.8559999999998</v>
      </c>
      <c r="J868" s="301">
        <f t="shared" si="294"/>
        <v>32.944800000000001</v>
      </c>
      <c r="K868" s="301">
        <f t="shared" si="295"/>
        <v>1638479.1585649571</v>
      </c>
      <c r="L868" s="301">
        <f>K868*0.25</f>
        <v>409619.78964123927</v>
      </c>
      <c r="M868" s="315">
        <f t="shared" si="296"/>
        <v>2048098.9482061963</v>
      </c>
      <c r="N868" s="301">
        <f>M868+M872</f>
        <v>2099449.2903868118</v>
      </c>
      <c r="O868" s="301">
        <f t="shared" si="297"/>
        <v>7631.2656695156693</v>
      </c>
    </row>
    <row r="869" spans="1:15" s="345" customFormat="1" ht="13.15" customHeight="1">
      <c r="A869" s="1036"/>
      <c r="B869" s="1035"/>
      <c r="C869" s="1036"/>
      <c r="D869" s="298">
        <v>3</v>
      </c>
      <c r="E869" s="301">
        <f t="shared" si="292"/>
        <v>321041.77080555569</v>
      </c>
      <c r="F869" s="301">
        <f t="shared" si="292"/>
        <v>17508.276923076926</v>
      </c>
      <c r="G869" s="301">
        <f t="shared" si="292"/>
        <v>2010.5264909781579</v>
      </c>
      <c r="H869" s="301">
        <f t="shared" si="293"/>
        <v>675378.6925</v>
      </c>
      <c r="I869" s="301">
        <f t="shared" si="294"/>
        <v>4520.6565714285716</v>
      </c>
      <c r="J869" s="301">
        <f t="shared" si="294"/>
        <v>44.16384</v>
      </c>
      <c r="K869" s="301">
        <f t="shared" si="295"/>
        <v>1020504.0871310394</v>
      </c>
      <c r="L869" s="301">
        <f>K869*0.25</f>
        <v>255126.02178275984</v>
      </c>
      <c r="M869" s="315">
        <f t="shared" si="296"/>
        <v>1275630.1089137993</v>
      </c>
      <c r="N869" s="301">
        <f>M869+M873</f>
        <v>1328883.3532302852</v>
      </c>
      <c r="O869" s="301">
        <f t="shared" si="297"/>
        <v>9097.7286324786328</v>
      </c>
    </row>
    <row r="870" spans="1:15" s="345" customFormat="1" ht="13.15" customHeight="1">
      <c r="A870" s="1036"/>
      <c r="B870" s="1035"/>
      <c r="C870" s="1036"/>
      <c r="D870" s="298">
        <v>4</v>
      </c>
      <c r="E870" s="301">
        <f t="shared" si="292"/>
        <v>381612.0506970589</v>
      </c>
      <c r="F870" s="301">
        <f t="shared" si="292"/>
        <v>21015.75384615385</v>
      </c>
      <c r="G870" s="301">
        <f t="shared" si="292"/>
        <v>2200.8674284397525</v>
      </c>
      <c r="H870" s="301">
        <f t="shared" si="293"/>
        <v>476996.33955882356</v>
      </c>
      <c r="I870" s="301">
        <f t="shared" si="294"/>
        <v>4978.8034285714284</v>
      </c>
      <c r="J870" s="301">
        <f t="shared" si="294"/>
        <v>48.259680000000003</v>
      </c>
      <c r="K870" s="301">
        <f t="shared" si="295"/>
        <v>886852.0746390475</v>
      </c>
      <c r="L870" s="301">
        <f>K870*0.25</f>
        <v>221713.01865976187</v>
      </c>
      <c r="M870" s="315">
        <f t="shared" si="296"/>
        <v>1108565.0932988094</v>
      </c>
      <c r="N870" s="301">
        <f>M870+M874</f>
        <v>1162893.9295804196</v>
      </c>
      <c r="O870" s="301">
        <f t="shared" si="297"/>
        <v>10811.285294117646</v>
      </c>
    </row>
    <row r="871" spans="1:15" s="345" customFormat="1" ht="13.15" customHeight="1">
      <c r="A871" s="1036"/>
      <c r="B871" s="1035" t="s">
        <v>331</v>
      </c>
      <c r="C871" s="1036" t="s">
        <v>49</v>
      </c>
      <c r="D871" s="333" t="s">
        <v>18</v>
      </c>
      <c r="E871" s="301">
        <f t="shared" si="292"/>
        <v>33074.937377777787</v>
      </c>
      <c r="F871" s="301">
        <f t="shared" si="292"/>
        <v>0</v>
      </c>
      <c r="G871" s="301">
        <f t="shared" si="292"/>
        <v>524.51751130366927</v>
      </c>
      <c r="H871" s="301">
        <f t="shared" si="293"/>
        <v>14107.075757575758</v>
      </c>
      <c r="I871" s="301">
        <f t="shared" si="294"/>
        <v>699.35945168831176</v>
      </c>
      <c r="J871" s="301">
        <f t="shared" si="294"/>
        <v>784.68343757575758</v>
      </c>
      <c r="K871" s="301">
        <f t="shared" si="295"/>
        <v>49190.573535921285</v>
      </c>
      <c r="L871" s="301">
        <f>K871*0.15</f>
        <v>7378.5860303881927</v>
      </c>
      <c r="M871" s="315">
        <f t="shared" si="296"/>
        <v>56569.159566309478</v>
      </c>
      <c r="N871" s="301"/>
      <c r="O871" s="301">
        <f t="shared" si="297"/>
        <v>905.9247863247864</v>
      </c>
    </row>
    <row r="872" spans="1:15" s="345" customFormat="1" ht="13.15" customHeight="1">
      <c r="A872" s="1036"/>
      <c r="B872" s="1035"/>
      <c r="C872" s="1036"/>
      <c r="D872" s="298">
        <v>2</v>
      </c>
      <c r="E872" s="301">
        <f t="shared" si="292"/>
        <v>29170.74894962964</v>
      </c>
      <c r="F872" s="301">
        <f t="shared" si="292"/>
        <v>0</v>
      </c>
      <c r="G872" s="301">
        <f t="shared" si="292"/>
        <v>489.43531939411207</v>
      </c>
      <c r="H872" s="301">
        <f t="shared" si="293"/>
        <v>13875.227777777778</v>
      </c>
      <c r="I872" s="301">
        <f t="shared" si="294"/>
        <v>417.64032126984131</v>
      </c>
      <c r="J872" s="301">
        <f t="shared" si="294"/>
        <v>699.41909333333331</v>
      </c>
      <c r="K872" s="301">
        <f t="shared" si="295"/>
        <v>44652.471461404704</v>
      </c>
      <c r="L872" s="301">
        <f>K872*0.15</f>
        <v>6697.8707192107058</v>
      </c>
      <c r="M872" s="315">
        <f t="shared" si="296"/>
        <v>51350.342180615407</v>
      </c>
      <c r="N872" s="301"/>
      <c r="O872" s="301">
        <f t="shared" si="297"/>
        <v>790.59977207977215</v>
      </c>
    </row>
    <row r="873" spans="1:15" s="345" customFormat="1" ht="13.15" customHeight="1">
      <c r="A873" s="1036"/>
      <c r="B873" s="1035"/>
      <c r="C873" s="1036"/>
      <c r="D873" s="298">
        <v>3</v>
      </c>
      <c r="E873" s="301">
        <f t="shared" si="292"/>
        <v>30950.692031111121</v>
      </c>
      <c r="F873" s="301">
        <f t="shared" si="292"/>
        <v>0</v>
      </c>
      <c r="G873" s="301">
        <f t="shared" si="292"/>
        <v>518.1056959366889</v>
      </c>
      <c r="H873" s="301">
        <f t="shared" si="293"/>
        <v>13808.113888888889</v>
      </c>
      <c r="I873" s="301">
        <f t="shared" si="294"/>
        <v>322.45531047619045</v>
      </c>
      <c r="J873" s="301">
        <f t="shared" si="294"/>
        <v>707.8020444444445</v>
      </c>
      <c r="K873" s="301">
        <f t="shared" si="295"/>
        <v>46307.168970857325</v>
      </c>
      <c r="L873" s="301">
        <f>K873*0.15</f>
        <v>6946.0753456285984</v>
      </c>
      <c r="M873" s="315">
        <f t="shared" si="296"/>
        <v>53253.244316485921</v>
      </c>
      <c r="N873" s="301"/>
      <c r="O873" s="301">
        <f t="shared" si="297"/>
        <v>829.23452991452984</v>
      </c>
    </row>
    <row r="874" spans="1:15" s="345" customFormat="1" ht="13.15" customHeight="1">
      <c r="A874" s="1036"/>
      <c r="B874" s="1035"/>
      <c r="C874" s="1036"/>
      <c r="D874" s="298">
        <v>4</v>
      </c>
      <c r="E874" s="301">
        <f t="shared" si="292"/>
        <v>31903.266002091517</v>
      </c>
      <c r="F874" s="301">
        <f t="shared" si="292"/>
        <v>0</v>
      </c>
      <c r="G874" s="301">
        <f t="shared" si="292"/>
        <v>532.15524557917445</v>
      </c>
      <c r="H874" s="301">
        <f t="shared" si="293"/>
        <v>13788.374509803922</v>
      </c>
      <c r="I874" s="301">
        <f t="shared" si="294"/>
        <v>302.15580102707747</v>
      </c>
      <c r="J874" s="301">
        <f t="shared" si="294"/>
        <v>716.51477333333332</v>
      </c>
      <c r="K874" s="301">
        <f t="shared" si="295"/>
        <v>47242.466331835021</v>
      </c>
      <c r="L874" s="301">
        <f>K874*0.15</f>
        <v>7086.3699497752532</v>
      </c>
      <c r="M874" s="315">
        <f t="shared" si="296"/>
        <v>54328.836281610274</v>
      </c>
      <c r="N874" s="301"/>
      <c r="O874" s="301">
        <f t="shared" si="297"/>
        <v>851.41305178481639</v>
      </c>
    </row>
    <row r="875" spans="1:15" s="308" customFormat="1" ht="12.75" customHeight="1">
      <c r="A875" s="298" t="s">
        <v>497</v>
      </c>
      <c r="B875" s="340" t="s">
        <v>491</v>
      </c>
      <c r="C875" s="298"/>
      <c r="D875" s="298"/>
      <c r="E875" s="301"/>
      <c r="F875" s="301"/>
      <c r="G875" s="301"/>
      <c r="H875" s="301"/>
      <c r="I875" s="301"/>
      <c r="J875" s="301"/>
      <c r="K875" s="301"/>
      <c r="L875" s="301"/>
      <c r="M875" s="315"/>
      <c r="N875" s="301"/>
      <c r="O875" s="301"/>
    </row>
    <row r="876" spans="1:15" s="345" customFormat="1" ht="13.15" customHeight="1">
      <c r="A876" s="298"/>
      <c r="B876" s="340"/>
      <c r="C876" s="298"/>
      <c r="D876" s="298" t="s">
        <v>18</v>
      </c>
      <c r="E876" s="301">
        <f>E$903/100+(E$905+E$906)/$C843</f>
        <v>11196.30416666667</v>
      </c>
      <c r="F876" s="301"/>
      <c r="G876" s="301">
        <f t="shared" ref="G876:J879" si="298">G839</f>
        <v>1618.508783022533</v>
      </c>
      <c r="H876" s="301">
        <f t="shared" si="298"/>
        <v>3679969.6015909086</v>
      </c>
      <c r="I876" s="301">
        <f t="shared" si="298"/>
        <v>3678.4064285714285</v>
      </c>
      <c r="J876" s="301">
        <f t="shared" si="298"/>
        <v>36.061199999999999</v>
      </c>
      <c r="K876" s="301">
        <f>SUM(E876:J876)</f>
        <v>3696498.8821691689</v>
      </c>
      <c r="L876" s="301">
        <f>K876*0.15</f>
        <v>554474.83232537529</v>
      </c>
      <c r="M876" s="315">
        <f>K876+L876</f>
        <v>4250973.7144945441</v>
      </c>
      <c r="N876" s="301">
        <f>M876</f>
        <v>4250973.7144945441</v>
      </c>
      <c r="O876" s="301">
        <f>O$903/100+(O$905+O$906)/$C843</f>
        <v>316.98717948717945</v>
      </c>
    </row>
    <row r="877" spans="1:15" s="345" customFormat="1" ht="13.15" customHeight="1">
      <c r="A877" s="298"/>
      <c r="B877" s="340" t="s">
        <v>192</v>
      </c>
      <c r="C877" s="298" t="s">
        <v>49</v>
      </c>
      <c r="D877" s="298" t="s">
        <v>20</v>
      </c>
      <c r="E877" s="301">
        <f>E$903/100+(E$905+E$906)/$C844</f>
        <v>10635.621027777781</v>
      </c>
      <c r="F877" s="301"/>
      <c r="G877" s="301">
        <f t="shared" si="298"/>
        <v>1915.9082042378916</v>
      </c>
      <c r="H877" s="301">
        <f t="shared" si="298"/>
        <v>1349878.6924999999</v>
      </c>
      <c r="I877" s="301">
        <f t="shared" si="298"/>
        <v>4239.82</v>
      </c>
      <c r="J877" s="301">
        <f t="shared" si="298"/>
        <v>41.180999999999997</v>
      </c>
      <c r="K877" s="301">
        <f>SUM(E877:J877)</f>
        <v>1366711.2227320157</v>
      </c>
      <c r="L877" s="301">
        <f>K877*0.15</f>
        <v>205006.68340980235</v>
      </c>
      <c r="M877" s="315">
        <f>K877+L877</f>
        <v>1571717.906141818</v>
      </c>
      <c r="N877" s="301">
        <f>M877</f>
        <v>1571717.906141818</v>
      </c>
      <c r="O877" s="301">
        <f>O$903/100+(O$905+O$906)/$C844</f>
        <v>301.11324786324786</v>
      </c>
    </row>
    <row r="878" spans="1:15" s="345" customFormat="1" ht="13.15" customHeight="1">
      <c r="A878" s="298"/>
      <c r="B878" s="340"/>
      <c r="C878" s="298"/>
      <c r="D878" s="298" t="s">
        <v>35</v>
      </c>
      <c r="E878" s="301">
        <f>E$903/100+(E$905+E$906)/$C845</f>
        <v>10473.318013888893</v>
      </c>
      <c r="F878" s="301"/>
      <c r="G878" s="301">
        <f t="shared" si="298"/>
        <v>2513.1581137226972</v>
      </c>
      <c r="H878" s="301">
        <f t="shared" si="298"/>
        <v>675378.6925</v>
      </c>
      <c r="I878" s="301">
        <f t="shared" si="298"/>
        <v>5650.8207142857145</v>
      </c>
      <c r="J878" s="301">
        <f t="shared" si="298"/>
        <v>55.204799999999999</v>
      </c>
      <c r="K878" s="301">
        <f>SUM(E878:J878)</f>
        <v>694071.19414189726</v>
      </c>
      <c r="L878" s="301">
        <f>K878*0.15</f>
        <v>104110.67912128459</v>
      </c>
      <c r="M878" s="315">
        <f>K878+L878</f>
        <v>798181.87326318189</v>
      </c>
      <c r="N878" s="301">
        <f>M878</f>
        <v>798181.87326318189</v>
      </c>
      <c r="O878" s="301">
        <f>O$903/100+(O$905+O$906)/$C845</f>
        <v>296.51816239316236</v>
      </c>
    </row>
    <row r="879" spans="1:15" s="345" customFormat="1" ht="13.15" customHeight="1">
      <c r="A879" s="298"/>
      <c r="B879" s="340"/>
      <c r="C879" s="298"/>
      <c r="D879" s="298" t="s">
        <v>33</v>
      </c>
      <c r="E879" s="301">
        <f>E$903/100+(E$905+E$906)/$C846</f>
        <v>10425.581833333337</v>
      </c>
      <c r="F879" s="301"/>
      <c r="G879" s="301">
        <f t="shared" si="298"/>
        <v>2751.0842855496908</v>
      </c>
      <c r="H879" s="301">
        <f t="shared" si="298"/>
        <v>476996.33955882356</v>
      </c>
      <c r="I879" s="301">
        <f t="shared" si="298"/>
        <v>6223.5042857142853</v>
      </c>
      <c r="J879" s="301">
        <f t="shared" si="298"/>
        <v>60.324600000000004</v>
      </c>
      <c r="K879" s="301">
        <f>SUM(E879:J879)</f>
        <v>496456.83456342085</v>
      </c>
      <c r="L879" s="301">
        <f>K879*0.15</f>
        <v>74468.525184513128</v>
      </c>
      <c r="M879" s="315">
        <f>K879+L879</f>
        <v>570925.35974793392</v>
      </c>
      <c r="N879" s="301">
        <f>M879</f>
        <v>570925.35974793392</v>
      </c>
      <c r="O879" s="301">
        <f>O$903/100+(O$905+O$906)/$C846</f>
        <v>295.16666666666663</v>
      </c>
    </row>
    <row r="880" spans="1:15" s="345" customFormat="1" ht="13.5" hidden="1">
      <c r="A880" s="298"/>
      <c r="B880" s="340"/>
      <c r="C880" s="298"/>
      <c r="D880" s="298"/>
      <c r="E880" s="301"/>
      <c r="F880" s="301"/>
      <c r="G880" s="301"/>
      <c r="H880" s="301"/>
      <c r="I880" s="301"/>
      <c r="J880" s="301"/>
      <c r="K880" s="301"/>
      <c r="L880" s="301"/>
      <c r="M880" s="315"/>
      <c r="N880" s="301"/>
      <c r="O880" s="301"/>
    </row>
    <row r="881" spans="1:15" s="345" customFormat="1">
      <c r="A881" s="298">
        <v>1</v>
      </c>
      <c r="B881" s="316" t="s">
        <v>190</v>
      </c>
      <c r="C881" s="333"/>
      <c r="D881" s="333"/>
      <c r="E881" s="301"/>
      <c r="F881" s="301"/>
      <c r="G881" s="301"/>
      <c r="H881" s="301"/>
      <c r="I881" s="301"/>
      <c r="J881" s="301"/>
      <c r="K881" s="301"/>
      <c r="L881" s="301"/>
      <c r="M881" s="302"/>
      <c r="N881" s="301"/>
      <c r="O881" s="301"/>
    </row>
    <row r="882" spans="1:15" s="345" customFormat="1">
      <c r="A882" s="1043">
        <v>1.1000000000000001</v>
      </c>
      <c r="B882" s="1038" t="str">
        <f>NhanCong!B$150</f>
        <v>Đối soát thực địa (công nhóm/mảnh)</v>
      </c>
      <c r="C882" s="1039" t="s">
        <v>317</v>
      </c>
      <c r="D882" s="319" t="s">
        <v>18</v>
      </c>
      <c r="E882" s="301">
        <f>NhanCong!Y$150</f>
        <v>20716.100319444446</v>
      </c>
      <c r="F882" s="301"/>
      <c r="G882" s="320">
        <f>Dcu!Q$200</f>
        <v>148.99017094017094</v>
      </c>
      <c r="H882" s="320">
        <f>VLieu!F$133</f>
        <v>4047000</v>
      </c>
      <c r="I882" s="320"/>
      <c r="J882" s="320"/>
      <c r="K882" s="320">
        <f t="shared" ref="K882:K889" si="299">SUM(E882:J882)</f>
        <v>4067865.0904903845</v>
      </c>
      <c r="L882" s="320">
        <f>K882*0.25</f>
        <v>1016966.2726225961</v>
      </c>
      <c r="M882" s="321">
        <f t="shared" ref="M882:M889" si="300">K882+L882</f>
        <v>5084831.3631129805</v>
      </c>
      <c r="N882" s="320"/>
      <c r="O882" s="320">
        <f>NhanCong!Z$150</f>
        <v>630.60790598290589</v>
      </c>
    </row>
    <row r="883" spans="1:15" s="345" customFormat="1">
      <c r="A883" s="1043"/>
      <c r="B883" s="1038"/>
      <c r="C883" s="1039"/>
      <c r="D883" s="319" t="s">
        <v>20</v>
      </c>
      <c r="E883" s="301">
        <f>NhanCong!Y$151</f>
        <v>24862.872222222228</v>
      </c>
      <c r="F883" s="301"/>
      <c r="G883" s="320">
        <f>Dcu!Q$201</f>
        <v>186.23771367521368</v>
      </c>
      <c r="H883" s="320">
        <f>VLieu!F$133</f>
        <v>4047000</v>
      </c>
      <c r="I883" s="320"/>
      <c r="J883" s="320"/>
      <c r="K883" s="320">
        <f t="shared" si="299"/>
        <v>4072049.1099358974</v>
      </c>
      <c r="L883" s="320">
        <f t="shared" ref="L883:L893" si="301">K883*0.25</f>
        <v>1018012.2774839744</v>
      </c>
      <c r="M883" s="321">
        <f t="shared" si="300"/>
        <v>5090061.387419872</v>
      </c>
      <c r="N883" s="320"/>
      <c r="O883" s="320">
        <f>NhanCong!Z$151</f>
        <v>756.83760683760681</v>
      </c>
    </row>
    <row r="884" spans="1:15" s="345" customFormat="1">
      <c r="A884" s="1043"/>
      <c r="B884" s="1038"/>
      <c r="C884" s="1039"/>
      <c r="D884" s="319" t="s">
        <v>35</v>
      </c>
      <c r="E884" s="301">
        <f>NhanCong!Y$152</f>
        <v>29835.446666666674</v>
      </c>
      <c r="F884" s="301"/>
      <c r="G884" s="320">
        <f>Dcu!Q$202</f>
        <v>248.31695156695156</v>
      </c>
      <c r="H884" s="320">
        <f>VLieu!F$133</f>
        <v>4047000</v>
      </c>
      <c r="I884" s="320"/>
      <c r="J884" s="320"/>
      <c r="K884" s="320">
        <f t="shared" si="299"/>
        <v>4077083.7636182336</v>
      </c>
      <c r="L884" s="320">
        <f t="shared" si="301"/>
        <v>1019270.9409045584</v>
      </c>
      <c r="M884" s="321">
        <f t="shared" si="300"/>
        <v>5096354.7045227922</v>
      </c>
      <c r="N884" s="320"/>
      <c r="O884" s="320">
        <f>NhanCong!Z$152</f>
        <v>908.20512820512829</v>
      </c>
    </row>
    <row r="885" spans="1:15" s="345" customFormat="1">
      <c r="A885" s="1043"/>
      <c r="B885" s="1038"/>
      <c r="C885" s="1039"/>
      <c r="D885" s="319" t="s">
        <v>33</v>
      </c>
      <c r="E885" s="301">
        <f>NhanCong!Y$153</f>
        <v>35802.536000000007</v>
      </c>
      <c r="F885" s="301"/>
      <c r="G885" s="320">
        <f>Dcu!Q$203</f>
        <v>273.14864672364672</v>
      </c>
      <c r="H885" s="320">
        <f>VLieu!F$133</f>
        <v>4047000</v>
      </c>
      <c r="I885" s="320"/>
      <c r="J885" s="320"/>
      <c r="K885" s="320">
        <f t="shared" si="299"/>
        <v>4083075.6846467238</v>
      </c>
      <c r="L885" s="320">
        <f t="shared" si="301"/>
        <v>1020768.9211616809</v>
      </c>
      <c r="M885" s="321">
        <f t="shared" si="300"/>
        <v>5103844.6058084052</v>
      </c>
      <c r="N885" s="320"/>
      <c r="O885" s="320">
        <f>NhanCong!Z$153</f>
        <v>1089.8461538461538</v>
      </c>
    </row>
    <row r="886" spans="1:15" s="345" customFormat="1" ht="12.75" customHeight="1">
      <c r="A886" s="1043">
        <v>1.2</v>
      </c>
      <c r="B886" s="1038" t="str">
        <f>NhanCong!B$156</f>
        <v>Lưới đo vẽ (công nhóm/100 thửa có biến động cần chỉnh lý)</v>
      </c>
      <c r="C886" s="1040" t="s">
        <v>329</v>
      </c>
      <c r="D886" s="319" t="s">
        <v>18</v>
      </c>
      <c r="E886" s="301">
        <f>NhanCong!Y$156</f>
        <v>1739983.7812500005</v>
      </c>
      <c r="F886" s="301"/>
      <c r="G886" s="320">
        <f>Dcu!Q$222</f>
        <v>24103.788461538465</v>
      </c>
      <c r="H886" s="320">
        <f>VLieu!O$135</f>
        <v>4184.25</v>
      </c>
      <c r="I886" s="320">
        <f>TBi!N$327</f>
        <v>27769.214285714286</v>
      </c>
      <c r="J886" s="320">
        <f>TBi!N$331</f>
        <v>267.12</v>
      </c>
      <c r="K886" s="320">
        <f t="shared" si="299"/>
        <v>1796308.1539972534</v>
      </c>
      <c r="L886" s="320">
        <f t="shared" si="301"/>
        <v>449077.03849931335</v>
      </c>
      <c r="M886" s="321">
        <f t="shared" si="300"/>
        <v>2245385.1924965666</v>
      </c>
      <c r="N886" s="320"/>
      <c r="O886" s="320">
        <f>NhanCong!Z$156</f>
        <v>49262.019230769234</v>
      </c>
    </row>
    <row r="887" spans="1:15" s="345" customFormat="1">
      <c r="A887" s="1043"/>
      <c r="B887" s="1038"/>
      <c r="C887" s="1039" t="s">
        <v>49</v>
      </c>
      <c r="D887" s="319" t="s">
        <v>20</v>
      </c>
      <c r="E887" s="301">
        <f>NhanCong!Y$157</f>
        <v>1997759.1562500005</v>
      </c>
      <c r="F887" s="301"/>
      <c r="G887" s="320">
        <f>Dcu!Q$223</f>
        <v>30129.735576923078</v>
      </c>
      <c r="H887" s="320">
        <f>VLieu!O$135</f>
        <v>4184.25</v>
      </c>
      <c r="I887" s="320">
        <f>TBi!O$327</f>
        <v>31753.142857142862</v>
      </c>
      <c r="J887" s="320">
        <f>TBi!O$331</f>
        <v>333.9</v>
      </c>
      <c r="K887" s="320">
        <f t="shared" si="299"/>
        <v>2064160.1846840663</v>
      </c>
      <c r="L887" s="320">
        <f t="shared" si="301"/>
        <v>516040.04617101658</v>
      </c>
      <c r="M887" s="321">
        <f t="shared" si="300"/>
        <v>2580200.2308550831</v>
      </c>
      <c r="N887" s="320"/>
      <c r="O887" s="320">
        <f>NhanCong!Z$157</f>
        <v>56560.096153846156</v>
      </c>
    </row>
    <row r="888" spans="1:15" s="345" customFormat="1">
      <c r="A888" s="1043"/>
      <c r="B888" s="1038"/>
      <c r="C888" s="1039"/>
      <c r="D888" s="319" t="s">
        <v>35</v>
      </c>
      <c r="E888" s="301">
        <f>NhanCong!Y$158</f>
        <v>2663678.8750000009</v>
      </c>
      <c r="F888" s="301"/>
      <c r="G888" s="320">
        <f>Dcu!Q$224</f>
        <v>40172.980769230773</v>
      </c>
      <c r="H888" s="320">
        <f>VLieu!O$135</f>
        <v>4184.25</v>
      </c>
      <c r="I888" s="320">
        <f>TBi!P$327</f>
        <v>41935.571428571428</v>
      </c>
      <c r="J888" s="320">
        <f>TBi!P$331</f>
        <v>400.68</v>
      </c>
      <c r="K888" s="320">
        <f t="shared" si="299"/>
        <v>2750372.3571978034</v>
      </c>
      <c r="L888" s="320">
        <f t="shared" si="301"/>
        <v>687593.08929945086</v>
      </c>
      <c r="M888" s="321">
        <f t="shared" si="300"/>
        <v>3437965.4464972541</v>
      </c>
      <c r="N888" s="320"/>
      <c r="O888" s="320">
        <f>NhanCong!Z$158</f>
        <v>75413.461538461546</v>
      </c>
    </row>
    <row r="889" spans="1:15" s="345" customFormat="1">
      <c r="A889" s="1043"/>
      <c r="B889" s="1038"/>
      <c r="C889" s="1039"/>
      <c r="D889" s="319" t="s">
        <v>33</v>
      </c>
      <c r="E889" s="301">
        <f>NhanCong!Y$159</f>
        <v>2921454.2500000009</v>
      </c>
      <c r="F889" s="301"/>
      <c r="G889" s="320">
        <f>Dcu!Q$225</f>
        <v>44190.278846153851</v>
      </c>
      <c r="H889" s="320">
        <f>VLieu!O$135</f>
        <v>4184.25</v>
      </c>
      <c r="I889" s="320">
        <f>TBi!Q$327</f>
        <v>46483</v>
      </c>
      <c r="J889" s="320">
        <f>TBi!Q$331</f>
        <v>467.46</v>
      </c>
      <c r="K889" s="320">
        <f t="shared" si="299"/>
        <v>3016779.2388461549</v>
      </c>
      <c r="L889" s="320">
        <f t="shared" si="301"/>
        <v>754194.80971153872</v>
      </c>
      <c r="M889" s="321">
        <f t="shared" si="300"/>
        <v>3770974.0485576936</v>
      </c>
      <c r="N889" s="320"/>
      <c r="O889" s="320">
        <f>NhanCong!Z$159</f>
        <v>82711.538461538468</v>
      </c>
    </row>
    <row r="890" spans="1:15" s="345" customFormat="1" ht="12.75" customHeight="1">
      <c r="A890" s="1043">
        <v>1.3</v>
      </c>
      <c r="B890" s="1038" t="str">
        <f>NhanCong!B$162</f>
        <v>Đo đạc ranh giới thửa đất và các đối tượng địa lý có liên quan (công nhóm/100 thửa có biến động cần chỉnh lý)</v>
      </c>
      <c r="C890" s="1040" t="s">
        <v>329</v>
      </c>
      <c r="D890" s="319" t="s">
        <v>18</v>
      </c>
      <c r="E890" s="301">
        <f>NhanCong!Y$162</f>
        <v>25670131.093750004</v>
      </c>
      <c r="F890" s="301">
        <f>NhanCong!Y$163</f>
        <v>1520876.923076923</v>
      </c>
      <c r="G890" s="320">
        <f>Dcu!Q$246</f>
        <v>124202.52884615384</v>
      </c>
      <c r="H890" s="320">
        <f>VLieu!O$145</f>
        <v>83685</v>
      </c>
      <c r="I890" s="320">
        <f>TBi!N$362</f>
        <v>340071.42857142858</v>
      </c>
      <c r="J890" s="320">
        <f>TBi!N$366</f>
        <v>3339</v>
      </c>
      <c r="K890" s="320">
        <f t="shared" ref="K890:K893" si="302">SUM(E890:J890)</f>
        <v>27742305.974244509</v>
      </c>
      <c r="L890" s="320">
        <f t="shared" si="301"/>
        <v>6935576.4935611272</v>
      </c>
      <c r="M890" s="321">
        <f t="shared" ref="M890:M893" si="303">K890+L890</f>
        <v>34677882.467805639</v>
      </c>
      <c r="N890" s="320"/>
      <c r="O890" s="320">
        <f>NhanCong!Z$162</f>
        <v>726766.82692307688</v>
      </c>
    </row>
    <row r="891" spans="1:15" s="345" customFormat="1">
      <c r="A891" s="1043"/>
      <c r="B891" s="1038"/>
      <c r="C891" s="1039" t="s">
        <v>49</v>
      </c>
      <c r="D891" s="319" t="s">
        <v>20</v>
      </c>
      <c r="E891" s="301">
        <f>NhanCong!Y$164</f>
        <v>30804157.312500007</v>
      </c>
      <c r="F891" s="301">
        <f>NhanCong!Y$165</f>
        <v>1824688.4615384615</v>
      </c>
      <c r="G891" s="320">
        <f>Dcu!Q$247</f>
        <v>155253.16105769231</v>
      </c>
      <c r="H891" s="320">
        <f>VLieu!O$145</f>
        <v>83685</v>
      </c>
      <c r="I891" s="320">
        <f>TBi!O$362</f>
        <v>392228.85714285716</v>
      </c>
      <c r="J891" s="320">
        <f>TBi!O$366</f>
        <v>3784.2</v>
      </c>
      <c r="K891" s="320">
        <f t="shared" si="302"/>
        <v>33263796.992239017</v>
      </c>
      <c r="L891" s="320">
        <f t="shared" si="301"/>
        <v>8315949.2480597543</v>
      </c>
      <c r="M891" s="321">
        <f t="shared" si="303"/>
        <v>41579746.24029877</v>
      </c>
      <c r="N891" s="320"/>
      <c r="O891" s="320">
        <f>NhanCong!Z$164</f>
        <v>872120.19230769237</v>
      </c>
    </row>
    <row r="892" spans="1:15" s="345" customFormat="1">
      <c r="A892" s="1043"/>
      <c r="B892" s="1038"/>
      <c r="C892" s="1039"/>
      <c r="D892" s="319" t="s">
        <v>35</v>
      </c>
      <c r="E892" s="301">
        <f>NhanCong!Y$166</f>
        <v>36969285.031250015</v>
      </c>
      <c r="F892" s="301">
        <f>NhanCong!Y$167</f>
        <v>2188534.6153846155</v>
      </c>
      <c r="G892" s="320">
        <f>Dcu!Q$248</f>
        <v>207004.21474358975</v>
      </c>
      <c r="H892" s="320">
        <f>VLieu!O$145</f>
        <v>83685</v>
      </c>
      <c r="I892" s="320">
        <f>TBi!P$362</f>
        <v>523146.5</v>
      </c>
      <c r="J892" s="320">
        <f>TBi!P$366</f>
        <v>5119.7999999999993</v>
      </c>
      <c r="K892" s="320">
        <f t="shared" si="302"/>
        <v>39976775.16137822</v>
      </c>
      <c r="L892" s="320">
        <f t="shared" si="301"/>
        <v>9994193.7903445549</v>
      </c>
      <c r="M892" s="321">
        <f t="shared" si="303"/>
        <v>49970968.951722771</v>
      </c>
      <c r="N892" s="320"/>
      <c r="O892" s="320">
        <f>NhanCong!Z$166</f>
        <v>1046665.8653846155</v>
      </c>
    </row>
    <row r="893" spans="1:15" s="345" customFormat="1">
      <c r="A893" s="1043"/>
      <c r="B893" s="1038"/>
      <c r="C893" s="1039"/>
      <c r="D893" s="319" t="s">
        <v>33</v>
      </c>
      <c r="E893" s="301">
        <f>NhanCong!Y$168</f>
        <v>44358845.781250007</v>
      </c>
      <c r="F893" s="301">
        <f>NhanCong!Y$169</f>
        <v>2626969.230769231</v>
      </c>
      <c r="G893" s="320">
        <f>Dcu!Q$249</f>
        <v>227704.63621794875</v>
      </c>
      <c r="H893" s="320">
        <f>VLieu!O$145</f>
        <v>83685</v>
      </c>
      <c r="I893" s="320">
        <f>TBi!Q$362</f>
        <v>575867.42857142852</v>
      </c>
      <c r="J893" s="320">
        <f>TBi!Q$366</f>
        <v>5565</v>
      </c>
      <c r="K893" s="320">
        <f t="shared" si="302"/>
        <v>47878637.076808617</v>
      </c>
      <c r="L893" s="320">
        <f t="shared" si="301"/>
        <v>11969659.269202154</v>
      </c>
      <c r="M893" s="321">
        <f t="shared" si="303"/>
        <v>59848296.346010774</v>
      </c>
      <c r="N893" s="320"/>
      <c r="O893" s="320">
        <f>NhanCong!Z$168</f>
        <v>1255877.4038461538</v>
      </c>
    </row>
    <row r="894" spans="1:15" s="345" customFormat="1">
      <c r="A894" s="298">
        <v>2</v>
      </c>
      <c r="B894" s="316" t="s">
        <v>192</v>
      </c>
      <c r="C894" s="319"/>
      <c r="D894" s="319"/>
      <c r="E894" s="301"/>
      <c r="F894" s="301"/>
      <c r="G894" s="320"/>
      <c r="H894" s="320"/>
      <c r="I894" s="320"/>
      <c r="J894" s="320"/>
      <c r="K894" s="320"/>
      <c r="L894" s="320"/>
      <c r="M894" s="321"/>
      <c r="N894" s="320"/>
      <c r="O894" s="320"/>
    </row>
    <row r="895" spans="1:15" s="345" customFormat="1">
      <c r="A895" s="1043" t="s">
        <v>268</v>
      </c>
      <c r="B895" s="1038" t="str">
        <f>NhanCong!B$173</f>
        <v>Số hóa BĐĐC: Áp dụng theo mức quy định tại Điều 8, Chương I</v>
      </c>
      <c r="C895" s="1039" t="s">
        <v>317</v>
      </c>
      <c r="D895" s="319" t="s">
        <v>18</v>
      </c>
      <c r="E895" s="301">
        <f t="shared" ref="E895:J898" si="304">E490</f>
        <v>9967.3145000000022</v>
      </c>
      <c r="F895" s="301">
        <f t="shared" si="304"/>
        <v>0</v>
      </c>
      <c r="G895" s="301">
        <f t="shared" si="304"/>
        <v>104.53232886989554</v>
      </c>
      <c r="H895" s="301">
        <f t="shared" si="304"/>
        <v>122.33333333333333</v>
      </c>
      <c r="I895" s="301">
        <f t="shared" si="304"/>
        <v>745.40651428571425</v>
      </c>
      <c r="J895" s="301">
        <f t="shared" si="304"/>
        <v>237.04426666666666</v>
      </c>
      <c r="K895" s="320">
        <f>SUM(E895:J895)</f>
        <v>11176.630943155611</v>
      </c>
      <c r="L895" s="320">
        <f>K895*0.15</f>
        <v>1676.4946414733415</v>
      </c>
      <c r="M895" s="321">
        <f>K895+L895</f>
        <v>12853.125584628953</v>
      </c>
      <c r="N895" s="301">
        <f>N490</f>
        <v>0</v>
      </c>
      <c r="O895" s="301">
        <f>O490</f>
        <v>282.19230769230762</v>
      </c>
    </row>
    <row r="896" spans="1:15" s="345" customFormat="1">
      <c r="A896" s="1043"/>
      <c r="B896" s="1038"/>
      <c r="C896" s="1039"/>
      <c r="D896" s="319" t="s">
        <v>20</v>
      </c>
      <c r="E896" s="301">
        <f t="shared" si="304"/>
        <v>11296.28976666667</v>
      </c>
      <c r="F896" s="301">
        <f t="shared" si="304"/>
        <v>0</v>
      </c>
      <c r="G896" s="301">
        <f t="shared" si="304"/>
        <v>119.66200804843304</v>
      </c>
      <c r="H896" s="301">
        <f t="shared" si="304"/>
        <v>122.33333333333333</v>
      </c>
      <c r="I896" s="301">
        <f t="shared" si="304"/>
        <v>980.23466190476177</v>
      </c>
      <c r="J896" s="301">
        <f t="shared" si="304"/>
        <v>313.12399999999997</v>
      </c>
      <c r="K896" s="320">
        <f>SUM(E896:J896)</f>
        <v>12831.6437699532</v>
      </c>
      <c r="L896" s="320">
        <f>K896*0.15</f>
        <v>1924.7465654929799</v>
      </c>
      <c r="M896" s="321">
        <f>K896+L896</f>
        <v>14756.39033544618</v>
      </c>
      <c r="N896" s="301">
        <f>N561</f>
        <v>0</v>
      </c>
      <c r="O896" s="301">
        <f>O491</f>
        <v>319.8179487179487</v>
      </c>
    </row>
    <row r="897" spans="1:17" s="345" customFormat="1">
      <c r="A897" s="1043"/>
      <c r="B897" s="1038"/>
      <c r="C897" s="1039"/>
      <c r="D897" s="319" t="s">
        <v>35</v>
      </c>
      <c r="E897" s="301">
        <f t="shared" si="304"/>
        <v>12827.666438888891</v>
      </c>
      <c r="F897" s="301">
        <f t="shared" si="304"/>
        <v>0</v>
      </c>
      <c r="G897" s="301">
        <f t="shared" si="304"/>
        <v>137.54253798670464</v>
      </c>
      <c r="H897" s="301">
        <f t="shared" si="304"/>
        <v>122.33333333333333</v>
      </c>
      <c r="I897" s="301">
        <f t="shared" si="304"/>
        <v>1171.2626928571428</v>
      </c>
      <c r="J897" s="301">
        <f t="shared" si="304"/>
        <v>373.02813333333336</v>
      </c>
      <c r="K897" s="320">
        <f>SUM(E897:J897)</f>
        <v>14631.833136399406</v>
      </c>
      <c r="L897" s="320">
        <f>K897*0.15</f>
        <v>2194.7749704599109</v>
      </c>
      <c r="M897" s="321">
        <f>K897+L897</f>
        <v>16826.608106859316</v>
      </c>
      <c r="N897" s="301">
        <f>N562</f>
        <v>0</v>
      </c>
      <c r="O897" s="301">
        <f>O492</f>
        <v>363.17393162393154</v>
      </c>
    </row>
    <row r="898" spans="1:17" s="345" customFormat="1">
      <c r="A898" s="1043"/>
      <c r="B898" s="1038"/>
      <c r="C898" s="1039"/>
      <c r="D898" s="319" t="s">
        <v>33</v>
      </c>
      <c r="E898" s="301">
        <f t="shared" si="304"/>
        <v>14588.17677777778</v>
      </c>
      <c r="F898" s="301">
        <f t="shared" si="304"/>
        <v>0</v>
      </c>
      <c r="G898" s="301">
        <f t="shared" si="304"/>
        <v>158.17391868471032</v>
      </c>
      <c r="H898" s="301">
        <f t="shared" si="304"/>
        <v>122.33333333333333</v>
      </c>
      <c r="I898" s="301">
        <f t="shared" si="304"/>
        <v>1401.003676984127</v>
      </c>
      <c r="J898" s="301">
        <f t="shared" si="304"/>
        <v>444.80426666666671</v>
      </c>
      <c r="K898" s="320">
        <f>SUM(E898:J898)</f>
        <v>16714.491973446617</v>
      </c>
      <c r="L898" s="320">
        <f>K898*0.15</f>
        <v>2507.1737960169926</v>
      </c>
      <c r="M898" s="321">
        <f>K898+L898</f>
        <v>19221.665769463609</v>
      </c>
      <c r="N898" s="301">
        <f>N563</f>
        <v>0</v>
      </c>
      <c r="O898" s="301">
        <f>O493</f>
        <v>413.01709401709394</v>
      </c>
    </row>
    <row r="899" spans="1:17" s="345" customFormat="1" ht="12.75" customHeight="1">
      <c r="A899" s="1043" t="s">
        <v>34</v>
      </c>
      <c r="B899" s="1038" t="str">
        <f>NhanCong!B$174</f>
        <v>Lập bản vẽ BĐĐC (Công nhóm/100 thửa chỉnh lý)</v>
      </c>
      <c r="C899" s="1040" t="s">
        <v>329</v>
      </c>
      <c r="D899" s="319" t="s">
        <v>18</v>
      </c>
      <c r="E899" s="301">
        <f>NhanCong!Y$174</f>
        <v>1096957.4000000004</v>
      </c>
      <c r="F899" s="301"/>
      <c r="G899" s="320">
        <f>Dcu!Q$271</f>
        <v>14386.826446153846</v>
      </c>
      <c r="H899" s="320">
        <f>VLieu!O$159</f>
        <v>626800</v>
      </c>
      <c r="I899" s="320">
        <f>TBi!N$399</f>
        <v>11638.751071428573</v>
      </c>
      <c r="J899" s="320">
        <f>TBi!N$403</f>
        <v>46323.06</v>
      </c>
      <c r="K899" s="320">
        <f t="shared" ref="K899:K904" si="305">SUM(E899:J899)</f>
        <v>1796106.037517583</v>
      </c>
      <c r="L899" s="320">
        <f t="shared" ref="L899:L906" si="306">K899*0.15</f>
        <v>269415.90562763746</v>
      </c>
      <c r="M899" s="321">
        <f t="shared" ref="M899:M904" si="307">K899+L899</f>
        <v>2065521.9431452204</v>
      </c>
      <c r="N899" s="320"/>
      <c r="O899" s="320">
        <f>NhanCong!Z$174</f>
        <v>27246.153846153844</v>
      </c>
    </row>
    <row r="900" spans="1:17" s="345" customFormat="1">
      <c r="A900" s="1043"/>
      <c r="B900" s="1038"/>
      <c r="C900" s="1039"/>
      <c r="D900" s="319" t="s">
        <v>20</v>
      </c>
      <c r="E900" s="301">
        <f>NhanCong!Y$175</f>
        <v>1269336.4200000004</v>
      </c>
      <c r="F900" s="301"/>
      <c r="G900" s="320">
        <f>Dcu!Q$272</f>
        <v>17983.533057692308</v>
      </c>
      <c r="H900" s="320">
        <f>VLieu!O$159</f>
        <v>626800</v>
      </c>
      <c r="I900" s="320">
        <f>TBi!O$399</f>
        <v>12226.422857142858</v>
      </c>
      <c r="J900" s="320">
        <f>TBi!O$403</f>
        <v>48571.32</v>
      </c>
      <c r="K900" s="320">
        <f t="shared" si="305"/>
        <v>1974917.6959148354</v>
      </c>
      <c r="L900" s="320">
        <f t="shared" si="306"/>
        <v>296237.65438722528</v>
      </c>
      <c r="M900" s="321">
        <f t="shared" si="307"/>
        <v>2271155.3503020606</v>
      </c>
      <c r="N900" s="320"/>
      <c r="O900" s="320">
        <f>NhanCong!Z$175</f>
        <v>31527.692307692309</v>
      </c>
    </row>
    <row r="901" spans="1:17" s="345" customFormat="1">
      <c r="A901" s="1043"/>
      <c r="B901" s="1038"/>
      <c r="C901" s="1039"/>
      <c r="D901" s="319" t="s">
        <v>35</v>
      </c>
      <c r="E901" s="301">
        <f>NhanCong!Y$176</f>
        <v>1692448.5600000005</v>
      </c>
      <c r="F901" s="301"/>
      <c r="G901" s="320">
        <f>Dcu!Q$273</f>
        <v>23978.044076923077</v>
      </c>
      <c r="H901" s="320">
        <f>VLieu!O$159</f>
        <v>626800</v>
      </c>
      <c r="I901" s="320">
        <f>TBi!P$399</f>
        <v>13688.083928571428</v>
      </c>
      <c r="J901" s="320">
        <f>TBi!P$403</f>
        <v>54358.920000000006</v>
      </c>
      <c r="K901" s="320">
        <f t="shared" si="305"/>
        <v>2411273.6080054953</v>
      </c>
      <c r="L901" s="320">
        <f t="shared" si="306"/>
        <v>361691.04120082426</v>
      </c>
      <c r="M901" s="321">
        <f t="shared" si="307"/>
        <v>2772964.6492063194</v>
      </c>
      <c r="N901" s="320"/>
      <c r="O901" s="320">
        <f>NhanCong!Z$176</f>
        <v>42036.923076923078</v>
      </c>
    </row>
    <row r="902" spans="1:17" s="345" customFormat="1">
      <c r="A902" s="1043"/>
      <c r="B902" s="1038"/>
      <c r="C902" s="1039"/>
      <c r="D902" s="319" t="s">
        <v>33</v>
      </c>
      <c r="E902" s="301">
        <f>NhanCong!Y$177</f>
        <v>1864827.5800000005</v>
      </c>
      <c r="F902" s="301"/>
      <c r="G902" s="320">
        <f>Dcu!Q$274</f>
        <v>26375.848484615388</v>
      </c>
      <c r="H902" s="320">
        <f>VLieu!O$159</f>
        <v>626800</v>
      </c>
      <c r="I902" s="320">
        <f>TBi!Q$399</f>
        <v>14249.983214285712</v>
      </c>
      <c r="J902" s="320">
        <f>TBi!Q$403</f>
        <v>56584.920000000006</v>
      </c>
      <c r="K902" s="320">
        <f t="shared" si="305"/>
        <v>2588838.3316989015</v>
      </c>
      <c r="L902" s="320">
        <f t="shared" si="306"/>
        <v>388325.74975483521</v>
      </c>
      <c r="M902" s="321">
        <f t="shared" si="307"/>
        <v>2977164.0814537369</v>
      </c>
      <c r="N902" s="320"/>
      <c r="O902" s="320">
        <f>NhanCong!Z$177</f>
        <v>46318.461538461532</v>
      </c>
    </row>
    <row r="903" spans="1:17" s="345" customFormat="1" ht="26">
      <c r="A903" s="323" t="s">
        <v>246</v>
      </c>
      <c r="B903" s="324" t="str">
        <f>NhanCong!B$179</f>
        <v>Lập Phiếu đo đạc chỉnh lý thửa đất (Công/100 thửa chỉnh lý)</v>
      </c>
      <c r="C903" s="341" t="s">
        <v>329</v>
      </c>
      <c r="D903" s="341" t="s">
        <v>679</v>
      </c>
      <c r="E903" s="342">
        <f>NhanCong!Y$179</f>
        <v>1031101.5000000002</v>
      </c>
      <c r="F903" s="342"/>
      <c r="G903" s="343">
        <f>Dcu!Q$270</f>
        <v>23978.044076923077</v>
      </c>
      <c r="H903" s="320">
        <f>VLieu!O$159</f>
        <v>626800</v>
      </c>
      <c r="I903" s="343"/>
      <c r="J903" s="343"/>
      <c r="K903" s="343">
        <f t="shared" si="305"/>
        <v>1681879.5440769233</v>
      </c>
      <c r="L903" s="320">
        <f t="shared" si="306"/>
        <v>252281.93161153849</v>
      </c>
      <c r="M903" s="344">
        <f t="shared" si="307"/>
        <v>1934161.4756884617</v>
      </c>
      <c r="N903" s="343"/>
      <c r="O903" s="343">
        <f>NhanCong!Z$179</f>
        <v>29192.307692307691</v>
      </c>
    </row>
    <row r="904" spans="1:17" s="345" customFormat="1" ht="26">
      <c r="A904" s="323" t="s">
        <v>271</v>
      </c>
      <c r="B904" s="324" t="str">
        <f>NhanCong!B$180</f>
        <v>Bổ sung sổ mục kê (công nhóm/100 thửa chỉnh lý)</v>
      </c>
      <c r="C904" s="341" t="s">
        <v>329</v>
      </c>
      <c r="D904" s="341" t="s">
        <v>679</v>
      </c>
      <c r="E904" s="342">
        <f>NhanCong!Y$180</f>
        <v>893621.30000000016</v>
      </c>
      <c r="F904" s="342"/>
      <c r="G904" s="343">
        <f>Dcu!Q$290</f>
        <v>13800.392222222223</v>
      </c>
      <c r="H904" s="343">
        <f>VLieu!J$170</f>
        <v>120500</v>
      </c>
      <c r="I904" s="343">
        <f>TBi!N$411</f>
        <v>6891.4414285714283</v>
      </c>
      <c r="J904" s="343">
        <f>TBi!N$414</f>
        <v>27379.800000000003</v>
      </c>
      <c r="K904" s="343">
        <f t="shared" si="305"/>
        <v>1062192.9336507937</v>
      </c>
      <c r="L904" s="320">
        <f t="shared" si="306"/>
        <v>159328.94004761905</v>
      </c>
      <c r="M904" s="344">
        <f t="shared" si="307"/>
        <v>1221521.8736984129</v>
      </c>
      <c r="N904" s="343"/>
      <c r="O904" s="343">
        <f>NhanCong!Z$180</f>
        <v>25300</v>
      </c>
    </row>
    <row r="905" spans="1:17" s="345" customFormat="1" ht="26">
      <c r="A905" s="323" t="s">
        <v>365</v>
      </c>
      <c r="B905" s="324" t="str">
        <f>NhanCong!B$181</f>
        <v>Biên tập bản đồ và in (công nhóm/mảnh)</v>
      </c>
      <c r="C905" s="341" t="s">
        <v>317</v>
      </c>
      <c r="D905" s="341" t="s">
        <v>679</v>
      </c>
      <c r="E905" s="342">
        <f>NhanCong!Y$181</f>
        <v>324.60602777777785</v>
      </c>
      <c r="F905" s="342"/>
      <c r="G905" s="343">
        <f>Dcu!Q$304</f>
        <v>14.287119658119662</v>
      </c>
      <c r="H905" s="343">
        <f>VLieu!O$181</f>
        <v>93.45</v>
      </c>
      <c r="I905" s="343">
        <f>TBi!N$438</f>
        <v>4.1268714285714285</v>
      </c>
      <c r="J905" s="343">
        <f>TBi!N$442</f>
        <v>10.388000000000002</v>
      </c>
      <c r="K905" s="343">
        <f>SUM(E905:J905)</f>
        <v>446.85801886446887</v>
      </c>
      <c r="L905" s="320">
        <f t="shared" si="306"/>
        <v>67.028702829670323</v>
      </c>
      <c r="M905" s="344">
        <f>K905+L905</f>
        <v>513.88672169413917</v>
      </c>
      <c r="N905" s="343"/>
      <c r="O905" s="343">
        <f>NhanCong!Z$181</f>
        <v>9.1901709401709404</v>
      </c>
    </row>
    <row r="906" spans="1:17" s="345" customFormat="1" ht="26">
      <c r="A906" s="323" t="s">
        <v>366</v>
      </c>
      <c r="B906" s="324" t="str">
        <f>NhanCong!B$182</f>
        <v>Xác nhận hồ sơ các cấp (công nhóm/mảnh)</v>
      </c>
      <c r="C906" s="341" t="s">
        <v>317</v>
      </c>
      <c r="D906" s="341" t="s">
        <v>679</v>
      </c>
      <c r="E906" s="342">
        <f>NhanCong!Y$182</f>
        <v>649.21205555555571</v>
      </c>
      <c r="F906" s="342"/>
      <c r="G906" s="343">
        <f>Dcu!Q$304</f>
        <v>14.287119658119662</v>
      </c>
      <c r="H906" s="343">
        <f>VLieu!O$181</f>
        <v>93.45</v>
      </c>
      <c r="I906" s="343">
        <f>TBi!N$438</f>
        <v>4.1268714285714285</v>
      </c>
      <c r="J906" s="343">
        <f>TBi!N$442</f>
        <v>10.388000000000002</v>
      </c>
      <c r="K906" s="343">
        <f>SUM(E906:J906)</f>
        <v>771.4640466422469</v>
      </c>
      <c r="L906" s="320">
        <f t="shared" si="306"/>
        <v>115.71960699633703</v>
      </c>
      <c r="M906" s="344">
        <f>K906+L906</f>
        <v>887.18365363858391</v>
      </c>
      <c r="N906" s="343"/>
      <c r="O906" s="343">
        <f>NhanCong!Z$182</f>
        <v>18.380341880341881</v>
      </c>
    </row>
    <row r="907" spans="1:17" s="345" customFormat="1" ht="26">
      <c r="A907" s="323" t="s">
        <v>367</v>
      </c>
      <c r="B907" s="324" t="str">
        <f>NhanCong!B$183</f>
        <v>Giao nộp sản phẩm (công nhóm/mảnh)</v>
      </c>
      <c r="C907" s="341" t="s">
        <v>317</v>
      </c>
      <c r="D907" s="341" t="s">
        <v>679</v>
      </c>
      <c r="E907" s="342">
        <f>NhanCong!Y$183</f>
        <v>1298.4241111111114</v>
      </c>
      <c r="F907" s="342"/>
      <c r="G907" s="343">
        <f>Dcu!Q$304</f>
        <v>14.287119658119662</v>
      </c>
      <c r="H907" s="343">
        <f>VLieu!O$181</f>
        <v>93.45</v>
      </c>
      <c r="I907" s="343">
        <f>TBi!N$438</f>
        <v>4.1268714285714285</v>
      </c>
      <c r="J907" s="343">
        <f>TBi!N$442</f>
        <v>10.388000000000002</v>
      </c>
      <c r="K907" s="343">
        <f>SUM(E907:J907)</f>
        <v>1420.6761021978025</v>
      </c>
      <c r="L907" s="320">
        <f>K907*0.15</f>
        <v>213.10141532967037</v>
      </c>
      <c r="M907" s="344">
        <f>K907+L907</f>
        <v>1633.7775175274728</v>
      </c>
      <c r="N907" s="343"/>
      <c r="O907" s="343">
        <f>NhanCong!Z$183</f>
        <v>36.760683760683762</v>
      </c>
    </row>
    <row r="908" spans="1:17" s="345" customFormat="1">
      <c r="A908" s="298" t="s">
        <v>37</v>
      </c>
      <c r="B908" s="316" t="s">
        <v>425</v>
      </c>
      <c r="C908" s="337" t="s">
        <v>349</v>
      </c>
      <c r="D908" s="333"/>
      <c r="E908" s="301"/>
      <c r="F908" s="301"/>
      <c r="G908" s="301"/>
      <c r="H908" s="301"/>
      <c r="I908" s="301"/>
      <c r="J908" s="301"/>
      <c r="K908" s="301"/>
      <c r="L908" s="301"/>
      <c r="M908" s="302">
        <v>100</v>
      </c>
      <c r="N908" s="301" t="s">
        <v>21</v>
      </c>
      <c r="O908" s="301"/>
    </row>
    <row r="909" spans="1:17" s="345" customFormat="1" ht="13.15" customHeight="1">
      <c r="A909" s="1036"/>
      <c r="B909" s="1035" t="s">
        <v>190</v>
      </c>
      <c r="C909" s="298">
        <f>HeSoKK!B34</f>
        <v>1.1000000000000001</v>
      </c>
      <c r="D909" s="298">
        <v>1</v>
      </c>
      <c r="E909" s="301">
        <f>E952/C909+(E956+E960)/100</f>
        <v>555265.61347222235</v>
      </c>
      <c r="F909" s="301">
        <f>F952/C909+(F956+F960)/100</f>
        <v>30417.538461538461</v>
      </c>
      <c r="G909" s="301">
        <f>G952/C909+(G956+G960)/100</f>
        <v>3016.9184498834497</v>
      </c>
      <c r="H909" s="301">
        <f>H952/C909+(H956+H960)/100</f>
        <v>3681288.0865909089</v>
      </c>
      <c r="I909" s="301">
        <f>I952/C909+(I956+I960)/100</f>
        <v>5520.4271428571428</v>
      </c>
      <c r="J909" s="301">
        <f>J952/C909+(J956+J960)/100</f>
        <v>46.968599999999995</v>
      </c>
      <c r="K909" s="301">
        <f t="shared" ref="K909:K916" si="308">SUM(E909:J909)</f>
        <v>4275555.552717411</v>
      </c>
      <c r="L909" s="301">
        <f>K909*0.25</f>
        <v>1068888.8881793527</v>
      </c>
      <c r="M909" s="315">
        <f t="shared" ref="M909:M916" si="309">K909+L909</f>
        <v>5344444.4408967635</v>
      </c>
      <c r="N909" s="301">
        <f>M909+M913</f>
        <v>5417131.7635989944</v>
      </c>
      <c r="O909" s="301">
        <f>O952/C909+(O956+O960)/100</f>
        <v>15735.587606837606</v>
      </c>
      <c r="Q909" s="346"/>
    </row>
    <row r="910" spans="1:17" s="345" customFormat="1" ht="13.15" customHeight="1">
      <c r="A910" s="1036"/>
      <c r="B910" s="1035"/>
      <c r="C910" s="298">
        <f>HeSoKK!D34</f>
        <v>3</v>
      </c>
      <c r="D910" s="298">
        <v>2</v>
      </c>
      <c r="E910" s="301">
        <f>E953/C910+(E957+E961)/100</f>
        <v>659146.188402778</v>
      </c>
      <c r="F910" s="301">
        <f>F953/C910+(F957+F961)/100</f>
        <v>36475.576923076922</v>
      </c>
      <c r="G910" s="301">
        <f>G953/C910+(G957+G961)/100</f>
        <v>3730.9376469017093</v>
      </c>
      <c r="H910" s="301">
        <f>H953/C910+(H957+H961)/100</f>
        <v>1351197.1775</v>
      </c>
      <c r="I910" s="301">
        <f>I953/C910+(I957+I961)/100</f>
        <v>6359.9271428571419</v>
      </c>
      <c r="J910" s="301">
        <f>J953/C910+(J957+J961)/100</f>
        <v>53.646599999999999</v>
      </c>
      <c r="K910" s="301">
        <f t="shared" si="308"/>
        <v>2056963.4542156137</v>
      </c>
      <c r="L910" s="301">
        <f>K910*0.25</f>
        <v>514240.86355390341</v>
      </c>
      <c r="M910" s="315">
        <f t="shared" si="309"/>
        <v>2571204.3177695172</v>
      </c>
      <c r="N910" s="301">
        <f>M910+M914</f>
        <v>2638729.5372839775</v>
      </c>
      <c r="O910" s="301">
        <f>O953/C910+(O957+O961)/100</f>
        <v>18668.210470085469</v>
      </c>
      <c r="Q910" s="346"/>
    </row>
    <row r="911" spans="1:17" s="345" customFormat="1" ht="13.15" customHeight="1">
      <c r="A911" s="1036"/>
      <c r="B911" s="1035"/>
      <c r="C911" s="298">
        <f>HeSoKK!F34</f>
        <v>6</v>
      </c>
      <c r="D911" s="298">
        <v>3</v>
      </c>
      <c r="E911" s="301">
        <f>E954/C911+(E958+E962)/100</f>
        <v>794309.18072916684</v>
      </c>
      <c r="F911" s="301">
        <f>F954/C911+(F958+F962)/100</f>
        <v>43770.692307692312</v>
      </c>
      <c r="G911" s="301">
        <f>G954/C911+(G958+G962)/100</f>
        <v>4959.0637197293454</v>
      </c>
      <c r="H911" s="301">
        <f>H954/C911+(H958+H962)/100</f>
        <v>676697.17749999999</v>
      </c>
      <c r="I911" s="301">
        <f>I954/C911+(I958+I962)/100</f>
        <v>8479.2457142857147</v>
      </c>
      <c r="J911" s="301">
        <f>J954/C911+(J958+J962)/100</f>
        <v>71.677200000000013</v>
      </c>
      <c r="K911" s="301">
        <f t="shared" si="308"/>
        <v>1528287.037170874</v>
      </c>
      <c r="L911" s="301">
        <f>K911*0.25</f>
        <v>382071.75929271849</v>
      </c>
      <c r="M911" s="315">
        <f t="shared" si="309"/>
        <v>1910358.7964635924</v>
      </c>
      <c r="N911" s="301">
        <f>M911+M915</f>
        <v>1980749.506154862</v>
      </c>
      <c r="O911" s="301">
        <f>O954/C911+(O958+O962)/100</f>
        <v>22492.267628205125</v>
      </c>
      <c r="Q911" s="346"/>
    </row>
    <row r="912" spans="1:17" s="345" customFormat="1" ht="13.15" customHeight="1">
      <c r="A912" s="1036"/>
      <c r="B912" s="1035"/>
      <c r="C912" s="298">
        <f>HeSoKK!H34</f>
        <v>8.5</v>
      </c>
      <c r="D912" s="298">
        <v>4</v>
      </c>
      <c r="E912" s="301">
        <f>E955/C912+(E959+E963)/100</f>
        <v>947185.52427205897</v>
      </c>
      <c r="F912" s="301">
        <f>F955/C912+(F959+F963)/100</f>
        <v>52539.384615384617</v>
      </c>
      <c r="G912" s="301">
        <f>G955/C912+(G959+G963)/100</f>
        <v>5449.9489768728017</v>
      </c>
      <c r="H912" s="301">
        <f>H955/C912+(H959+H963)/100</f>
        <v>478314.82455882354</v>
      </c>
      <c r="I912" s="301">
        <f>I955/C912+(I959+I963)/100</f>
        <v>9335.6507142857154</v>
      </c>
      <c r="J912" s="301">
        <f>J955/C912+(J959+J963)/100</f>
        <v>78.355200000000011</v>
      </c>
      <c r="K912" s="301">
        <f t="shared" si="308"/>
        <v>1492903.6883374257</v>
      </c>
      <c r="L912" s="301">
        <f>K912*0.25</f>
        <v>373225.92208435643</v>
      </c>
      <c r="M912" s="315">
        <f t="shared" si="309"/>
        <v>1866129.6104217821</v>
      </c>
      <c r="N912" s="301">
        <f>M912+M916</f>
        <v>1938019.4280961226</v>
      </c>
      <c r="O912" s="301">
        <f>O955/C912+(O959+O963)/100</f>
        <v>26819.860294117643</v>
      </c>
      <c r="Q912" s="346"/>
    </row>
    <row r="913" spans="1:15" s="345" customFormat="1">
      <c r="A913" s="1036"/>
      <c r="B913" s="1035" t="s">
        <v>192</v>
      </c>
      <c r="C913" s="298">
        <f>C909</f>
        <v>1.1000000000000001</v>
      </c>
      <c r="D913" s="298">
        <v>1</v>
      </c>
      <c r="E913" s="301">
        <f>(E965+E975+E976+E977)/C913+(E969+E973+E974)/100</f>
        <v>46153.876388888901</v>
      </c>
      <c r="F913" s="301">
        <f>(F965+F975+F976+F977)/C913+(F969+F973+F974)/100</f>
        <v>0</v>
      </c>
      <c r="G913" s="301">
        <f>(G965+G975+G976+G977)/C913+(G969+G973+G974)/100</f>
        <v>1019.8131584629198</v>
      </c>
      <c r="H913" s="301">
        <f>(H965+H975+H976+H977)/C913+(H969+H973+H974)/100</f>
        <v>13915.92803030303</v>
      </c>
      <c r="I913" s="301">
        <f>(I965+I975+I976+I977)/C913+(I969+I973+I974)/100</f>
        <v>925.33295616883129</v>
      </c>
      <c r="J913" s="301">
        <f>(J965+J975+J976+J977)/C913+(J969+J973+J974)/100</f>
        <v>1191.4170333333334</v>
      </c>
      <c r="K913" s="301">
        <f t="shared" si="308"/>
        <v>63206.367567157016</v>
      </c>
      <c r="L913" s="301">
        <f>K913*0.15</f>
        <v>9480.9551350735528</v>
      </c>
      <c r="M913" s="315">
        <f t="shared" si="309"/>
        <v>72687.322702230565</v>
      </c>
      <c r="N913" s="301"/>
      <c r="O913" s="301">
        <f>(O965+O975+O976+O977)/C913+(O969+O973+O974)/100</f>
        <v>1246.8162393162393</v>
      </c>
    </row>
    <row r="914" spans="1:15" s="345" customFormat="1">
      <c r="A914" s="1036"/>
      <c r="B914" s="1035"/>
      <c r="C914" s="298">
        <f>C910</f>
        <v>3</v>
      </c>
      <c r="D914" s="298">
        <v>2</v>
      </c>
      <c r="E914" s="301">
        <f>(E966+E975+E976+E977)/C914+(E970+E973+E974)/100</f>
        <v>42197.118964814821</v>
      </c>
      <c r="F914" s="301">
        <f>(F966+F975+F976+F977)/C914+(F970+F973+F974)/100</f>
        <v>0</v>
      </c>
      <c r="G914" s="301">
        <f>(G966+G975+G976+G977)/C914+(G970+G973+G974)/100</f>
        <v>1024.266360759734</v>
      </c>
      <c r="H914" s="301">
        <f>(H966+H975+H976+H977)/C914+(H970+H973+H974)/100</f>
        <v>13805.140277777778</v>
      </c>
      <c r="I914" s="301">
        <f>(I966+I975+I976+I977)/C914+(I970+I973+I974)/100</f>
        <v>580.79579980158724</v>
      </c>
      <c r="J914" s="301">
        <f>(J966+J975+J976+J977)/C914+(J970+J973+J974)/100</f>
        <v>1110.2607833333334</v>
      </c>
      <c r="K914" s="301">
        <f t="shared" si="308"/>
        <v>58717.582186487249</v>
      </c>
      <c r="L914" s="301">
        <f>K914*0.15</f>
        <v>8807.6373279730869</v>
      </c>
      <c r="M914" s="315">
        <f t="shared" si="309"/>
        <v>67525.219514460332</v>
      </c>
      <c r="N914" s="301"/>
      <c r="O914" s="301">
        <f>(O966+O975+O976+O977)/C914+(O970+O973+O974)/100</f>
        <v>1128.8052706552705</v>
      </c>
    </row>
    <row r="915" spans="1:15" s="345" customFormat="1">
      <c r="A915" s="1036"/>
      <c r="B915" s="1035"/>
      <c r="C915" s="298">
        <f>C911</f>
        <v>6</v>
      </c>
      <c r="D915" s="298">
        <v>3</v>
      </c>
      <c r="E915" s="301">
        <f>(E967+E975+E976+E977)/C915+(E971+E973+E974)/100</f>
        <v>44689.370427777787</v>
      </c>
      <c r="F915" s="301">
        <f>(F967+F975+F976+F977)/C915+(F971+F973+F974)/100</f>
        <v>0</v>
      </c>
      <c r="G915" s="301">
        <f>(G967+G975+G976+G977)/C915+(G971+G973+G974)/100</f>
        <v>1123.6212215447927</v>
      </c>
      <c r="H915" s="301">
        <f>(H967+H975+H976+H977)/C915+(H971+H973+H974)/100</f>
        <v>13773.070138888888</v>
      </c>
      <c r="I915" s="301">
        <f>(I967+I975+I976+I977)/C915+(I971+I973+I974)/100</f>
        <v>470.36127291666662</v>
      </c>
      <c r="J915" s="301">
        <f>(J967+J975+J976+J977)/C915+(J971+J973+J974)/100</f>
        <v>1152.889713888889</v>
      </c>
      <c r="K915" s="301">
        <f t="shared" si="308"/>
        <v>61209.312775017024</v>
      </c>
      <c r="L915" s="301">
        <f>K915*0.15</f>
        <v>9181.3969162525536</v>
      </c>
      <c r="M915" s="315">
        <f t="shared" si="309"/>
        <v>70390.709691269585</v>
      </c>
      <c r="N915" s="301"/>
      <c r="O915" s="301">
        <f>(O967+O975+O976+O977)/C915+(O971+O973+O974)/100</f>
        <v>1184.6670940170941</v>
      </c>
    </row>
    <row r="916" spans="1:15" s="345" customFormat="1">
      <c r="A916" s="1036"/>
      <c r="B916" s="1035"/>
      <c r="C916" s="298">
        <f>C912</f>
        <v>8.5</v>
      </c>
      <c r="D916" s="298">
        <v>4</v>
      </c>
      <c r="E916" s="301">
        <f>(E968+E975+E976+E977)/C916+(E972+E973+E974)/100</f>
        <v>45958.712188888894</v>
      </c>
      <c r="F916" s="301">
        <f>(F968+F975+F976+F977)/C916+(F972+F973+F974)/100</f>
        <v>0</v>
      </c>
      <c r="G916" s="301">
        <f>(G968+G975+G976+G977)/C916+(G972+G973+G974)/100</f>
        <v>1166.2117261790961</v>
      </c>
      <c r="H916" s="301">
        <f>(H968+H975+H976+H977)/C916+(H972+H973+H974)/100</f>
        <v>13763.63774509804</v>
      </c>
      <c r="I916" s="301">
        <f>(I968+I975+I976+I977)/C916+(I972+I973+I974)/100</f>
        <v>448.27146031746025</v>
      </c>
      <c r="J916" s="301">
        <f>(J968+J975+J976+J977)/C916+(J972+J973+J974)/100</f>
        <v>1176.0518137254903</v>
      </c>
      <c r="K916" s="301">
        <f t="shared" si="308"/>
        <v>62512.884934208982</v>
      </c>
      <c r="L916" s="301">
        <f>K916*0.15</f>
        <v>9376.9327401313476</v>
      </c>
      <c r="M916" s="315">
        <f t="shared" si="309"/>
        <v>71889.817674340331</v>
      </c>
      <c r="N916" s="301"/>
      <c r="O916" s="301">
        <f>(O968+O975+O976+O977)/C916+(O972+O973+O974)/100</f>
        <v>1214.6162393162392</v>
      </c>
    </row>
    <row r="917" spans="1:15" s="345" customFormat="1" ht="13.5">
      <c r="A917" s="298"/>
      <c r="B917" s="340"/>
      <c r="C917" s="298"/>
      <c r="D917" s="298"/>
      <c r="E917" s="301"/>
      <c r="F917" s="301"/>
      <c r="G917" s="301"/>
      <c r="H917" s="301"/>
      <c r="I917" s="301"/>
      <c r="J917" s="301"/>
      <c r="K917" s="301"/>
      <c r="L917" s="301"/>
      <c r="M917" s="315"/>
      <c r="N917" s="301"/>
      <c r="O917" s="301"/>
    </row>
    <row r="918" spans="1:15" s="345" customFormat="1" ht="13.5">
      <c r="A918" s="298"/>
      <c r="B918" s="340" t="s">
        <v>332</v>
      </c>
      <c r="C918" s="298"/>
      <c r="D918" s="298"/>
      <c r="E918" s="301"/>
      <c r="F918" s="301"/>
      <c r="G918" s="301"/>
      <c r="H918" s="301"/>
      <c r="I918" s="301"/>
      <c r="J918" s="301"/>
      <c r="K918" s="301"/>
      <c r="L918" s="301"/>
      <c r="M918" s="315"/>
      <c r="N918" s="301"/>
      <c r="O918" s="301"/>
    </row>
    <row r="919" spans="1:15" s="345" customFormat="1" ht="13.5">
      <c r="A919" s="298" t="s">
        <v>499</v>
      </c>
      <c r="B919" s="340" t="s">
        <v>333</v>
      </c>
      <c r="C919" s="298"/>
      <c r="D919" s="298"/>
      <c r="E919" s="301"/>
      <c r="F919" s="301"/>
      <c r="G919" s="301"/>
      <c r="H919" s="301"/>
      <c r="I919" s="301"/>
      <c r="J919" s="301"/>
      <c r="K919" s="301"/>
      <c r="L919" s="301"/>
      <c r="M919" s="315"/>
      <c r="N919" s="301"/>
      <c r="O919" s="301"/>
    </row>
    <row r="920" spans="1:15" s="345" customFormat="1" ht="13.15" customHeight="1">
      <c r="A920" s="1036"/>
      <c r="B920" s="1037" t="s">
        <v>330</v>
      </c>
      <c r="C920" s="1036" t="s">
        <v>49</v>
      </c>
      <c r="D920" s="298">
        <v>1</v>
      </c>
      <c r="E920" s="301">
        <f t="shared" ref="E920:J923" si="310">E909-E956/100</f>
        <v>520465.93784722232</v>
      </c>
      <c r="F920" s="301">
        <f t="shared" si="310"/>
        <v>30417.538461538461</v>
      </c>
      <c r="G920" s="301">
        <f t="shared" si="310"/>
        <v>2534.8426806526804</v>
      </c>
      <c r="H920" s="301">
        <f t="shared" si="310"/>
        <v>3681183.459090909</v>
      </c>
      <c r="I920" s="301">
        <f t="shared" si="310"/>
        <v>5101.0714285714284</v>
      </c>
      <c r="J920" s="301">
        <f t="shared" si="310"/>
        <v>43.406999999999996</v>
      </c>
      <c r="K920" s="301">
        <f t="shared" ref="K920:K927" si="311">SUM(E920:J920)</f>
        <v>4239746.2565088943</v>
      </c>
      <c r="L920" s="301">
        <f>K920*0.25</f>
        <v>1059936.5641272236</v>
      </c>
      <c r="M920" s="315">
        <f t="shared" ref="M920:M927" si="312">K920+L920</f>
        <v>5299682.8206361178</v>
      </c>
      <c r="N920" s="301">
        <f>M920+M924</f>
        <v>5372370.1433383487</v>
      </c>
      <c r="O920" s="301">
        <f>O909-O956/100</f>
        <v>14750.347222222221</v>
      </c>
    </row>
    <row r="921" spans="1:15" s="345" customFormat="1" ht="13.15" customHeight="1">
      <c r="A921" s="1036"/>
      <c r="B921" s="1037"/>
      <c r="C921" s="1036"/>
      <c r="D921" s="298">
        <v>2</v>
      </c>
      <c r="E921" s="301">
        <f t="shared" si="310"/>
        <v>619191.00527777802</v>
      </c>
      <c r="F921" s="301">
        <f t="shared" si="310"/>
        <v>36475.576923076922</v>
      </c>
      <c r="G921" s="301">
        <f t="shared" si="310"/>
        <v>3128.3429353632478</v>
      </c>
      <c r="H921" s="301">
        <f t="shared" si="310"/>
        <v>1351092.55</v>
      </c>
      <c r="I921" s="301">
        <f t="shared" si="310"/>
        <v>5883.4328571428559</v>
      </c>
      <c r="J921" s="301">
        <f t="shared" si="310"/>
        <v>49.194600000000001</v>
      </c>
      <c r="K921" s="301">
        <f t="shared" si="311"/>
        <v>2015820.1025933609</v>
      </c>
      <c r="L921" s="301">
        <f>K921*0.25</f>
        <v>503955.02564834023</v>
      </c>
      <c r="M921" s="315">
        <f t="shared" si="312"/>
        <v>2519775.1282417011</v>
      </c>
      <c r="N921" s="301">
        <f>M921+M925</f>
        <v>2587300.3477561614</v>
      </c>
      <c r="O921" s="301">
        <f>O910-O957/100</f>
        <v>17537.008547008547</v>
      </c>
    </row>
    <row r="922" spans="1:15" s="345" customFormat="1" ht="13.15" customHeight="1">
      <c r="A922" s="1036"/>
      <c r="B922" s="1037"/>
      <c r="C922" s="1036"/>
      <c r="D922" s="298">
        <v>3</v>
      </c>
      <c r="E922" s="301">
        <f t="shared" si="310"/>
        <v>741035.60322916682</v>
      </c>
      <c r="F922" s="301">
        <f t="shared" si="310"/>
        <v>43770.692307692312</v>
      </c>
      <c r="G922" s="301">
        <f t="shared" si="310"/>
        <v>4155.6041043447294</v>
      </c>
      <c r="H922" s="301">
        <f t="shared" si="310"/>
        <v>676592.55</v>
      </c>
      <c r="I922" s="301">
        <f t="shared" si="310"/>
        <v>7850.2121428571427</v>
      </c>
      <c r="J922" s="301">
        <f t="shared" si="310"/>
        <v>66.557400000000015</v>
      </c>
      <c r="K922" s="301">
        <f t="shared" si="311"/>
        <v>1473471.2191840613</v>
      </c>
      <c r="L922" s="301">
        <f>K922*0.25</f>
        <v>368367.80479601532</v>
      </c>
      <c r="M922" s="315">
        <f t="shared" si="312"/>
        <v>1841839.0239800767</v>
      </c>
      <c r="N922" s="301">
        <f>M922+M926</f>
        <v>1912229.7336713462</v>
      </c>
      <c r="O922" s="301">
        <f>O911-O958/100</f>
        <v>20983.998397435895</v>
      </c>
    </row>
    <row r="923" spans="1:15" s="345" customFormat="1" ht="13.15" customHeight="1">
      <c r="A923" s="1036"/>
      <c r="B923" s="1037"/>
      <c r="C923" s="1036"/>
      <c r="D923" s="298">
        <v>4</v>
      </c>
      <c r="E923" s="301">
        <f t="shared" si="310"/>
        <v>888756.43927205889</v>
      </c>
      <c r="F923" s="301">
        <f t="shared" si="310"/>
        <v>52539.384615384617</v>
      </c>
      <c r="G923" s="301">
        <f t="shared" si="310"/>
        <v>4566.1433999497249</v>
      </c>
      <c r="H923" s="301">
        <f t="shared" si="310"/>
        <v>478210.19705882354</v>
      </c>
      <c r="I923" s="301">
        <f t="shared" si="310"/>
        <v>8638.2085714285731</v>
      </c>
      <c r="J923" s="301">
        <f t="shared" si="310"/>
        <v>72.345000000000013</v>
      </c>
      <c r="K923" s="301">
        <f t="shared" si="311"/>
        <v>1432782.7179176454</v>
      </c>
      <c r="L923" s="301">
        <f>K923*0.25</f>
        <v>358195.67947941134</v>
      </c>
      <c r="M923" s="315">
        <f t="shared" si="312"/>
        <v>1790978.3973970567</v>
      </c>
      <c r="N923" s="301">
        <f>M923+M927</f>
        <v>1862868.2150713969</v>
      </c>
      <c r="O923" s="301">
        <f>O912-O959/100</f>
        <v>25165.629524886874</v>
      </c>
    </row>
    <row r="924" spans="1:15" s="345" customFormat="1">
      <c r="A924" s="1036"/>
      <c r="B924" s="1037" t="s">
        <v>331</v>
      </c>
      <c r="C924" s="1036" t="s">
        <v>49</v>
      </c>
      <c r="D924" s="298">
        <v>1</v>
      </c>
      <c r="E924" s="301">
        <f t="shared" ref="E924:J927" si="313">E913</f>
        <v>46153.876388888901</v>
      </c>
      <c r="F924" s="301">
        <f t="shared" si="313"/>
        <v>0</v>
      </c>
      <c r="G924" s="301">
        <f t="shared" si="313"/>
        <v>1019.8131584629198</v>
      </c>
      <c r="H924" s="301">
        <f t="shared" si="313"/>
        <v>13915.92803030303</v>
      </c>
      <c r="I924" s="301">
        <f t="shared" si="313"/>
        <v>925.33295616883129</v>
      </c>
      <c r="J924" s="301">
        <f t="shared" si="313"/>
        <v>1191.4170333333334</v>
      </c>
      <c r="K924" s="301">
        <f t="shared" si="311"/>
        <v>63206.367567157016</v>
      </c>
      <c r="L924" s="301">
        <f>K924*0.15</f>
        <v>9480.9551350735528</v>
      </c>
      <c r="M924" s="315">
        <f t="shared" si="312"/>
        <v>72687.322702230565</v>
      </c>
      <c r="N924" s="301"/>
      <c r="O924" s="301">
        <f t="shared" ref="O924:O927" si="314">O913</f>
        <v>1246.8162393162393</v>
      </c>
    </row>
    <row r="925" spans="1:15" s="345" customFormat="1">
      <c r="A925" s="1036"/>
      <c r="B925" s="1035"/>
      <c r="C925" s="1036"/>
      <c r="D925" s="298">
        <v>2</v>
      </c>
      <c r="E925" s="301">
        <f t="shared" si="313"/>
        <v>42197.118964814821</v>
      </c>
      <c r="F925" s="301">
        <f t="shared" si="313"/>
        <v>0</v>
      </c>
      <c r="G925" s="301">
        <f t="shared" si="313"/>
        <v>1024.266360759734</v>
      </c>
      <c r="H925" s="301">
        <f t="shared" si="313"/>
        <v>13805.140277777778</v>
      </c>
      <c r="I925" s="301">
        <f t="shared" si="313"/>
        <v>580.79579980158724</v>
      </c>
      <c r="J925" s="301">
        <f t="shared" si="313"/>
        <v>1110.2607833333334</v>
      </c>
      <c r="K925" s="301">
        <f t="shared" si="311"/>
        <v>58717.582186487249</v>
      </c>
      <c r="L925" s="301">
        <f>K925*0.15</f>
        <v>8807.6373279730869</v>
      </c>
      <c r="M925" s="315">
        <f t="shared" si="312"/>
        <v>67525.219514460332</v>
      </c>
      <c r="N925" s="301"/>
      <c r="O925" s="301">
        <f t="shared" si="314"/>
        <v>1128.8052706552705</v>
      </c>
    </row>
    <row r="926" spans="1:15" s="345" customFormat="1">
      <c r="A926" s="1036"/>
      <c r="B926" s="1035"/>
      <c r="C926" s="1036"/>
      <c r="D926" s="298">
        <v>3</v>
      </c>
      <c r="E926" s="301">
        <f t="shared" si="313"/>
        <v>44689.370427777787</v>
      </c>
      <c r="F926" s="301">
        <f t="shared" si="313"/>
        <v>0</v>
      </c>
      <c r="G926" s="301">
        <f t="shared" si="313"/>
        <v>1123.6212215447927</v>
      </c>
      <c r="H926" s="301">
        <f t="shared" si="313"/>
        <v>13773.070138888888</v>
      </c>
      <c r="I926" s="301">
        <f t="shared" si="313"/>
        <v>470.36127291666662</v>
      </c>
      <c r="J926" s="301">
        <f t="shared" si="313"/>
        <v>1152.889713888889</v>
      </c>
      <c r="K926" s="301">
        <f t="shared" si="311"/>
        <v>61209.312775017024</v>
      </c>
      <c r="L926" s="301">
        <f>K926*0.15</f>
        <v>9181.3969162525536</v>
      </c>
      <c r="M926" s="315">
        <f t="shared" si="312"/>
        <v>70390.709691269585</v>
      </c>
      <c r="N926" s="301"/>
      <c r="O926" s="301">
        <f t="shared" si="314"/>
        <v>1184.6670940170941</v>
      </c>
    </row>
    <row r="927" spans="1:15" s="345" customFormat="1">
      <c r="A927" s="1036"/>
      <c r="B927" s="1035"/>
      <c r="C927" s="1036"/>
      <c r="D927" s="298">
        <v>4</v>
      </c>
      <c r="E927" s="301">
        <f t="shared" si="313"/>
        <v>45958.712188888894</v>
      </c>
      <c r="F927" s="301">
        <f t="shared" si="313"/>
        <v>0</v>
      </c>
      <c r="G927" s="301">
        <f t="shared" si="313"/>
        <v>1166.2117261790961</v>
      </c>
      <c r="H927" s="301">
        <f t="shared" si="313"/>
        <v>13763.63774509804</v>
      </c>
      <c r="I927" s="301">
        <f t="shared" si="313"/>
        <v>448.27146031746025</v>
      </c>
      <c r="J927" s="301">
        <f t="shared" si="313"/>
        <v>1176.0518137254903</v>
      </c>
      <c r="K927" s="301">
        <f t="shared" si="311"/>
        <v>62512.884934208982</v>
      </c>
      <c r="L927" s="301">
        <f>K927*0.15</f>
        <v>9376.9327401313476</v>
      </c>
      <c r="M927" s="315">
        <f t="shared" si="312"/>
        <v>71889.817674340331</v>
      </c>
      <c r="N927" s="301"/>
      <c r="O927" s="301">
        <f t="shared" si="314"/>
        <v>1214.6162393162392</v>
      </c>
    </row>
    <row r="928" spans="1:15" s="345" customFormat="1" ht="13.5">
      <c r="A928" s="298" t="s">
        <v>500</v>
      </c>
      <c r="B928" s="340" t="s">
        <v>423</v>
      </c>
      <c r="C928" s="298"/>
      <c r="D928" s="298"/>
      <c r="E928" s="301"/>
      <c r="F928" s="301"/>
      <c r="G928" s="301"/>
      <c r="H928" s="301"/>
      <c r="I928" s="301"/>
      <c r="J928" s="301"/>
      <c r="K928" s="301"/>
      <c r="L928" s="301"/>
      <c r="M928" s="315"/>
      <c r="N928" s="301"/>
      <c r="O928" s="301"/>
    </row>
    <row r="929" spans="1:15" s="345" customFormat="1">
      <c r="A929" s="1036"/>
      <c r="B929" s="1037" t="s">
        <v>330</v>
      </c>
      <c r="C929" s="1036" t="s">
        <v>21</v>
      </c>
      <c r="D929" s="298">
        <v>1</v>
      </c>
      <c r="E929" s="301">
        <f t="shared" ref="E929:G936" si="315">E909*0.9</f>
        <v>499739.0521250001</v>
      </c>
      <c r="F929" s="301">
        <f t="shared" si="315"/>
        <v>27375.784615384615</v>
      </c>
      <c r="G929" s="301">
        <f t="shared" si="315"/>
        <v>2715.2266048951046</v>
      </c>
      <c r="H929" s="301">
        <f t="shared" ref="H929:H936" si="316">H909</f>
        <v>3681288.0865909089</v>
      </c>
      <c r="I929" s="301">
        <f t="shared" ref="I929:J936" si="317">I909*0.9</f>
        <v>4968.3844285714285</v>
      </c>
      <c r="J929" s="301">
        <f t="shared" si="317"/>
        <v>42.271739999999994</v>
      </c>
      <c r="K929" s="301">
        <f t="shared" ref="K929:K936" si="318">SUM(E929:J929)</f>
        <v>4216128.8061047597</v>
      </c>
      <c r="L929" s="301">
        <f>K929*0.25</f>
        <v>1054032.2015261899</v>
      </c>
      <c r="M929" s="315">
        <f t="shared" ref="M929:M936" si="319">K929+L929</f>
        <v>5270161.0076309498</v>
      </c>
      <c r="N929" s="301">
        <f>M929+M933</f>
        <v>5337179.9297864418</v>
      </c>
      <c r="O929" s="301">
        <f t="shared" ref="O929:O936" si="320">O909*0.9</f>
        <v>14162.028846153846</v>
      </c>
    </row>
    <row r="930" spans="1:15" s="345" customFormat="1">
      <c r="A930" s="1036"/>
      <c r="B930" s="1035"/>
      <c r="C930" s="1036"/>
      <c r="D930" s="298">
        <v>2</v>
      </c>
      <c r="E930" s="301">
        <f t="shared" si="315"/>
        <v>593231.56956250023</v>
      </c>
      <c r="F930" s="301">
        <f t="shared" si="315"/>
        <v>32828.019230769234</v>
      </c>
      <c r="G930" s="301">
        <f t="shared" si="315"/>
        <v>3357.8438822115386</v>
      </c>
      <c r="H930" s="301">
        <f t="shared" si="316"/>
        <v>1351197.1775</v>
      </c>
      <c r="I930" s="301">
        <f t="shared" si="317"/>
        <v>5723.9344285714278</v>
      </c>
      <c r="J930" s="301">
        <f t="shared" si="317"/>
        <v>48.281939999999999</v>
      </c>
      <c r="K930" s="301">
        <f t="shared" si="318"/>
        <v>1986386.8265440525</v>
      </c>
      <c r="L930" s="301">
        <f>K930*0.25</f>
        <v>496596.70663601311</v>
      </c>
      <c r="M930" s="315">
        <f t="shared" si="319"/>
        <v>2482983.5331800655</v>
      </c>
      <c r="N930" s="301">
        <f>M930+M934</f>
        <v>2545343.8218750241</v>
      </c>
      <c r="O930" s="301">
        <f t="shared" si="320"/>
        <v>16801.389423076922</v>
      </c>
    </row>
    <row r="931" spans="1:15" s="345" customFormat="1">
      <c r="A931" s="1036"/>
      <c r="B931" s="1035"/>
      <c r="C931" s="1036"/>
      <c r="D931" s="298">
        <v>3</v>
      </c>
      <c r="E931" s="301">
        <f t="shared" si="315"/>
        <v>714878.26265625015</v>
      </c>
      <c r="F931" s="301">
        <f t="shared" si="315"/>
        <v>39393.623076923082</v>
      </c>
      <c r="G931" s="301">
        <f t="shared" si="315"/>
        <v>4463.1573477564107</v>
      </c>
      <c r="H931" s="301">
        <f t="shared" si="316"/>
        <v>676697.17749999999</v>
      </c>
      <c r="I931" s="301">
        <f t="shared" si="317"/>
        <v>7631.3211428571431</v>
      </c>
      <c r="J931" s="301">
        <f t="shared" si="317"/>
        <v>64.509480000000011</v>
      </c>
      <c r="K931" s="301">
        <f t="shared" si="318"/>
        <v>1443128.0512037869</v>
      </c>
      <c r="L931" s="301">
        <f>K931*0.25</f>
        <v>360782.01280094672</v>
      </c>
      <c r="M931" s="315">
        <f t="shared" si="319"/>
        <v>1803910.0640047337</v>
      </c>
      <c r="N931" s="301">
        <f>M931+M935</f>
        <v>1868845.6057928486</v>
      </c>
      <c r="O931" s="301">
        <f t="shared" si="320"/>
        <v>20243.040865384613</v>
      </c>
    </row>
    <row r="932" spans="1:15" s="345" customFormat="1">
      <c r="A932" s="1036"/>
      <c r="B932" s="1035"/>
      <c r="C932" s="1036"/>
      <c r="D932" s="298">
        <v>4</v>
      </c>
      <c r="E932" s="301">
        <f t="shared" si="315"/>
        <v>852466.97184485313</v>
      </c>
      <c r="F932" s="301">
        <f t="shared" si="315"/>
        <v>47285.446153846155</v>
      </c>
      <c r="G932" s="301">
        <f t="shared" si="315"/>
        <v>4904.9540791855216</v>
      </c>
      <c r="H932" s="301">
        <f t="shared" si="316"/>
        <v>478314.82455882354</v>
      </c>
      <c r="I932" s="301">
        <f t="shared" si="317"/>
        <v>8402.0856428571442</v>
      </c>
      <c r="J932" s="301">
        <f t="shared" si="317"/>
        <v>70.519680000000008</v>
      </c>
      <c r="K932" s="301">
        <f t="shared" si="318"/>
        <v>1391444.8019595654</v>
      </c>
      <c r="L932" s="301">
        <f>K932*0.25</f>
        <v>347861.20048989134</v>
      </c>
      <c r="M932" s="315">
        <f t="shared" si="319"/>
        <v>1739306.0024494566</v>
      </c>
      <c r="N932" s="301">
        <f>M932+M936</f>
        <v>1805589.6566970493</v>
      </c>
      <c r="O932" s="301">
        <f t="shared" si="320"/>
        <v>24137.874264705879</v>
      </c>
    </row>
    <row r="933" spans="1:15" s="345" customFormat="1">
      <c r="A933" s="1036"/>
      <c r="B933" s="1037" t="s">
        <v>331</v>
      </c>
      <c r="C933" s="1036" t="s">
        <v>21</v>
      </c>
      <c r="D933" s="333" t="s">
        <v>18</v>
      </c>
      <c r="E933" s="301">
        <f t="shared" si="315"/>
        <v>41538.488750000011</v>
      </c>
      <c r="F933" s="301">
        <f t="shared" si="315"/>
        <v>0</v>
      </c>
      <c r="G933" s="301">
        <f t="shared" si="315"/>
        <v>917.8318426166278</v>
      </c>
      <c r="H933" s="301">
        <f t="shared" si="316"/>
        <v>13915.92803030303</v>
      </c>
      <c r="I933" s="301">
        <f t="shared" si="317"/>
        <v>832.79966055194814</v>
      </c>
      <c r="J933" s="301">
        <f t="shared" si="317"/>
        <v>1072.2753300000002</v>
      </c>
      <c r="K933" s="301">
        <f t="shared" si="318"/>
        <v>58277.323613471621</v>
      </c>
      <c r="L933" s="301">
        <f>K933*0.15</f>
        <v>8741.5985420207435</v>
      </c>
      <c r="M933" s="315">
        <f t="shared" si="319"/>
        <v>67018.922155492357</v>
      </c>
      <c r="N933" s="301"/>
      <c r="O933" s="301">
        <f t="shared" si="320"/>
        <v>1122.1346153846155</v>
      </c>
    </row>
    <row r="934" spans="1:15" s="345" customFormat="1">
      <c r="A934" s="1036"/>
      <c r="B934" s="1035"/>
      <c r="C934" s="1036"/>
      <c r="D934" s="298">
        <v>2</v>
      </c>
      <c r="E934" s="301">
        <f t="shared" si="315"/>
        <v>37977.407068333341</v>
      </c>
      <c r="F934" s="301">
        <f t="shared" si="315"/>
        <v>0</v>
      </c>
      <c r="G934" s="301">
        <f t="shared" si="315"/>
        <v>921.83972468376055</v>
      </c>
      <c r="H934" s="301">
        <f t="shared" si="316"/>
        <v>13805.140277777778</v>
      </c>
      <c r="I934" s="301">
        <f t="shared" si="317"/>
        <v>522.71621982142858</v>
      </c>
      <c r="J934" s="301">
        <f t="shared" si="317"/>
        <v>999.23470500000008</v>
      </c>
      <c r="K934" s="301">
        <f t="shared" si="318"/>
        <v>54226.337995616312</v>
      </c>
      <c r="L934" s="301">
        <f>K934*0.15</f>
        <v>8133.9506993424466</v>
      </c>
      <c r="M934" s="315">
        <f t="shared" si="319"/>
        <v>62360.288694958756</v>
      </c>
      <c r="N934" s="301"/>
      <c r="O934" s="301">
        <f t="shared" si="320"/>
        <v>1015.9247435897435</v>
      </c>
    </row>
    <row r="935" spans="1:15" s="345" customFormat="1">
      <c r="A935" s="1036"/>
      <c r="B935" s="1035"/>
      <c r="C935" s="1036"/>
      <c r="D935" s="298">
        <v>3</v>
      </c>
      <c r="E935" s="301">
        <f t="shared" si="315"/>
        <v>40220.433385000011</v>
      </c>
      <c r="F935" s="301">
        <f t="shared" si="315"/>
        <v>0</v>
      </c>
      <c r="G935" s="301">
        <f t="shared" si="315"/>
        <v>1011.2590993903134</v>
      </c>
      <c r="H935" s="301">
        <f t="shared" si="316"/>
        <v>13773.070138888888</v>
      </c>
      <c r="I935" s="301">
        <f t="shared" si="317"/>
        <v>423.32514562499995</v>
      </c>
      <c r="J935" s="301">
        <f t="shared" si="317"/>
        <v>1037.6007425</v>
      </c>
      <c r="K935" s="301">
        <f t="shared" si="318"/>
        <v>56465.688511404209</v>
      </c>
      <c r="L935" s="301">
        <f>K935*0.15</f>
        <v>8469.8532767106317</v>
      </c>
      <c r="M935" s="315">
        <f t="shared" si="319"/>
        <v>64935.541788114839</v>
      </c>
      <c r="N935" s="301"/>
      <c r="O935" s="301">
        <f t="shared" si="320"/>
        <v>1066.2003846153848</v>
      </c>
    </row>
    <row r="936" spans="1:15" s="345" customFormat="1">
      <c r="A936" s="1036"/>
      <c r="B936" s="1035"/>
      <c r="C936" s="1036"/>
      <c r="D936" s="298">
        <v>4</v>
      </c>
      <c r="E936" s="301">
        <f t="shared" si="315"/>
        <v>41362.840970000005</v>
      </c>
      <c r="F936" s="301">
        <f t="shared" si="315"/>
        <v>0</v>
      </c>
      <c r="G936" s="301">
        <f t="shared" si="315"/>
        <v>1049.5905535611864</v>
      </c>
      <c r="H936" s="301">
        <f t="shared" si="316"/>
        <v>13763.63774509804</v>
      </c>
      <c r="I936" s="301">
        <f t="shared" si="317"/>
        <v>403.44431428571426</v>
      </c>
      <c r="J936" s="301">
        <f t="shared" si="317"/>
        <v>1058.4466323529414</v>
      </c>
      <c r="K936" s="301">
        <f t="shared" si="318"/>
        <v>57637.960215297891</v>
      </c>
      <c r="L936" s="301">
        <f>K936*0.15</f>
        <v>8645.694032294683</v>
      </c>
      <c r="M936" s="315">
        <f t="shared" si="319"/>
        <v>66283.654247592582</v>
      </c>
      <c r="N936" s="301"/>
      <c r="O936" s="301">
        <f t="shared" si="320"/>
        <v>1093.1546153846152</v>
      </c>
    </row>
    <row r="937" spans="1:15" s="345" customFormat="1" ht="13.5">
      <c r="A937" s="298" t="s">
        <v>501</v>
      </c>
      <c r="B937" s="340" t="s">
        <v>424</v>
      </c>
      <c r="C937" s="298"/>
      <c r="D937" s="298"/>
      <c r="E937" s="301"/>
      <c r="F937" s="301"/>
      <c r="G937" s="301"/>
      <c r="H937" s="301"/>
      <c r="I937" s="301"/>
      <c r="J937" s="301"/>
      <c r="K937" s="301"/>
      <c r="L937" s="301"/>
      <c r="M937" s="315"/>
      <c r="N937" s="301"/>
      <c r="O937" s="301"/>
    </row>
    <row r="938" spans="1:15" s="345" customFormat="1">
      <c r="A938" s="1036"/>
      <c r="B938" s="1037" t="s">
        <v>330</v>
      </c>
      <c r="C938" s="1036" t="s">
        <v>21</v>
      </c>
      <c r="D938" s="298">
        <v>1</v>
      </c>
      <c r="E938" s="301">
        <f t="shared" ref="E938:G945" si="321">E909*0.8</f>
        <v>444212.49077777792</v>
      </c>
      <c r="F938" s="301">
        <f t="shared" si="321"/>
        <v>24334.030769230769</v>
      </c>
      <c r="G938" s="301">
        <f t="shared" si="321"/>
        <v>2413.53475990676</v>
      </c>
      <c r="H938" s="301">
        <f t="shared" ref="H938:H945" si="322">H909</f>
        <v>3681288.0865909089</v>
      </c>
      <c r="I938" s="301">
        <f t="shared" ref="I938:J945" si="323">I909*0.8</f>
        <v>4416.3417142857143</v>
      </c>
      <c r="J938" s="301">
        <f t="shared" si="323"/>
        <v>37.57488</v>
      </c>
      <c r="K938" s="301">
        <f t="shared" ref="K938:K945" si="324">SUM(E938:J938)</f>
        <v>4156702.0594921103</v>
      </c>
      <c r="L938" s="301">
        <f>K938*0.25</f>
        <v>1039175.5148730276</v>
      </c>
      <c r="M938" s="315">
        <f t="shared" ref="M938:M945" si="325">K938+L938</f>
        <v>5195877.5743651381</v>
      </c>
      <c r="N938" s="301">
        <f>M938+M942</f>
        <v>5257228.0959738921</v>
      </c>
      <c r="O938" s="301">
        <f t="shared" ref="O938:O945" si="326">O909*0.8</f>
        <v>12588.470085470086</v>
      </c>
    </row>
    <row r="939" spans="1:15" s="345" customFormat="1">
      <c r="A939" s="1036"/>
      <c r="B939" s="1035"/>
      <c r="C939" s="1036"/>
      <c r="D939" s="298">
        <v>2</v>
      </c>
      <c r="E939" s="301">
        <f t="shared" si="321"/>
        <v>527316.95072222245</v>
      </c>
      <c r="F939" s="301">
        <f t="shared" si="321"/>
        <v>29180.461538461539</v>
      </c>
      <c r="G939" s="301">
        <f t="shared" si="321"/>
        <v>2984.7501175213674</v>
      </c>
      <c r="H939" s="301">
        <f t="shared" si="322"/>
        <v>1351197.1775</v>
      </c>
      <c r="I939" s="301">
        <f t="shared" si="323"/>
        <v>5087.9417142857137</v>
      </c>
      <c r="J939" s="301">
        <f t="shared" si="323"/>
        <v>42.917280000000005</v>
      </c>
      <c r="K939" s="301">
        <f t="shared" si="324"/>
        <v>1915810.1988724908</v>
      </c>
      <c r="L939" s="301">
        <f>K939*0.25</f>
        <v>478952.5497181227</v>
      </c>
      <c r="M939" s="315">
        <f t="shared" si="325"/>
        <v>2394762.7485906137</v>
      </c>
      <c r="N939" s="301">
        <f>M939+M943</f>
        <v>2451958.1064660707</v>
      </c>
      <c r="O939" s="301">
        <f t="shared" si="326"/>
        <v>14934.568376068375</v>
      </c>
    </row>
    <row r="940" spans="1:15" s="345" customFormat="1">
      <c r="A940" s="1036"/>
      <c r="B940" s="1035"/>
      <c r="C940" s="1036"/>
      <c r="D940" s="298">
        <v>3</v>
      </c>
      <c r="E940" s="301">
        <f t="shared" si="321"/>
        <v>635447.34458333347</v>
      </c>
      <c r="F940" s="301">
        <f t="shared" si="321"/>
        <v>35016.553846153853</v>
      </c>
      <c r="G940" s="301">
        <f t="shared" si="321"/>
        <v>3967.2509757834764</v>
      </c>
      <c r="H940" s="301">
        <f t="shared" si="322"/>
        <v>676697.17749999999</v>
      </c>
      <c r="I940" s="301">
        <f t="shared" si="323"/>
        <v>6783.3965714285723</v>
      </c>
      <c r="J940" s="301">
        <f t="shared" si="323"/>
        <v>57.341760000000015</v>
      </c>
      <c r="K940" s="301">
        <f t="shared" si="324"/>
        <v>1357969.0652366993</v>
      </c>
      <c r="L940" s="301">
        <f>K940*0.25</f>
        <v>339492.26630917483</v>
      </c>
      <c r="M940" s="315">
        <f t="shared" si="325"/>
        <v>1697461.331545874</v>
      </c>
      <c r="N940" s="301">
        <f>M940+M944</f>
        <v>1756941.7054308341</v>
      </c>
      <c r="O940" s="301">
        <f t="shared" si="326"/>
        <v>17993.814102564102</v>
      </c>
    </row>
    <row r="941" spans="1:15" s="345" customFormat="1">
      <c r="A941" s="1036"/>
      <c r="B941" s="1035"/>
      <c r="C941" s="1036"/>
      <c r="D941" s="298">
        <v>4</v>
      </c>
      <c r="E941" s="301">
        <f t="shared" si="321"/>
        <v>757748.41941764718</v>
      </c>
      <c r="F941" s="301">
        <f t="shared" si="321"/>
        <v>42031.507692307699</v>
      </c>
      <c r="G941" s="301">
        <f t="shared" si="321"/>
        <v>4359.9591814982414</v>
      </c>
      <c r="H941" s="301">
        <f t="shared" si="322"/>
        <v>478314.82455882354</v>
      </c>
      <c r="I941" s="301">
        <f t="shared" si="323"/>
        <v>7468.520571428573</v>
      </c>
      <c r="J941" s="301">
        <f t="shared" si="323"/>
        <v>62.684160000000013</v>
      </c>
      <c r="K941" s="301">
        <f t="shared" si="324"/>
        <v>1289985.9155817053</v>
      </c>
      <c r="L941" s="301">
        <f>K941*0.25</f>
        <v>322496.47889542632</v>
      </c>
      <c r="M941" s="315">
        <f t="shared" si="325"/>
        <v>1612482.3944771315</v>
      </c>
      <c r="N941" s="301">
        <f>M941+M945</f>
        <v>1673159.8852979764</v>
      </c>
      <c r="O941" s="301">
        <f t="shared" si="326"/>
        <v>21455.888235294115</v>
      </c>
    </row>
    <row r="942" spans="1:15" s="345" customFormat="1">
      <c r="A942" s="1036"/>
      <c r="B942" s="1037" t="s">
        <v>331</v>
      </c>
      <c r="C942" s="1036" t="s">
        <v>21</v>
      </c>
      <c r="D942" s="333" t="s">
        <v>18</v>
      </c>
      <c r="E942" s="301">
        <f t="shared" si="321"/>
        <v>36923.101111111122</v>
      </c>
      <c r="F942" s="301">
        <f t="shared" si="321"/>
        <v>0</v>
      </c>
      <c r="G942" s="301">
        <f t="shared" si="321"/>
        <v>815.85052677033582</v>
      </c>
      <c r="H942" s="301">
        <f t="shared" si="322"/>
        <v>13915.92803030303</v>
      </c>
      <c r="I942" s="301">
        <f t="shared" si="323"/>
        <v>740.2663649350651</v>
      </c>
      <c r="J942" s="301">
        <f t="shared" si="323"/>
        <v>953.13362666666671</v>
      </c>
      <c r="K942" s="301">
        <f t="shared" si="324"/>
        <v>53348.279659786225</v>
      </c>
      <c r="L942" s="301">
        <f>K942*0.15</f>
        <v>8002.2419489679332</v>
      </c>
      <c r="M942" s="315">
        <f t="shared" si="325"/>
        <v>61350.521608754156</v>
      </c>
      <c r="N942" s="301"/>
      <c r="O942" s="301">
        <f t="shared" si="326"/>
        <v>997.45299145299145</v>
      </c>
    </row>
    <row r="943" spans="1:15" s="345" customFormat="1">
      <c r="A943" s="1036"/>
      <c r="B943" s="1035"/>
      <c r="C943" s="1036"/>
      <c r="D943" s="298">
        <v>2</v>
      </c>
      <c r="E943" s="301">
        <f t="shared" si="321"/>
        <v>33757.695171851861</v>
      </c>
      <c r="F943" s="301">
        <f t="shared" si="321"/>
        <v>0</v>
      </c>
      <c r="G943" s="301">
        <f t="shared" si="321"/>
        <v>819.41308860778724</v>
      </c>
      <c r="H943" s="301">
        <f t="shared" si="322"/>
        <v>13805.140277777778</v>
      </c>
      <c r="I943" s="301">
        <f t="shared" si="323"/>
        <v>464.63663984126981</v>
      </c>
      <c r="J943" s="301">
        <f t="shared" si="323"/>
        <v>888.20862666666676</v>
      </c>
      <c r="K943" s="301">
        <f t="shared" si="324"/>
        <v>49735.09380474536</v>
      </c>
      <c r="L943" s="301">
        <f>K943*0.15</f>
        <v>7460.2640707118035</v>
      </c>
      <c r="M943" s="315">
        <f t="shared" si="325"/>
        <v>57195.357875457164</v>
      </c>
      <c r="N943" s="301"/>
      <c r="O943" s="301">
        <f t="shared" si="326"/>
        <v>903.04421652421649</v>
      </c>
    </row>
    <row r="944" spans="1:15" s="345" customFormat="1">
      <c r="A944" s="1036"/>
      <c r="B944" s="1035"/>
      <c r="C944" s="1036"/>
      <c r="D944" s="298">
        <v>3</v>
      </c>
      <c r="E944" s="301">
        <f t="shared" si="321"/>
        <v>35751.496342222228</v>
      </c>
      <c r="F944" s="301">
        <f t="shared" si="321"/>
        <v>0</v>
      </c>
      <c r="G944" s="301">
        <f t="shared" si="321"/>
        <v>898.89697723583413</v>
      </c>
      <c r="H944" s="301">
        <f t="shared" si="322"/>
        <v>13773.070138888888</v>
      </c>
      <c r="I944" s="301">
        <f t="shared" si="323"/>
        <v>376.28901833333333</v>
      </c>
      <c r="J944" s="301">
        <f t="shared" si="323"/>
        <v>922.31177111111128</v>
      </c>
      <c r="K944" s="301">
        <f t="shared" si="324"/>
        <v>51722.064247791393</v>
      </c>
      <c r="L944" s="301">
        <f>K944*0.15</f>
        <v>7758.3096371687088</v>
      </c>
      <c r="M944" s="315">
        <f t="shared" si="325"/>
        <v>59480.3738849601</v>
      </c>
      <c r="N944" s="301"/>
      <c r="O944" s="301">
        <f t="shared" si="326"/>
        <v>947.73367521367527</v>
      </c>
    </row>
    <row r="945" spans="1:15" s="345" customFormat="1">
      <c r="A945" s="1036"/>
      <c r="B945" s="1035"/>
      <c r="C945" s="1036"/>
      <c r="D945" s="298">
        <v>4</v>
      </c>
      <c r="E945" s="301">
        <f t="shared" si="321"/>
        <v>36766.969751111115</v>
      </c>
      <c r="F945" s="301">
        <f t="shared" si="321"/>
        <v>0</v>
      </c>
      <c r="G945" s="301">
        <f t="shared" si="321"/>
        <v>932.96938094327697</v>
      </c>
      <c r="H945" s="301">
        <f t="shared" si="322"/>
        <v>13763.63774509804</v>
      </c>
      <c r="I945" s="301">
        <f t="shared" si="323"/>
        <v>358.6171682539682</v>
      </c>
      <c r="J945" s="301">
        <f t="shared" si="323"/>
        <v>940.84145098039232</v>
      </c>
      <c r="K945" s="301">
        <f t="shared" si="324"/>
        <v>52763.035496386794</v>
      </c>
      <c r="L945" s="301">
        <f>K945*0.15</f>
        <v>7914.4553244580184</v>
      </c>
      <c r="M945" s="315">
        <f t="shared" si="325"/>
        <v>60677.490820844811</v>
      </c>
      <c r="N945" s="301"/>
      <c r="O945" s="301">
        <f t="shared" si="326"/>
        <v>971.69299145299146</v>
      </c>
    </row>
    <row r="946" spans="1:15" s="308" customFormat="1" ht="12.75" customHeight="1">
      <c r="A946" s="298" t="s">
        <v>498</v>
      </c>
      <c r="B946" s="340" t="s">
        <v>491</v>
      </c>
      <c r="C946" s="298"/>
      <c r="D946" s="298"/>
      <c r="E946" s="301"/>
      <c r="F946" s="301"/>
      <c r="G946" s="301"/>
      <c r="H946" s="301"/>
      <c r="I946" s="301"/>
      <c r="J946" s="301"/>
      <c r="K946" s="301"/>
      <c r="L946" s="301"/>
      <c r="M946" s="315"/>
      <c r="N946" s="301"/>
      <c r="O946" s="301"/>
    </row>
    <row r="947" spans="1:15" s="345" customFormat="1" ht="13.15" customHeight="1">
      <c r="A947" s="298"/>
      <c r="B947" s="340"/>
      <c r="C947" s="298"/>
      <c r="D947" s="298" t="s">
        <v>18</v>
      </c>
      <c r="E947" s="301">
        <f>E$973/100+(E$975+E$976)/$C913</f>
        <v>10571.394166666671</v>
      </c>
      <c r="F947" s="301"/>
      <c r="G947" s="301">
        <f t="shared" ref="G947:J950" si="327">G909</f>
        <v>3016.9184498834497</v>
      </c>
      <c r="H947" s="301">
        <f t="shared" si="327"/>
        <v>3681288.0865909089</v>
      </c>
      <c r="I947" s="301">
        <f t="shared" si="327"/>
        <v>5520.4271428571428</v>
      </c>
      <c r="J947" s="301">
        <f t="shared" si="327"/>
        <v>46.968599999999995</v>
      </c>
      <c r="K947" s="301">
        <f>SUM(E947:J947)</f>
        <v>3700443.7949503157</v>
      </c>
      <c r="L947" s="301">
        <f>K947*0.15</f>
        <v>555066.56924254738</v>
      </c>
      <c r="M947" s="315">
        <f>K947+L947</f>
        <v>4255510.364192863</v>
      </c>
      <c r="N947" s="301">
        <f>M947</f>
        <v>4255510.364192863</v>
      </c>
      <c r="O947" s="301">
        <f>O$973/100+(O$975+O$976)/$C913</f>
        <v>299.29487179487177</v>
      </c>
    </row>
    <row r="948" spans="1:15" s="345" customFormat="1" ht="13.15" customHeight="1">
      <c r="A948" s="298"/>
      <c r="B948" s="340" t="s">
        <v>192</v>
      </c>
      <c r="C948" s="298" t="s">
        <v>49</v>
      </c>
      <c r="D948" s="298" t="s">
        <v>20</v>
      </c>
      <c r="E948" s="301">
        <f>E$973/100+(E$975+E$976)/$C914</f>
        <v>10406.487361111114</v>
      </c>
      <c r="F948" s="301"/>
      <c r="G948" s="301">
        <f t="shared" si="327"/>
        <v>3730.9376469017093</v>
      </c>
      <c r="H948" s="301">
        <f t="shared" si="327"/>
        <v>1351197.1775</v>
      </c>
      <c r="I948" s="301">
        <f t="shared" si="327"/>
        <v>6359.9271428571419</v>
      </c>
      <c r="J948" s="301">
        <f t="shared" si="327"/>
        <v>53.646599999999999</v>
      </c>
      <c r="K948" s="301">
        <f>SUM(E948:J948)</f>
        <v>1371748.1762508701</v>
      </c>
      <c r="L948" s="301">
        <f>K948*0.15</f>
        <v>205762.22643763051</v>
      </c>
      <c r="M948" s="315">
        <f>K948+L948</f>
        <v>1577510.4026885007</v>
      </c>
      <c r="N948" s="301">
        <f>M948</f>
        <v>1577510.4026885007</v>
      </c>
      <c r="O948" s="301">
        <f>O$973/100+(O$975+O$976)/$C914</f>
        <v>294.62606837606836</v>
      </c>
    </row>
    <row r="949" spans="1:15" s="345" customFormat="1" ht="13.15" customHeight="1">
      <c r="A949" s="298"/>
      <c r="B949" s="340"/>
      <c r="C949" s="298"/>
      <c r="D949" s="298" t="s">
        <v>35</v>
      </c>
      <c r="E949" s="301">
        <f>E$973/100+(E$975+E$976)/$C915</f>
        <v>10358.751180555559</v>
      </c>
      <c r="F949" s="301"/>
      <c r="G949" s="301">
        <f t="shared" si="327"/>
        <v>4959.0637197293454</v>
      </c>
      <c r="H949" s="301">
        <f t="shared" si="327"/>
        <v>676697.17749999999</v>
      </c>
      <c r="I949" s="301">
        <f t="shared" si="327"/>
        <v>8479.2457142857147</v>
      </c>
      <c r="J949" s="301">
        <f t="shared" si="327"/>
        <v>71.677200000000013</v>
      </c>
      <c r="K949" s="301">
        <f>SUM(E949:J949)</f>
        <v>700565.91531457065</v>
      </c>
      <c r="L949" s="301">
        <f>K949*0.15</f>
        <v>105084.88729718559</v>
      </c>
      <c r="M949" s="315">
        <f>K949+L949</f>
        <v>805650.80261175625</v>
      </c>
      <c r="N949" s="301">
        <f>M949</f>
        <v>805650.80261175625</v>
      </c>
      <c r="O949" s="301">
        <f>O$973/100+(O$975+O$976)/$C915</f>
        <v>293.27457264957263</v>
      </c>
    </row>
    <row r="950" spans="1:15" s="345" customFormat="1" ht="13.15" customHeight="1">
      <c r="A950" s="298"/>
      <c r="B950" s="340"/>
      <c r="C950" s="298"/>
      <c r="D950" s="298" t="s">
        <v>33</v>
      </c>
      <c r="E950" s="301">
        <f>E$973/100+(E$975+E$976)/$C916</f>
        <v>10344.711127450984</v>
      </c>
      <c r="F950" s="301"/>
      <c r="G950" s="301">
        <f t="shared" si="327"/>
        <v>5449.9489768728017</v>
      </c>
      <c r="H950" s="301">
        <f t="shared" si="327"/>
        <v>478314.82455882354</v>
      </c>
      <c r="I950" s="301">
        <f t="shared" si="327"/>
        <v>9335.6507142857154</v>
      </c>
      <c r="J950" s="301">
        <f t="shared" si="327"/>
        <v>78.355200000000011</v>
      </c>
      <c r="K950" s="301">
        <f>SUM(E950:J950)</f>
        <v>503523.49057743303</v>
      </c>
      <c r="L950" s="301">
        <f>K950*0.15</f>
        <v>75528.523586614945</v>
      </c>
      <c r="M950" s="315">
        <f>K950+L950</f>
        <v>579052.01416404801</v>
      </c>
      <c r="N950" s="301">
        <f>M950</f>
        <v>579052.01416404801</v>
      </c>
      <c r="O950" s="301">
        <f>O$973/100+(O$975+O$976)/$C916</f>
        <v>292.87707390648563</v>
      </c>
    </row>
    <row r="951" spans="1:15" s="345" customFormat="1">
      <c r="A951" s="298">
        <v>1</v>
      </c>
      <c r="B951" s="316" t="s">
        <v>190</v>
      </c>
      <c r="C951" s="333"/>
      <c r="D951" s="333"/>
      <c r="E951" s="301"/>
      <c r="F951" s="301"/>
      <c r="G951" s="301"/>
      <c r="H951" s="301"/>
      <c r="I951" s="301"/>
      <c r="J951" s="301"/>
      <c r="K951" s="301"/>
      <c r="L951" s="301"/>
      <c r="M951" s="302"/>
      <c r="N951" s="315"/>
      <c r="O951" s="301"/>
    </row>
    <row r="952" spans="1:15" s="345" customFormat="1">
      <c r="A952" s="1043">
        <v>1.1000000000000001</v>
      </c>
      <c r="B952" s="1038" t="str">
        <f>NhanCong!B$150</f>
        <v>Đối soát thực địa (công nhóm/mảnh)</v>
      </c>
      <c r="C952" s="1039" t="s">
        <v>317</v>
      </c>
      <c r="D952" s="319" t="s">
        <v>18</v>
      </c>
      <c r="E952" s="301">
        <f>NhanCong!AC$150</f>
        <v>7769.6475694444453</v>
      </c>
      <c r="F952" s="301"/>
      <c r="G952" s="320">
        <f>Dcu!R$200</f>
        <v>55.871314102564106</v>
      </c>
      <c r="H952" s="320">
        <f>VLieu!F$133</f>
        <v>4047000</v>
      </c>
      <c r="I952" s="320"/>
      <c r="J952" s="320"/>
      <c r="K952" s="320">
        <f t="shared" ref="K952:K959" si="328">SUM(E952:J952)</f>
        <v>4054825.5188835468</v>
      </c>
      <c r="L952" s="320">
        <f>K952*0.25</f>
        <v>1013706.3797208867</v>
      </c>
      <c r="M952" s="321">
        <f t="shared" ref="M952:M959" si="329">K952+L952</f>
        <v>5068531.898604434</v>
      </c>
      <c r="N952" s="321"/>
      <c r="O952" s="320">
        <f>NhanCong!AD$150</f>
        <v>236.51175213675211</v>
      </c>
    </row>
    <row r="953" spans="1:15" s="345" customFormat="1">
      <c r="A953" s="1043"/>
      <c r="B953" s="1038"/>
      <c r="C953" s="1039"/>
      <c r="D953" s="319" t="s">
        <v>20</v>
      </c>
      <c r="E953" s="301">
        <f>NhanCong!AC$151</f>
        <v>9323.5770833333354</v>
      </c>
      <c r="F953" s="301"/>
      <c r="G953" s="320">
        <f>Dcu!R$201</f>
        <v>69.839142628205138</v>
      </c>
      <c r="H953" s="320">
        <f>VLieu!F$133</f>
        <v>4047000</v>
      </c>
      <c r="I953" s="320"/>
      <c r="J953" s="320"/>
      <c r="K953" s="320">
        <f t="shared" si="328"/>
        <v>4056393.4162259614</v>
      </c>
      <c r="L953" s="320">
        <f t="shared" ref="L953:L963" si="330">K953*0.25</f>
        <v>1014098.3540564904</v>
      </c>
      <c r="M953" s="321">
        <f t="shared" si="329"/>
        <v>5070491.770282452</v>
      </c>
      <c r="N953" s="321"/>
      <c r="O953" s="320">
        <f>NhanCong!AD$151</f>
        <v>283.81410256410254</v>
      </c>
    </row>
    <row r="954" spans="1:15" s="345" customFormat="1">
      <c r="A954" s="1043"/>
      <c r="B954" s="1038"/>
      <c r="C954" s="1039"/>
      <c r="D954" s="319" t="s">
        <v>35</v>
      </c>
      <c r="E954" s="301">
        <f>NhanCong!AC$152</f>
        <v>11188.292500000001</v>
      </c>
      <c r="F954" s="301"/>
      <c r="G954" s="320">
        <f>Dcu!R$202</f>
        <v>93.118856837606842</v>
      </c>
      <c r="H954" s="320">
        <f>VLieu!F$133</f>
        <v>4047000</v>
      </c>
      <c r="I954" s="320"/>
      <c r="J954" s="320"/>
      <c r="K954" s="320">
        <f t="shared" si="328"/>
        <v>4058281.4113568375</v>
      </c>
      <c r="L954" s="320">
        <f t="shared" si="330"/>
        <v>1014570.3528392094</v>
      </c>
      <c r="M954" s="321">
        <f t="shared" si="329"/>
        <v>5072851.7641960466</v>
      </c>
      <c r="N954" s="321"/>
      <c r="O954" s="320">
        <f>NhanCong!AD$152</f>
        <v>340.57692307692304</v>
      </c>
    </row>
    <row r="955" spans="1:15" s="345" customFormat="1">
      <c r="A955" s="1043"/>
      <c r="B955" s="1038"/>
      <c r="C955" s="1039"/>
      <c r="D955" s="319" t="s">
        <v>33</v>
      </c>
      <c r="E955" s="301">
        <f>NhanCong!AC$153</f>
        <v>13425.951000000001</v>
      </c>
      <c r="F955" s="301"/>
      <c r="G955" s="320">
        <f>Dcu!R$203</f>
        <v>102.43074252136753</v>
      </c>
      <c r="H955" s="320">
        <f>VLieu!F$133</f>
        <v>4047000</v>
      </c>
      <c r="I955" s="320"/>
      <c r="J955" s="320"/>
      <c r="K955" s="320">
        <f t="shared" si="328"/>
        <v>4060528.3817425212</v>
      </c>
      <c r="L955" s="320">
        <f t="shared" si="330"/>
        <v>1015132.0954356303</v>
      </c>
      <c r="M955" s="321">
        <f t="shared" si="329"/>
        <v>5075660.4771781517</v>
      </c>
      <c r="N955" s="321"/>
      <c r="O955" s="320">
        <f>NhanCong!AD$153</f>
        <v>408.69230769230762</v>
      </c>
    </row>
    <row r="956" spans="1:15" s="345" customFormat="1" ht="12.75" customHeight="1">
      <c r="A956" s="1043">
        <v>1.2</v>
      </c>
      <c r="B956" s="1038" t="str">
        <f>NhanCong!B$156</f>
        <v>Lưới đo vẽ (công nhóm/100 thửa có biến động cần chỉnh lý)</v>
      </c>
      <c r="C956" s="1040" t="s">
        <v>329</v>
      </c>
      <c r="D956" s="319" t="s">
        <v>18</v>
      </c>
      <c r="E956" s="301">
        <f>NhanCong!AC$156</f>
        <v>3479967.5625000009</v>
      </c>
      <c r="F956" s="301"/>
      <c r="G956" s="320">
        <f>Dcu!R$222</f>
        <v>48207.576923076929</v>
      </c>
      <c r="H956" s="320">
        <f>VLieu!P$135</f>
        <v>10462.75</v>
      </c>
      <c r="I956" s="320">
        <f>TBi!N$332</f>
        <v>41935.571428571428</v>
      </c>
      <c r="J956" s="320">
        <f>TBi!N$336</f>
        <v>356.16</v>
      </c>
      <c r="K956" s="320">
        <f t="shared" si="328"/>
        <v>3580929.6208516494</v>
      </c>
      <c r="L956" s="320">
        <f t="shared" si="330"/>
        <v>895232.40521291236</v>
      </c>
      <c r="M956" s="321">
        <f t="shared" si="329"/>
        <v>4476162.0260645617</v>
      </c>
      <c r="N956" s="321"/>
      <c r="O956" s="320">
        <f>NhanCong!AD$156</f>
        <v>98524.038461538468</v>
      </c>
    </row>
    <row r="957" spans="1:15" s="345" customFormat="1">
      <c r="A957" s="1043"/>
      <c r="B957" s="1038"/>
      <c r="C957" s="1039" t="s">
        <v>49</v>
      </c>
      <c r="D957" s="319" t="s">
        <v>20</v>
      </c>
      <c r="E957" s="301">
        <f>NhanCong!AC$157</f>
        <v>3995518.3125000009</v>
      </c>
      <c r="F957" s="301"/>
      <c r="G957" s="320">
        <f>Dcu!R$223</f>
        <v>60259.471153846156</v>
      </c>
      <c r="H957" s="320">
        <f>VLieu!P$135</f>
        <v>10462.75</v>
      </c>
      <c r="I957" s="320">
        <f>TBi!O$332</f>
        <v>47649.428571428572</v>
      </c>
      <c r="J957" s="320">
        <f>TBi!O$336</f>
        <v>445.20000000000005</v>
      </c>
      <c r="K957" s="320">
        <f t="shared" si="328"/>
        <v>4114335.1622252758</v>
      </c>
      <c r="L957" s="320">
        <f t="shared" si="330"/>
        <v>1028583.7905563189</v>
      </c>
      <c r="M957" s="321">
        <f t="shared" si="329"/>
        <v>5142918.9527815944</v>
      </c>
      <c r="N957" s="321"/>
      <c r="O957" s="320">
        <f>NhanCong!AD$157</f>
        <v>113120.19230769231</v>
      </c>
    </row>
    <row r="958" spans="1:15" s="345" customFormat="1">
      <c r="A958" s="1043"/>
      <c r="B958" s="1038"/>
      <c r="C958" s="1039"/>
      <c r="D958" s="319" t="s">
        <v>35</v>
      </c>
      <c r="E958" s="301">
        <f>NhanCong!AC$158</f>
        <v>5327357.7500000019</v>
      </c>
      <c r="F958" s="301"/>
      <c r="G958" s="320">
        <f>Dcu!R$224</f>
        <v>80345.961538461546</v>
      </c>
      <c r="H958" s="320">
        <f>VLieu!P$135</f>
        <v>10462.75</v>
      </c>
      <c r="I958" s="320">
        <f>TBi!P$332</f>
        <v>62903.357142857152</v>
      </c>
      <c r="J958" s="320">
        <f>TBi!P$336</f>
        <v>511.98</v>
      </c>
      <c r="K958" s="320">
        <f t="shared" si="328"/>
        <v>5481581.7986813216</v>
      </c>
      <c r="L958" s="320">
        <f t="shared" si="330"/>
        <v>1370395.4496703304</v>
      </c>
      <c r="M958" s="321">
        <f t="shared" si="329"/>
        <v>6851977.2483516522</v>
      </c>
      <c r="N958" s="321"/>
      <c r="O958" s="320">
        <f>NhanCong!AD$158</f>
        <v>150826.92307692309</v>
      </c>
    </row>
    <row r="959" spans="1:15" s="345" customFormat="1">
      <c r="A959" s="1043"/>
      <c r="B959" s="1038"/>
      <c r="C959" s="1039"/>
      <c r="D959" s="319" t="s">
        <v>33</v>
      </c>
      <c r="E959" s="301">
        <f>NhanCong!AC$159</f>
        <v>5842908.5000000019</v>
      </c>
      <c r="F959" s="301"/>
      <c r="G959" s="320">
        <f>Dcu!R$225</f>
        <v>88380.557692307702</v>
      </c>
      <c r="H959" s="320">
        <f>VLieu!P$135</f>
        <v>10462.75</v>
      </c>
      <c r="I959" s="320">
        <f>TBi!Q$332</f>
        <v>69744.21428571429</v>
      </c>
      <c r="J959" s="320">
        <f>TBi!Q$336</f>
        <v>601.0200000000001</v>
      </c>
      <c r="K959" s="320">
        <f t="shared" si="328"/>
        <v>6012097.0419780239</v>
      </c>
      <c r="L959" s="320">
        <f t="shared" si="330"/>
        <v>1503024.260494506</v>
      </c>
      <c r="M959" s="321">
        <f t="shared" si="329"/>
        <v>7515121.3024725299</v>
      </c>
      <c r="N959" s="321"/>
      <c r="O959" s="320">
        <f>NhanCong!AD$159</f>
        <v>165423.07692307694</v>
      </c>
    </row>
    <row r="960" spans="1:15" s="345" customFormat="1" ht="12.75" customHeight="1">
      <c r="A960" s="1043">
        <v>1.3</v>
      </c>
      <c r="B960" s="1038" t="str">
        <f>NhanCong!B$162</f>
        <v>Đo đạc ranh giới thửa đất và các đối tượng địa lý có liên quan (công nhóm/100 thửa có biến động cần chỉnh lý)</v>
      </c>
      <c r="C960" s="1040" t="s">
        <v>329</v>
      </c>
      <c r="D960" s="319" t="s">
        <v>18</v>
      </c>
      <c r="E960" s="301">
        <f>NhanCong!AC$162</f>
        <v>51340262.187500007</v>
      </c>
      <c r="F960" s="301">
        <f>NhanCong!AC$163</f>
        <v>3041753.846153846</v>
      </c>
      <c r="G960" s="320">
        <f>Dcu!R$246</f>
        <v>248405.05769230769</v>
      </c>
      <c r="H960" s="320">
        <f>VLieu!P$145</f>
        <v>209255</v>
      </c>
      <c r="I960" s="320">
        <f>TBi!N$367</f>
        <v>510107.14285714284</v>
      </c>
      <c r="J960" s="320">
        <f>TBi!N$371</f>
        <v>4340.7</v>
      </c>
      <c r="K960" s="320">
        <f t="shared" ref="K960:K963" si="331">SUM(E960:J960)</f>
        <v>55354123.934203304</v>
      </c>
      <c r="L960" s="320">
        <f t="shared" si="330"/>
        <v>13838530.983550826</v>
      </c>
      <c r="M960" s="321">
        <f t="shared" ref="M960:M963" si="332">K960+L960</f>
        <v>69192654.917754129</v>
      </c>
      <c r="N960" s="321"/>
      <c r="O960" s="320">
        <f>NhanCong!AD$162</f>
        <v>1453533.6538461538</v>
      </c>
    </row>
    <row r="961" spans="1:15" s="345" customFormat="1">
      <c r="A961" s="1043"/>
      <c r="B961" s="1038"/>
      <c r="C961" s="1039" t="s">
        <v>49</v>
      </c>
      <c r="D961" s="319" t="s">
        <v>20</v>
      </c>
      <c r="E961" s="301">
        <f>NhanCong!AC$164</f>
        <v>61608314.625000015</v>
      </c>
      <c r="F961" s="301">
        <f>NhanCong!AC$165</f>
        <v>3647557.6923076925</v>
      </c>
      <c r="G961" s="320">
        <f>Dcu!R$247</f>
        <v>310506.32211538462</v>
      </c>
      <c r="H961" s="320">
        <f>VLieu!P$145</f>
        <v>209255</v>
      </c>
      <c r="I961" s="320">
        <f>TBi!O$367</f>
        <v>588343.28571428568</v>
      </c>
      <c r="J961" s="320">
        <f>TBi!O$371</f>
        <v>4919.46</v>
      </c>
      <c r="K961" s="320">
        <f t="shared" si="331"/>
        <v>66368896.385137379</v>
      </c>
      <c r="L961" s="320">
        <f t="shared" si="330"/>
        <v>16592224.096284345</v>
      </c>
      <c r="M961" s="321">
        <f t="shared" si="332"/>
        <v>82961120.481421724</v>
      </c>
      <c r="N961" s="321"/>
      <c r="O961" s="320">
        <f>NhanCong!AD$164</f>
        <v>1744240.3846153847</v>
      </c>
    </row>
    <row r="962" spans="1:15" s="345" customFormat="1">
      <c r="A962" s="1043"/>
      <c r="B962" s="1038"/>
      <c r="C962" s="1039"/>
      <c r="D962" s="319" t="s">
        <v>35</v>
      </c>
      <c r="E962" s="301">
        <f>NhanCong!AC$166</f>
        <v>73917088.781250015</v>
      </c>
      <c r="F962" s="301">
        <f>NhanCong!AC$167</f>
        <v>4377069.230769231</v>
      </c>
      <c r="G962" s="320">
        <f>Dcu!R$248</f>
        <v>414008.4294871795</v>
      </c>
      <c r="H962" s="320">
        <f>VLieu!P$145</f>
        <v>209255</v>
      </c>
      <c r="I962" s="320">
        <f>TBi!P$367</f>
        <v>785021.21428571432</v>
      </c>
      <c r="J962" s="320">
        <f>TBi!P$371</f>
        <v>6655.7400000000007</v>
      </c>
      <c r="K962" s="320">
        <f t="shared" si="331"/>
        <v>79709098.395792142</v>
      </c>
      <c r="L962" s="320">
        <f t="shared" si="330"/>
        <v>19927274.598948035</v>
      </c>
      <c r="M962" s="321">
        <f t="shared" si="332"/>
        <v>99636372.994740173</v>
      </c>
      <c r="N962" s="321"/>
      <c r="O962" s="320">
        <f>NhanCong!AD$166</f>
        <v>2092723.5576923075</v>
      </c>
    </row>
    <row r="963" spans="1:15" s="345" customFormat="1">
      <c r="A963" s="1043"/>
      <c r="B963" s="1038"/>
      <c r="C963" s="1039"/>
      <c r="D963" s="319" t="s">
        <v>33</v>
      </c>
      <c r="E963" s="301">
        <f>NhanCong!AC$168</f>
        <v>88717691.562500015</v>
      </c>
      <c r="F963" s="301">
        <f>NhanCong!AC$169</f>
        <v>5253938.461538462</v>
      </c>
      <c r="G963" s="320">
        <f>Dcu!R$249</f>
        <v>455409.2724358975</v>
      </c>
      <c r="H963" s="320">
        <f>VLieu!P$145</f>
        <v>209255</v>
      </c>
      <c r="I963" s="320">
        <f>TBi!Q$367</f>
        <v>863820.85714285716</v>
      </c>
      <c r="J963" s="320">
        <f>TBi!Q$371</f>
        <v>7234.5</v>
      </c>
      <c r="K963" s="320">
        <f t="shared" si="331"/>
        <v>95507349.653617233</v>
      </c>
      <c r="L963" s="320">
        <f t="shared" si="330"/>
        <v>23876837.413404308</v>
      </c>
      <c r="M963" s="321">
        <f t="shared" si="332"/>
        <v>119384187.06702155</v>
      </c>
      <c r="N963" s="321"/>
      <c r="O963" s="320">
        <f>NhanCong!AD$168</f>
        <v>2511754.8076923075</v>
      </c>
    </row>
    <row r="964" spans="1:15" s="345" customFormat="1">
      <c r="A964" s="298">
        <v>2</v>
      </c>
      <c r="B964" s="316" t="s">
        <v>192</v>
      </c>
      <c r="C964" s="319"/>
      <c r="D964" s="319"/>
      <c r="E964" s="301"/>
      <c r="F964" s="301"/>
      <c r="G964" s="320"/>
      <c r="H964" s="320"/>
      <c r="I964" s="320"/>
      <c r="J964" s="320"/>
      <c r="K964" s="320"/>
      <c r="L964" s="320"/>
      <c r="M964" s="321"/>
      <c r="N964" s="321"/>
      <c r="O964" s="320"/>
    </row>
    <row r="965" spans="1:15" s="345" customFormat="1">
      <c r="A965" s="1043" t="s">
        <v>268</v>
      </c>
      <c r="B965" s="1038" t="str">
        <f>NhanCong!B$173</f>
        <v>Số hóa BĐĐC: Áp dụng theo mức quy định tại Điều 8, Chương I</v>
      </c>
      <c r="C965" s="1039" t="s">
        <v>317</v>
      </c>
      <c r="D965" s="319" t="s">
        <v>18</v>
      </c>
      <c r="E965" s="301">
        <f t="shared" ref="E965:J968" si="333">E490</f>
        <v>9967.3145000000022</v>
      </c>
      <c r="F965" s="301">
        <f t="shared" si="333"/>
        <v>0</v>
      </c>
      <c r="G965" s="301">
        <f t="shared" si="333"/>
        <v>104.53232886989554</v>
      </c>
      <c r="H965" s="301">
        <f t="shared" si="333"/>
        <v>122.33333333333333</v>
      </c>
      <c r="I965" s="301">
        <f t="shared" si="333"/>
        <v>745.40651428571425</v>
      </c>
      <c r="J965" s="301">
        <f t="shared" si="333"/>
        <v>237.04426666666666</v>
      </c>
      <c r="K965" s="320">
        <f>SUM(E965:J965)</f>
        <v>11176.630943155611</v>
      </c>
      <c r="L965" s="320">
        <f>K965*0.15</f>
        <v>1676.4946414733415</v>
      </c>
      <c r="M965" s="321">
        <f>K965+L965</f>
        <v>12853.125584628953</v>
      </c>
      <c r="N965" s="301"/>
      <c r="O965" s="301">
        <f>O490</f>
        <v>282.19230769230762</v>
      </c>
    </row>
    <row r="966" spans="1:15" s="345" customFormat="1">
      <c r="A966" s="1043"/>
      <c r="B966" s="1038"/>
      <c r="C966" s="1039"/>
      <c r="D966" s="319" t="s">
        <v>20</v>
      </c>
      <c r="E966" s="301">
        <f t="shared" si="333"/>
        <v>11296.28976666667</v>
      </c>
      <c r="F966" s="301">
        <f t="shared" si="333"/>
        <v>0</v>
      </c>
      <c r="G966" s="301">
        <f t="shared" si="333"/>
        <v>119.66200804843304</v>
      </c>
      <c r="H966" s="301">
        <f t="shared" si="333"/>
        <v>122.33333333333333</v>
      </c>
      <c r="I966" s="301">
        <f t="shared" si="333"/>
        <v>980.23466190476177</v>
      </c>
      <c r="J966" s="301">
        <f t="shared" si="333"/>
        <v>313.12399999999997</v>
      </c>
      <c r="K966" s="320">
        <f>SUM(E966:J966)</f>
        <v>12831.6437699532</v>
      </c>
      <c r="L966" s="320">
        <f>K966*0.15</f>
        <v>1924.7465654929799</v>
      </c>
      <c r="M966" s="321">
        <f>K966+L966</f>
        <v>14756.39033544618</v>
      </c>
      <c r="N966" s="301">
        <f>N640</f>
        <v>0</v>
      </c>
      <c r="O966" s="301">
        <f>O491</f>
        <v>319.8179487179487</v>
      </c>
    </row>
    <row r="967" spans="1:15" s="345" customFormat="1">
      <c r="A967" s="1043"/>
      <c r="B967" s="1038"/>
      <c r="C967" s="1039"/>
      <c r="D967" s="319" t="s">
        <v>35</v>
      </c>
      <c r="E967" s="301">
        <f t="shared" si="333"/>
        <v>12827.666438888891</v>
      </c>
      <c r="F967" s="301">
        <f t="shared" si="333"/>
        <v>0</v>
      </c>
      <c r="G967" s="301">
        <f t="shared" si="333"/>
        <v>137.54253798670464</v>
      </c>
      <c r="H967" s="301">
        <f t="shared" si="333"/>
        <v>122.33333333333333</v>
      </c>
      <c r="I967" s="301">
        <f t="shared" si="333"/>
        <v>1171.2626928571428</v>
      </c>
      <c r="J967" s="301">
        <f t="shared" si="333"/>
        <v>373.02813333333336</v>
      </c>
      <c r="K967" s="320">
        <f>SUM(E967:J967)</f>
        <v>14631.833136399406</v>
      </c>
      <c r="L967" s="320">
        <f>K967*0.15</f>
        <v>2194.7749704599109</v>
      </c>
      <c r="M967" s="321">
        <f>K967+L967</f>
        <v>16826.608106859316</v>
      </c>
      <c r="N967" s="301">
        <f>N641</f>
        <v>0</v>
      </c>
      <c r="O967" s="301">
        <f>O492</f>
        <v>363.17393162393154</v>
      </c>
    </row>
    <row r="968" spans="1:15" s="345" customFormat="1">
      <c r="A968" s="1043"/>
      <c r="B968" s="1038"/>
      <c r="C968" s="1039"/>
      <c r="D968" s="319" t="s">
        <v>33</v>
      </c>
      <c r="E968" s="301">
        <f t="shared" si="333"/>
        <v>14588.17677777778</v>
      </c>
      <c r="F968" s="301">
        <f t="shared" si="333"/>
        <v>0</v>
      </c>
      <c r="G968" s="301">
        <f t="shared" si="333"/>
        <v>158.17391868471032</v>
      </c>
      <c r="H968" s="301">
        <f t="shared" si="333"/>
        <v>122.33333333333333</v>
      </c>
      <c r="I968" s="301">
        <f t="shared" si="333"/>
        <v>1401.003676984127</v>
      </c>
      <c r="J968" s="301">
        <f t="shared" si="333"/>
        <v>444.80426666666671</v>
      </c>
      <c r="K968" s="320">
        <f>SUM(E968:J968)</f>
        <v>16714.491973446617</v>
      </c>
      <c r="L968" s="320">
        <f>K968*0.15</f>
        <v>2507.1737960169926</v>
      </c>
      <c r="M968" s="321">
        <f>K968+L968</f>
        <v>19221.665769463609</v>
      </c>
      <c r="N968" s="301">
        <f>N642</f>
        <v>0</v>
      </c>
      <c r="O968" s="301">
        <f>O493</f>
        <v>413.01709401709394</v>
      </c>
    </row>
    <row r="969" spans="1:15" s="345" customFormat="1" ht="12.75" customHeight="1">
      <c r="A969" s="1043" t="s">
        <v>34</v>
      </c>
      <c r="B969" s="1038" t="str">
        <f>NhanCong!B$174</f>
        <v>Lập bản vẽ BĐĐC (Công nhóm/100 thửa chỉnh lý)</v>
      </c>
      <c r="C969" s="1040" t="s">
        <v>329</v>
      </c>
      <c r="D969" s="319" t="s">
        <v>18</v>
      </c>
      <c r="E969" s="301">
        <f>NhanCong!AC$174</f>
        <v>1723790.2000000007</v>
      </c>
      <c r="F969" s="301"/>
      <c r="G969" s="320">
        <f>Dcu!R$271</f>
        <v>28773.652892307691</v>
      </c>
      <c r="H969" s="320">
        <f>VLieu!P$159</f>
        <v>626800</v>
      </c>
      <c r="I969" s="320">
        <f>TBi!N$404</f>
        <v>17459.622857142858</v>
      </c>
      <c r="J969" s="320">
        <f>TBi!N$408</f>
        <v>69495.72</v>
      </c>
      <c r="K969" s="320">
        <f t="shared" ref="K969:K974" si="334">SUM(E969:J969)</f>
        <v>2466319.1957494514</v>
      </c>
      <c r="L969" s="320">
        <f t="shared" ref="L969:L976" si="335">K969*0.15</f>
        <v>369947.87936241768</v>
      </c>
      <c r="M969" s="321">
        <f t="shared" ref="M969:M974" si="336">K969+L969</f>
        <v>2836267.0751118693</v>
      </c>
      <c r="N969" s="321"/>
      <c r="O969" s="320">
        <f>NhanCong!AD$174</f>
        <v>42815.384615384617</v>
      </c>
    </row>
    <row r="970" spans="1:15" s="345" customFormat="1">
      <c r="A970" s="1043"/>
      <c r="B970" s="1038"/>
      <c r="C970" s="1039"/>
      <c r="D970" s="319" t="s">
        <v>20</v>
      </c>
      <c r="E970" s="301">
        <f>NhanCong!AC$175</f>
        <v>1896169.2200000004</v>
      </c>
      <c r="F970" s="301"/>
      <c r="G970" s="320">
        <f>Dcu!R$272</f>
        <v>35967.066115384616</v>
      </c>
      <c r="H970" s="320">
        <f>VLieu!P$159</f>
        <v>626800</v>
      </c>
      <c r="I970" s="320">
        <f>TBi!O$404</f>
        <v>18360.382142857143</v>
      </c>
      <c r="J970" s="320">
        <f>TBi!O$408</f>
        <v>72946.02</v>
      </c>
      <c r="K970" s="320">
        <f t="shared" si="334"/>
        <v>2650242.6882582423</v>
      </c>
      <c r="L970" s="320">
        <f t="shared" si="335"/>
        <v>397536.40323873633</v>
      </c>
      <c r="M970" s="321">
        <f t="shared" si="336"/>
        <v>3047779.0914969789</v>
      </c>
      <c r="N970" s="321"/>
      <c r="O970" s="320">
        <f>NhanCong!AD$175</f>
        <v>47096.923076923071</v>
      </c>
    </row>
    <row r="971" spans="1:15" s="345" customFormat="1">
      <c r="A971" s="1043"/>
      <c r="B971" s="1038"/>
      <c r="C971" s="1039"/>
      <c r="D971" s="319" t="s">
        <v>35</v>
      </c>
      <c r="E971" s="301">
        <f>NhanCong!AC$176</f>
        <v>2319281.3600000008</v>
      </c>
      <c r="F971" s="301"/>
      <c r="G971" s="320">
        <f>Dcu!R$273</f>
        <v>47956.088153846154</v>
      </c>
      <c r="H971" s="320">
        <f>VLieu!P$159</f>
        <v>626800</v>
      </c>
      <c r="I971" s="320">
        <f>TBi!P$404</f>
        <v>20547.007142857143</v>
      </c>
      <c r="J971" s="320">
        <f>TBi!P$408</f>
        <v>81560.639999999999</v>
      </c>
      <c r="K971" s="320">
        <f t="shared" si="334"/>
        <v>3096145.0952967042</v>
      </c>
      <c r="L971" s="320">
        <f t="shared" si="335"/>
        <v>464421.76429450564</v>
      </c>
      <c r="M971" s="321">
        <f t="shared" si="336"/>
        <v>3560566.8595912098</v>
      </c>
      <c r="N971" s="321"/>
      <c r="O971" s="320">
        <f>NhanCong!AD$176</f>
        <v>57606.153846153844</v>
      </c>
    </row>
    <row r="972" spans="1:15" s="345" customFormat="1">
      <c r="A972" s="1043"/>
      <c r="B972" s="1038"/>
      <c r="C972" s="1039"/>
      <c r="D972" s="319" t="s">
        <v>33</v>
      </c>
      <c r="E972" s="301">
        <f>NhanCong!AC$177</f>
        <v>2491660.3800000008</v>
      </c>
      <c r="F972" s="301"/>
      <c r="G972" s="320">
        <f>Dcu!R$274</f>
        <v>52751.696969230776</v>
      </c>
      <c r="H972" s="320">
        <f>VLieu!P$159</f>
        <v>626800</v>
      </c>
      <c r="I972" s="320">
        <f>TBi!Q$404</f>
        <v>21399.213928571426</v>
      </c>
      <c r="J972" s="320">
        <f>TBi!Q$408</f>
        <v>84899.64</v>
      </c>
      <c r="K972" s="320">
        <f t="shared" si="334"/>
        <v>3277510.930897803</v>
      </c>
      <c r="L972" s="320">
        <f t="shared" si="335"/>
        <v>491626.63963467046</v>
      </c>
      <c r="M972" s="321">
        <f t="shared" si="336"/>
        <v>3769137.5705324737</v>
      </c>
      <c r="N972" s="321"/>
      <c r="O972" s="320">
        <f>NhanCong!AD$177</f>
        <v>61887.692307692312</v>
      </c>
    </row>
    <row r="973" spans="1:15" s="345" customFormat="1" ht="26">
      <c r="A973" s="323" t="s">
        <v>246</v>
      </c>
      <c r="B973" s="324" t="str">
        <f>NhanCong!B$179</f>
        <v>Lập Phiếu đo đạc chỉnh lý thửa đất (Công/100 thửa chỉnh lý)</v>
      </c>
      <c r="C973" s="341" t="s">
        <v>329</v>
      </c>
      <c r="D973" s="341" t="s">
        <v>679</v>
      </c>
      <c r="E973" s="342">
        <f>NhanCong!AC$179</f>
        <v>1031101.5000000002</v>
      </c>
      <c r="F973" s="342"/>
      <c r="G973" s="343">
        <f>Dcu!R$270</f>
        <v>47956.088153846154</v>
      </c>
      <c r="H973" s="320">
        <f>VLieu!P$159</f>
        <v>626800</v>
      </c>
      <c r="I973" s="343"/>
      <c r="J973" s="343"/>
      <c r="K973" s="343">
        <f t="shared" si="334"/>
        <v>1705857.5881538463</v>
      </c>
      <c r="L973" s="320">
        <f t="shared" si="335"/>
        <v>255878.63822307694</v>
      </c>
      <c r="M973" s="344">
        <f t="shared" si="336"/>
        <v>1961736.2263769233</v>
      </c>
      <c r="N973" s="344"/>
      <c r="O973" s="343">
        <f>NhanCong!AD$179</f>
        <v>29192.307692307691</v>
      </c>
    </row>
    <row r="974" spans="1:15" s="345" customFormat="1" ht="26">
      <c r="A974" s="323" t="s">
        <v>271</v>
      </c>
      <c r="B974" s="324" t="str">
        <f>NhanCong!B$180</f>
        <v>Bổ sung sổ mục kê (công nhóm/100 thửa chỉnh lý)</v>
      </c>
      <c r="C974" s="341" t="s">
        <v>329</v>
      </c>
      <c r="D974" s="341" t="s">
        <v>679</v>
      </c>
      <c r="E974" s="342">
        <f>NhanCong!AC$180</f>
        <v>893621.30000000016</v>
      </c>
      <c r="F974" s="342"/>
      <c r="G974" s="343">
        <f>Dcu!R$290</f>
        <v>13800.392222222223</v>
      </c>
      <c r="H974" s="343">
        <f>VLieu!J$170</f>
        <v>120500</v>
      </c>
      <c r="I974" s="343">
        <f>TBi!N$411</f>
        <v>6891.4414285714283</v>
      </c>
      <c r="J974" s="343">
        <f>TBi!N$414</f>
        <v>27379.800000000003</v>
      </c>
      <c r="K974" s="343">
        <f t="shared" si="334"/>
        <v>1062192.9336507937</v>
      </c>
      <c r="L974" s="320">
        <f t="shared" si="335"/>
        <v>159328.94004761905</v>
      </c>
      <c r="M974" s="344">
        <f t="shared" si="336"/>
        <v>1221521.8736984129</v>
      </c>
      <c r="N974" s="344"/>
      <c r="O974" s="343">
        <f>NhanCong!AD$180</f>
        <v>25300</v>
      </c>
    </row>
    <row r="975" spans="1:15" s="345" customFormat="1" ht="26">
      <c r="A975" s="323" t="s">
        <v>365</v>
      </c>
      <c r="B975" s="324" t="str">
        <f>NhanCong!B$181</f>
        <v>Biên tập bản đồ và in (công nhóm/mảnh)</v>
      </c>
      <c r="C975" s="341" t="s">
        <v>317</v>
      </c>
      <c r="D975" s="341" t="s">
        <v>679</v>
      </c>
      <c r="E975" s="342">
        <f>NhanCong!AC$181</f>
        <v>95.472361111111127</v>
      </c>
      <c r="F975" s="342"/>
      <c r="G975" s="343">
        <f>Dcu!R$304</f>
        <v>7.1435598290598312</v>
      </c>
      <c r="H975" s="343">
        <f>VLieu!P$181</f>
        <v>23.362500000000001</v>
      </c>
      <c r="I975" s="343">
        <f>TBi!N$443</f>
        <v>1.5326767857142858</v>
      </c>
      <c r="J975" s="343">
        <f>TBi!N$447</f>
        <v>2.6279166666666667</v>
      </c>
      <c r="K975" s="343">
        <f>SUM(E975:J975)</f>
        <v>130.1390143925519</v>
      </c>
      <c r="L975" s="320">
        <f t="shared" si="335"/>
        <v>19.520852158882786</v>
      </c>
      <c r="M975" s="344">
        <f>K975+L975</f>
        <v>149.65986655143467</v>
      </c>
      <c r="N975" s="344"/>
      <c r="O975" s="343">
        <f>NhanCong!AD$181</f>
        <v>2.7029914529914527</v>
      </c>
    </row>
    <row r="976" spans="1:15" s="345" customFormat="1" ht="26">
      <c r="A976" s="323" t="s">
        <v>366</v>
      </c>
      <c r="B976" s="324" t="str">
        <f>NhanCong!B$182</f>
        <v>Xác nhận hồ sơ các cấp (công nhóm/mảnh)</v>
      </c>
      <c r="C976" s="341" t="s">
        <v>317</v>
      </c>
      <c r="D976" s="341" t="s">
        <v>679</v>
      </c>
      <c r="E976" s="342">
        <f>NhanCong!AC$182</f>
        <v>190.94472222222225</v>
      </c>
      <c r="F976" s="342"/>
      <c r="G976" s="343">
        <f>Dcu!R$304</f>
        <v>7.1435598290598312</v>
      </c>
      <c r="H976" s="343">
        <f>VLieu!P$181</f>
        <v>23.362500000000001</v>
      </c>
      <c r="I976" s="343">
        <f>TBi!N$443</f>
        <v>1.5326767857142858</v>
      </c>
      <c r="J976" s="343">
        <f>TBi!N$447</f>
        <v>2.6279166666666667</v>
      </c>
      <c r="K976" s="343">
        <f>SUM(E976:J976)</f>
        <v>225.61137550366303</v>
      </c>
      <c r="L976" s="320">
        <f t="shared" si="335"/>
        <v>33.841706325549453</v>
      </c>
      <c r="M976" s="344">
        <f>K976+L976</f>
        <v>259.45308182921246</v>
      </c>
      <c r="N976" s="344"/>
      <c r="O976" s="343">
        <f>NhanCong!AD$182</f>
        <v>5.4059829059829054</v>
      </c>
    </row>
    <row r="977" spans="1:15" s="345" customFormat="1" ht="26">
      <c r="A977" s="323" t="s">
        <v>367</v>
      </c>
      <c r="B977" s="324" t="str">
        <f>NhanCong!B$183</f>
        <v>Giao nộp sản phẩm (công nhóm/mảnh)</v>
      </c>
      <c r="C977" s="341" t="s">
        <v>317</v>
      </c>
      <c r="D977" s="341" t="s">
        <v>679</v>
      </c>
      <c r="E977" s="342">
        <f>NhanCong!AC$183</f>
        <v>381.88944444444451</v>
      </c>
      <c r="F977" s="342"/>
      <c r="G977" s="343">
        <f>Dcu!R$304</f>
        <v>7.1435598290598312</v>
      </c>
      <c r="H977" s="343">
        <f>VLieu!P$181</f>
        <v>23.362500000000001</v>
      </c>
      <c r="I977" s="343">
        <f>TBi!N$443</f>
        <v>1.5326767857142858</v>
      </c>
      <c r="J977" s="343">
        <f>TBi!N$447</f>
        <v>2.6279166666666667</v>
      </c>
      <c r="K977" s="343">
        <f>SUM(E977:J977)</f>
        <v>416.55609772588531</v>
      </c>
      <c r="L977" s="320">
        <f>K977*0.15</f>
        <v>62.483414658882793</v>
      </c>
      <c r="M977" s="344">
        <f>K977+L977</f>
        <v>479.0395123847681</v>
      </c>
      <c r="N977" s="344"/>
      <c r="O977" s="343">
        <f>NhanCong!AD$183</f>
        <v>10.811965811965811</v>
      </c>
    </row>
    <row r="978" spans="1:15" ht="20.25" customHeight="1">
      <c r="A978" s="298" t="str">
        <f>L_CViec!A57</f>
        <v>V</v>
      </c>
      <c r="B978" s="314" t="str">
        <f>L_CViec!B57</f>
        <v>TRÍCH ĐO ĐỊA CHÍNH THỬA ĐẤT:</v>
      </c>
      <c r="C978" s="300"/>
      <c r="D978" s="300"/>
      <c r="E978" s="301"/>
      <c r="F978" s="301"/>
      <c r="G978" s="301"/>
      <c r="H978" s="301"/>
      <c r="I978" s="301"/>
      <c r="J978" s="301"/>
      <c r="K978" s="301"/>
      <c r="L978" s="301"/>
      <c r="M978" s="315"/>
      <c r="N978" s="315"/>
      <c r="O978" s="301"/>
    </row>
    <row r="979" spans="1:15">
      <c r="A979" s="298" t="s">
        <v>27</v>
      </c>
      <c r="B979" s="316" t="s">
        <v>298</v>
      </c>
      <c r="C979" s="300"/>
      <c r="D979" s="300"/>
      <c r="E979" s="301"/>
      <c r="F979" s="301"/>
      <c r="G979" s="301"/>
      <c r="H979" s="301"/>
      <c r="I979" s="301"/>
      <c r="J979" s="301"/>
      <c r="K979" s="301"/>
      <c r="L979" s="301"/>
      <c r="M979" s="315"/>
      <c r="N979" s="315"/>
      <c r="O979" s="301"/>
    </row>
    <row r="980" spans="1:15">
      <c r="A980" s="300">
        <v>1</v>
      </c>
      <c r="B980" s="299" t="s">
        <v>623</v>
      </c>
      <c r="C980" s="300" t="s">
        <v>49</v>
      </c>
      <c r="D980" s="348"/>
      <c r="E980" s="301">
        <f>NhanCong!I200+NhanCong!I201</f>
        <v>1887420.4800000004</v>
      </c>
      <c r="F980" s="301"/>
      <c r="G980" s="320">
        <f t="shared" ref="G980:J981" si="337">(G129+G134)*0.02</f>
        <v>1487.4959177025644</v>
      </c>
      <c r="H980" s="320">
        <f t="shared" si="337"/>
        <v>69020.452799999999</v>
      </c>
      <c r="I980" s="320">
        <f t="shared" si="337"/>
        <v>3720.441302857143</v>
      </c>
      <c r="J980" s="320">
        <f t="shared" si="337"/>
        <v>1287.0910079999999</v>
      </c>
      <c r="K980" s="343">
        <f>SUM(E980:J980)</f>
        <v>1962935.9610285603</v>
      </c>
      <c r="L980" s="320">
        <f>K980*0.25</f>
        <v>490733.99025714007</v>
      </c>
      <c r="M980" s="321">
        <f>K980+L980</f>
        <v>2453669.9512857003</v>
      </c>
      <c r="N980" s="321"/>
      <c r="O980" s="320">
        <f>NhanCong!J200+NhanCong!J201</f>
        <v>56049.230769230766</v>
      </c>
    </row>
    <row r="981" spans="1:15">
      <c r="A981" s="300">
        <v>2</v>
      </c>
      <c r="B981" s="299" t="s">
        <v>624</v>
      </c>
      <c r="C981" s="300"/>
      <c r="D981" s="300"/>
      <c r="E981" s="301">
        <f>NhanCong!I197+NhanCong!I198</f>
        <v>2831130.7200000007</v>
      </c>
      <c r="F981" s="301"/>
      <c r="G981" s="320">
        <f t="shared" si="337"/>
        <v>1803.6581947623938</v>
      </c>
      <c r="H981" s="320">
        <f t="shared" si="337"/>
        <v>69020.452799999999</v>
      </c>
      <c r="I981" s="320">
        <f t="shared" si="337"/>
        <v>4549.8212251428577</v>
      </c>
      <c r="J981" s="320">
        <f t="shared" si="337"/>
        <v>1367.6544000000001</v>
      </c>
      <c r="K981" s="343">
        <f>SUM(E981:J981)</f>
        <v>2907872.3066199059</v>
      </c>
      <c r="L981" s="320">
        <f>K981*0.25</f>
        <v>726968.07665497647</v>
      </c>
      <c r="M981" s="321">
        <f>K981+L981</f>
        <v>3634840.3832748821</v>
      </c>
      <c r="N981" s="321"/>
      <c r="O981" s="320">
        <f>NhanCong!J197+NhanCong!J198</f>
        <v>84073.846153846142</v>
      </c>
    </row>
    <row r="982" spans="1:15">
      <c r="A982" s="300"/>
      <c r="B982" s="299"/>
      <c r="C982" s="300"/>
      <c r="D982" s="300"/>
      <c r="E982" s="301"/>
      <c r="F982" s="301"/>
      <c r="G982" s="320"/>
      <c r="H982" s="320"/>
      <c r="I982" s="320"/>
      <c r="J982" s="320"/>
      <c r="K982" s="320"/>
      <c r="L982" s="320"/>
      <c r="M982" s="321"/>
      <c r="N982" s="321"/>
      <c r="O982" s="320"/>
    </row>
    <row r="983" spans="1:15">
      <c r="A983" s="298" t="s">
        <v>28</v>
      </c>
      <c r="B983" s="316" t="s">
        <v>212</v>
      </c>
      <c r="C983" s="300"/>
      <c r="D983" s="300"/>
      <c r="E983" s="301"/>
      <c r="F983" s="301"/>
      <c r="G983" s="301"/>
      <c r="H983" s="301"/>
      <c r="I983" s="301"/>
      <c r="J983" s="301"/>
      <c r="K983" s="301"/>
      <c r="L983" s="301"/>
      <c r="M983" s="315"/>
      <c r="N983" s="315"/>
      <c r="O983" s="301"/>
    </row>
    <row r="984" spans="1:15">
      <c r="A984" s="300">
        <v>1</v>
      </c>
      <c r="B984" s="299" t="s">
        <v>623</v>
      </c>
      <c r="C984" s="300" t="s">
        <v>49</v>
      </c>
      <c r="D984" s="348"/>
      <c r="E984" s="301">
        <f>NhanCong!M200+NhanCong!M201</f>
        <v>2241311.8200000008</v>
      </c>
      <c r="F984" s="301"/>
      <c r="G984" s="320">
        <f>($E984/$E$980)*G$980</f>
        <v>1766.4014022717956</v>
      </c>
      <c r="H984" s="320">
        <f>($E984/$E$980)*H$980</f>
        <v>81961.787700000015</v>
      </c>
      <c r="I984" s="320">
        <f>($E984/$E$980)*I$980</f>
        <v>4418.0240471428579</v>
      </c>
      <c r="J984" s="320">
        <f>($E984/$E$980)*J$980</f>
        <v>1528.4205720000002</v>
      </c>
      <c r="K984" s="343">
        <f>SUM(E984:J984)</f>
        <v>2330986.4537214157</v>
      </c>
      <c r="L984" s="320">
        <f>K984*0.25</f>
        <v>582746.61343035393</v>
      </c>
      <c r="M984" s="321">
        <f>K984+L984</f>
        <v>2913733.0671517695</v>
      </c>
      <c r="N984" s="321"/>
      <c r="O984" s="320">
        <f>NhanCong!N201+NhanCong!N200</f>
        <v>66558.461538461546</v>
      </c>
    </row>
    <row r="985" spans="1:15">
      <c r="A985" s="300">
        <v>2</v>
      </c>
      <c r="B985" s="299" t="s">
        <v>624</v>
      </c>
      <c r="C985" s="300"/>
      <c r="D985" s="300"/>
      <c r="E985" s="301">
        <f>NhanCong!M198+NhanCong!M197</f>
        <v>3361967.7300000004</v>
      </c>
      <c r="F985" s="301"/>
      <c r="G985" s="320">
        <f>($E985/$E$981)*G$981</f>
        <v>2141.8441062803422</v>
      </c>
      <c r="H985" s="320">
        <f>($E985/$E$981)*H$981</f>
        <v>81961.787699999986</v>
      </c>
      <c r="I985" s="320">
        <f>($E985/$E$981)*I$981</f>
        <v>5402.9127048571427</v>
      </c>
      <c r="J985" s="320">
        <f>($E985/$E$981)*J$981</f>
        <v>1624.0895999999998</v>
      </c>
      <c r="K985" s="343">
        <f>SUM(E985:J985)</f>
        <v>3453098.364111138</v>
      </c>
      <c r="L985" s="320">
        <f>K985*0.25</f>
        <v>863274.59102778451</v>
      </c>
      <c r="M985" s="321">
        <f>K985+L985</f>
        <v>4316372.9551389227</v>
      </c>
      <c r="N985" s="321"/>
      <c r="O985" s="320">
        <f>NhanCong!N198+NhanCong!N197</f>
        <v>99837.692307692283</v>
      </c>
    </row>
    <row r="986" spans="1:15">
      <c r="A986" s="300"/>
      <c r="B986" s="299"/>
      <c r="C986" s="300"/>
      <c r="D986" s="300"/>
      <c r="E986" s="301"/>
      <c r="F986" s="301"/>
      <c r="G986" s="320"/>
      <c r="H986" s="320"/>
      <c r="I986" s="320"/>
      <c r="J986" s="320"/>
      <c r="K986" s="320"/>
      <c r="L986" s="320"/>
      <c r="M986" s="321"/>
      <c r="N986" s="321"/>
      <c r="O986" s="320"/>
    </row>
    <row r="987" spans="1:15">
      <c r="A987" s="298" t="s">
        <v>29</v>
      </c>
      <c r="B987" s="316" t="s">
        <v>213</v>
      </c>
      <c r="C987" s="300"/>
      <c r="D987" s="300"/>
      <c r="E987" s="301"/>
      <c r="F987" s="301"/>
      <c r="G987" s="301"/>
      <c r="H987" s="301"/>
      <c r="I987" s="301"/>
      <c r="J987" s="301"/>
      <c r="K987" s="301"/>
      <c r="L987" s="301"/>
      <c r="M987" s="315"/>
      <c r="N987" s="315"/>
      <c r="O987" s="301"/>
    </row>
    <row r="988" spans="1:15">
      <c r="A988" s="300">
        <v>1</v>
      </c>
      <c r="B988" s="299" t="s">
        <v>623</v>
      </c>
      <c r="C988" s="300" t="s">
        <v>49</v>
      </c>
      <c r="D988" s="348"/>
      <c r="E988" s="301">
        <f>NhanCong!Q200+NhanCong!Q201</f>
        <v>2383851.3875000007</v>
      </c>
      <c r="F988" s="301"/>
      <c r="G988" s="320">
        <f>($E988/$E$980)*G$980</f>
        <v>1878.7383335566244</v>
      </c>
      <c r="H988" s="320">
        <f>($E988/$E$980)*H$980</f>
        <v>87174.269812500002</v>
      </c>
      <c r="I988" s="320">
        <f>($E988/$E$980)*I$980</f>
        <v>4698.9948747023818</v>
      </c>
      <c r="J988" s="320">
        <f>($E988/$E$980)*J$980</f>
        <v>1625.6227575</v>
      </c>
      <c r="K988" s="343">
        <f>SUM(E988:J988)</f>
        <v>2479229.0132782599</v>
      </c>
      <c r="L988" s="320">
        <f>K988*0.25</f>
        <v>619807.25331956497</v>
      </c>
      <c r="M988" s="321">
        <f>K988+L988</f>
        <v>3099036.2665978251</v>
      </c>
      <c r="N988" s="321"/>
      <c r="O988" s="320">
        <f>NhanCong!R200+NhanCong!R201</f>
        <v>70791.346153846156</v>
      </c>
    </row>
    <row r="989" spans="1:15">
      <c r="A989" s="300">
        <v>2</v>
      </c>
      <c r="B989" s="299" t="s">
        <v>624</v>
      </c>
      <c r="C989" s="300"/>
      <c r="D989" s="300"/>
      <c r="E989" s="301">
        <f>NhanCong!Q197+NhanCong!Q198</f>
        <v>3563489.1875000009</v>
      </c>
      <c r="F989" s="301"/>
      <c r="G989" s="320">
        <f>($E989/$E$981)*G$981</f>
        <v>2270.2294986158604</v>
      </c>
      <c r="H989" s="320">
        <f>($E989/$E$981)*H$981</f>
        <v>86874.701874999999</v>
      </c>
      <c r="I989" s="320">
        <f>($E989/$E$981)*I$981</f>
        <v>5726.771507341271</v>
      </c>
      <c r="J989" s="320">
        <f>($E989/$E$981)*J$981</f>
        <v>1721.4400000000003</v>
      </c>
      <c r="K989" s="343">
        <f>SUM(E989:J989)</f>
        <v>3660082.330380958</v>
      </c>
      <c r="L989" s="320">
        <f>K989*0.25</f>
        <v>915020.58259523951</v>
      </c>
      <c r="M989" s="321">
        <f>K989+L989</f>
        <v>4575102.9129761979</v>
      </c>
      <c r="N989" s="321"/>
      <c r="O989" s="320">
        <f>NhanCong!R198+NhanCong!R197</f>
        <v>105822.11538461538</v>
      </c>
    </row>
    <row r="990" spans="1:15">
      <c r="A990" s="300"/>
      <c r="B990" s="299"/>
      <c r="C990" s="300"/>
      <c r="D990" s="300"/>
      <c r="E990" s="301"/>
      <c r="F990" s="301"/>
      <c r="G990" s="320"/>
      <c r="H990" s="320"/>
      <c r="I990" s="320"/>
      <c r="J990" s="320"/>
      <c r="K990" s="320"/>
      <c r="L990" s="320"/>
      <c r="M990" s="321"/>
      <c r="N990" s="321"/>
      <c r="O990" s="320"/>
    </row>
    <row r="991" spans="1:15">
      <c r="A991" s="298" t="s">
        <v>30</v>
      </c>
      <c r="B991" s="316" t="s">
        <v>214</v>
      </c>
      <c r="C991" s="300"/>
      <c r="D991" s="300"/>
      <c r="E991" s="301"/>
      <c r="F991" s="301"/>
      <c r="G991" s="301"/>
      <c r="H991" s="301"/>
      <c r="I991" s="301"/>
      <c r="J991" s="301"/>
      <c r="K991" s="301"/>
      <c r="L991" s="301"/>
      <c r="M991" s="315"/>
      <c r="N991" s="315"/>
      <c r="O991" s="301"/>
    </row>
    <row r="992" spans="1:15">
      <c r="A992" s="300">
        <v>1</v>
      </c>
      <c r="B992" s="299" t="s">
        <v>210</v>
      </c>
      <c r="C992" s="300" t="s">
        <v>49</v>
      </c>
      <c r="D992" s="348"/>
      <c r="E992" s="301">
        <f>NhanCong!U200+NhanCong!U201</f>
        <v>2902400.5037500006</v>
      </c>
      <c r="F992" s="301"/>
      <c r="G992" s="320">
        <f>($E992/$E$980)*G$980</f>
        <v>2287.4123421962609</v>
      </c>
      <c r="H992" s="320">
        <f>($E992/$E$980)*H$980</f>
        <v>106136.92025624998</v>
      </c>
      <c r="I992" s="320">
        <f>($E992/$E$980)*I$980</f>
        <v>5721.1473680654763</v>
      </c>
      <c r="J992" s="320">
        <f>($E992/$E$980)*J$980</f>
        <v>1979.2376047499997</v>
      </c>
      <c r="K992" s="343">
        <f>SUM(E992:J992)</f>
        <v>3018525.2213212624</v>
      </c>
      <c r="L992" s="320">
        <f>K992*0.25</f>
        <v>754631.3053303156</v>
      </c>
      <c r="M992" s="321">
        <f>K992+L992</f>
        <v>3773156.526651578</v>
      </c>
      <c r="N992" s="321"/>
      <c r="O992" s="320">
        <f>NhanCong!V201+NhanCong!V200</f>
        <v>86190.288461538454</v>
      </c>
    </row>
    <row r="993" spans="1:15">
      <c r="A993" s="300">
        <v>2</v>
      </c>
      <c r="B993" s="299" t="s">
        <v>211</v>
      </c>
      <c r="C993" s="300"/>
      <c r="D993" s="300"/>
      <c r="E993" s="301">
        <f>NhanCong!U197+NhanCong!U198</f>
        <v>4364659.8600000013</v>
      </c>
      <c r="F993" s="301"/>
      <c r="G993" s="320">
        <f>($E993/$E$981)*G$981</f>
        <v>2780.6397169253573</v>
      </c>
      <c r="H993" s="320">
        <f>($E993/$E$981)*H$981</f>
        <v>106406.53140000001</v>
      </c>
      <c r="I993" s="320">
        <f>($E993/$E$981)*I$981</f>
        <v>7014.3077220952391</v>
      </c>
      <c r="J993" s="320">
        <f>($E993/$E$981)*J$981</f>
        <v>2108.4672000000005</v>
      </c>
      <c r="K993" s="343">
        <f>SUM(E993:J993)</f>
        <v>4482969.8060390214</v>
      </c>
      <c r="L993" s="320">
        <f>K993*0.25</f>
        <v>1120742.4515097553</v>
      </c>
      <c r="M993" s="321">
        <f>K993+L993</f>
        <v>5603712.2575487765</v>
      </c>
      <c r="N993" s="321"/>
      <c r="O993" s="320">
        <f>NhanCong!V197+NhanCong!V198</f>
        <v>129613.84615384613</v>
      </c>
    </row>
    <row r="994" spans="1:15">
      <c r="A994" s="300"/>
      <c r="B994" s="299"/>
      <c r="C994" s="300"/>
      <c r="D994" s="300"/>
      <c r="E994" s="301"/>
      <c r="F994" s="301"/>
      <c r="G994" s="320"/>
      <c r="H994" s="320"/>
      <c r="I994" s="320"/>
      <c r="J994" s="320"/>
      <c r="K994" s="320"/>
      <c r="L994" s="320"/>
      <c r="M994" s="321"/>
      <c r="N994" s="321"/>
      <c r="O994" s="320"/>
    </row>
    <row r="995" spans="1:15">
      <c r="A995" s="298" t="s">
        <v>31</v>
      </c>
      <c r="B995" s="316" t="s">
        <v>215</v>
      </c>
      <c r="C995" s="300"/>
      <c r="D995" s="300"/>
      <c r="E995" s="301"/>
      <c r="F995" s="301"/>
      <c r="G995" s="301"/>
      <c r="H995" s="301"/>
      <c r="I995" s="301"/>
      <c r="J995" s="301"/>
      <c r="K995" s="301"/>
      <c r="L995" s="301"/>
      <c r="M995" s="315"/>
      <c r="N995" s="315"/>
      <c r="O995" s="301"/>
    </row>
    <row r="996" spans="1:15">
      <c r="A996" s="300">
        <v>1</v>
      </c>
      <c r="B996" s="299" t="s">
        <v>623</v>
      </c>
      <c r="C996" s="300" t="s">
        <v>49</v>
      </c>
      <c r="D996" s="348"/>
      <c r="E996" s="301">
        <f>NhanCong!Y201+NhanCong!Y200</f>
        <v>3976362.4175000014</v>
      </c>
      <c r="F996" s="301"/>
      <c r="G996" s="320">
        <f>($E996/$E$980)*G$980</f>
        <v>3133.8130141181632</v>
      </c>
      <c r="H996" s="320">
        <f>($E996/$E$980)*H$980</f>
        <v>145410.2768625</v>
      </c>
      <c r="I996" s="320">
        <f>($E996/$E$980)*I$980</f>
        <v>7838.1172239880962</v>
      </c>
      <c r="J996" s="320">
        <f>($E996/$E$980)*J$980</f>
        <v>2711.6057955000001</v>
      </c>
      <c r="K996" s="343">
        <f>SUM(E996:J996)</f>
        <v>4135456.2303961078</v>
      </c>
      <c r="L996" s="320">
        <f>K996*0.25</f>
        <v>1033864.0575990269</v>
      </c>
      <c r="M996" s="321">
        <f>K996+L996</f>
        <v>5169320.2879951345</v>
      </c>
      <c r="N996" s="321"/>
      <c r="O996" s="320">
        <f>NhanCong!Z201+NhanCong!Z200</f>
        <v>118082.88461538462</v>
      </c>
    </row>
    <row r="997" spans="1:15">
      <c r="A997" s="300">
        <v>2</v>
      </c>
      <c r="B997" s="299" t="s">
        <v>624</v>
      </c>
      <c r="C997" s="300"/>
      <c r="D997" s="300"/>
      <c r="E997" s="301">
        <f>NhanCong!Y197+NhanCong!Y198</f>
        <v>5991576.9925000006</v>
      </c>
      <c r="F997" s="301"/>
      <c r="G997" s="320">
        <f>($E997/$E$981)*G$981</f>
        <v>3817.1169087072185</v>
      </c>
      <c r="H997" s="320">
        <f>($E997/$E$981)*H$981</f>
        <v>146069.32632499997</v>
      </c>
      <c r="I997" s="320">
        <f>($E997/$E$981)*I$981</f>
        <v>9628.8751275158738</v>
      </c>
      <c r="J997" s="320">
        <f>($E997/$E$981)*J$981</f>
        <v>2894.3935999999999</v>
      </c>
      <c r="K997" s="343">
        <f>SUM(E997:J997)</f>
        <v>6153986.7044612244</v>
      </c>
      <c r="L997" s="320">
        <f>K997*0.25</f>
        <v>1538496.6761153061</v>
      </c>
      <c r="M997" s="321">
        <f>K997+L997</f>
        <v>7692483.3805765305</v>
      </c>
      <c r="N997" s="321"/>
      <c r="O997" s="320">
        <f>NhanCong!Z197+NhanCong!Z198</f>
        <v>177927.11538461538</v>
      </c>
    </row>
    <row r="998" spans="1:15">
      <c r="A998" s="300"/>
      <c r="B998" s="299"/>
      <c r="C998" s="300"/>
      <c r="D998" s="300"/>
      <c r="E998" s="301"/>
      <c r="F998" s="301"/>
      <c r="G998" s="320"/>
      <c r="H998" s="320"/>
      <c r="I998" s="320"/>
      <c r="J998" s="320"/>
      <c r="K998" s="320"/>
      <c r="L998" s="320"/>
      <c r="M998" s="321"/>
      <c r="N998" s="321"/>
      <c r="O998" s="320"/>
    </row>
    <row r="999" spans="1:15">
      <c r="A999" s="298" t="s">
        <v>37</v>
      </c>
      <c r="B999" s="316" t="s">
        <v>216</v>
      </c>
      <c r="C999" s="300"/>
      <c r="D999" s="300"/>
      <c r="E999" s="301"/>
      <c r="F999" s="301"/>
      <c r="G999" s="301"/>
      <c r="H999" s="301"/>
      <c r="I999" s="301"/>
      <c r="J999" s="301"/>
      <c r="K999" s="301"/>
      <c r="L999" s="301"/>
      <c r="M999" s="315"/>
      <c r="N999" s="315"/>
      <c r="O999" s="301"/>
    </row>
    <row r="1000" spans="1:15">
      <c r="A1000" s="300">
        <v>1</v>
      </c>
      <c r="B1000" s="299" t="s">
        <v>623</v>
      </c>
      <c r="C1000" s="300" t="s">
        <v>49</v>
      </c>
      <c r="D1000" s="348"/>
      <c r="E1000" s="301">
        <f>NhanCong!AC201+NhanCong!AC200</f>
        <v>6134116.5600000005</v>
      </c>
      <c r="F1000" s="301"/>
      <c r="G1000" s="320">
        <f>($E1000/$E$980)*G$980</f>
        <v>4834.3617325333335</v>
      </c>
      <c r="H1000" s="320">
        <f>($E1000/$E$980)*H$980</f>
        <v>224316.47159999996</v>
      </c>
      <c r="I1000" s="320">
        <f>($E1000/$E$980)*I$980</f>
        <v>12091.434234285713</v>
      </c>
      <c r="J1000" s="320">
        <f>($E1000/$E$980)*J$980</f>
        <v>4183.045775999999</v>
      </c>
      <c r="K1000" s="343">
        <f>SUM(E1000:J1000)</f>
        <v>6379541.8733428195</v>
      </c>
      <c r="L1000" s="320">
        <f>K1000*0.25</f>
        <v>1594885.4683357049</v>
      </c>
      <c r="M1000" s="321">
        <f>K1000+L1000</f>
        <v>7974427.3416785244</v>
      </c>
      <c r="N1000" s="321"/>
      <c r="O1000" s="320">
        <f>NhanCong!AD200+NhanCong!AD201</f>
        <v>182160</v>
      </c>
    </row>
    <row r="1001" spans="1:15">
      <c r="A1001" s="300">
        <v>2</v>
      </c>
      <c r="B1001" s="299" t="s">
        <v>624</v>
      </c>
      <c r="C1001" s="300"/>
      <c r="D1001" s="300"/>
      <c r="E1001" s="301">
        <f>NhanCong!AC197+NhanCong!AC198</f>
        <v>9201174.8400000017</v>
      </c>
      <c r="F1001" s="301"/>
      <c r="G1001" s="320">
        <f>($E1001/$E$981)*G$981</f>
        <v>5861.8891329777798</v>
      </c>
      <c r="H1001" s="320">
        <f>($E1001/$E$981)*H$981</f>
        <v>224316.47159999999</v>
      </c>
      <c r="I1001" s="320">
        <f>($E1001/$E$981)*I$981</f>
        <v>14786.918981714287</v>
      </c>
      <c r="J1001" s="320">
        <f>($E1001/$E$981)*J$981</f>
        <v>4444.8768</v>
      </c>
      <c r="K1001" s="343">
        <f>SUM(E1001:J1001)</f>
        <v>9450584.9965146948</v>
      </c>
      <c r="L1001" s="320">
        <f>K1001*0.25</f>
        <v>2362646.2491286737</v>
      </c>
      <c r="M1001" s="321">
        <f>K1001+L1001</f>
        <v>11813231.245643368</v>
      </c>
      <c r="N1001" s="321"/>
      <c r="O1001" s="320">
        <f>NhanCong!AD197+NhanCong!AD198</f>
        <v>273239.99999999994</v>
      </c>
    </row>
    <row r="1002" spans="1:15">
      <c r="A1002" s="300"/>
      <c r="B1002" s="299"/>
      <c r="C1002" s="300"/>
      <c r="D1002" s="300"/>
      <c r="E1002" s="301"/>
      <c r="F1002" s="301"/>
      <c r="G1002" s="320"/>
      <c r="H1002" s="320"/>
      <c r="I1002" s="320"/>
      <c r="J1002" s="320"/>
      <c r="K1002" s="320"/>
      <c r="L1002" s="320"/>
      <c r="M1002" s="321"/>
      <c r="N1002" s="321"/>
      <c r="O1002" s="320"/>
    </row>
    <row r="1003" spans="1:15" hidden="1">
      <c r="A1003" s="298" t="s">
        <v>299</v>
      </c>
      <c r="B1003" s="316" t="s">
        <v>344</v>
      </c>
      <c r="C1003" s="300"/>
      <c r="D1003" s="300"/>
      <c r="E1003" s="301"/>
      <c r="F1003" s="301"/>
      <c r="G1003" s="301"/>
      <c r="H1003" s="301"/>
      <c r="I1003" s="301"/>
      <c r="J1003" s="301"/>
      <c r="K1003" s="301"/>
      <c r="L1003" s="301"/>
      <c r="M1003" s="315"/>
      <c r="N1003" s="315"/>
      <c r="O1003" s="301"/>
    </row>
    <row r="1004" spans="1:15" hidden="1">
      <c r="A1004" s="300">
        <v>1</v>
      </c>
      <c r="B1004" s="299" t="s">
        <v>210</v>
      </c>
      <c r="C1004" s="300" t="s">
        <v>49</v>
      </c>
      <c r="D1004" s="349">
        <v>1.2</v>
      </c>
      <c r="E1004" s="301">
        <f>$D1004*E$1000</f>
        <v>7360939.8720000004</v>
      </c>
      <c r="F1004" s="301"/>
      <c r="G1004" s="301">
        <f>$D1004*G$1000</f>
        <v>5801.2340790400003</v>
      </c>
      <c r="H1004" s="301">
        <f>$D1004*H$1000</f>
        <v>269179.76591999992</v>
      </c>
      <c r="I1004" s="301">
        <f>$D1004*I$1000</f>
        <v>14509.721081142854</v>
      </c>
      <c r="J1004" s="301">
        <f>$D1004*J$1000</f>
        <v>5019.6549311999988</v>
      </c>
      <c r="K1004" s="343">
        <f>SUM(E1004:J1004)</f>
        <v>7655450.2480113832</v>
      </c>
      <c r="L1004" s="320">
        <f>K1004*0.25</f>
        <v>1913862.5620028458</v>
      </c>
      <c r="M1004" s="321">
        <f>K1004+L1004</f>
        <v>9569312.8100142293</v>
      </c>
      <c r="N1004" s="321"/>
      <c r="O1004" s="301">
        <f>$D1004*O$1000</f>
        <v>218592</v>
      </c>
    </row>
    <row r="1005" spans="1:15" hidden="1">
      <c r="A1005" s="300">
        <v>2</v>
      </c>
      <c r="B1005" s="299" t="s">
        <v>211</v>
      </c>
      <c r="C1005" s="300"/>
      <c r="D1005" s="300">
        <v>1.2</v>
      </c>
      <c r="E1005" s="301">
        <f>$D1005*E$1001</f>
        <v>11041409.808000002</v>
      </c>
      <c r="F1005" s="301"/>
      <c r="G1005" s="301">
        <f>$D1005*G$1001</f>
        <v>7034.266959573336</v>
      </c>
      <c r="H1005" s="301">
        <f>$D1005*H$1001</f>
        <v>269179.76591999998</v>
      </c>
      <c r="I1005" s="301">
        <f>$D1005*I$1001</f>
        <v>17744.302778057143</v>
      </c>
      <c r="J1005" s="301">
        <f>$D1005*J$1001</f>
        <v>5333.8521599999995</v>
      </c>
      <c r="K1005" s="343">
        <f>SUM(E1005:J1005)</f>
        <v>11340701.995817633</v>
      </c>
      <c r="L1005" s="320">
        <f>K1005*0.25</f>
        <v>2835175.4989544083</v>
      </c>
      <c r="M1005" s="321">
        <f>K1005+L1005</f>
        <v>14175877.494772041</v>
      </c>
      <c r="N1005" s="321"/>
      <c r="O1005" s="301">
        <f>$D1005*O$1001</f>
        <v>327887.99999999994</v>
      </c>
    </row>
    <row r="1006" spans="1:15" hidden="1">
      <c r="A1006" s="300"/>
      <c r="B1006" s="299"/>
      <c r="C1006" s="300"/>
      <c r="D1006" s="300"/>
      <c r="E1006" s="301"/>
      <c r="F1006" s="301"/>
      <c r="G1006" s="320"/>
      <c r="H1006" s="320"/>
      <c r="I1006" s="320"/>
      <c r="J1006" s="320"/>
      <c r="K1006" s="320"/>
      <c r="L1006" s="320"/>
      <c r="M1006" s="321"/>
      <c r="N1006" s="321"/>
      <c r="O1006" s="320"/>
    </row>
    <row r="1007" spans="1:15" hidden="1">
      <c r="A1007" s="298" t="s">
        <v>300</v>
      </c>
      <c r="B1007" s="316" t="s">
        <v>345</v>
      </c>
      <c r="C1007" s="300"/>
      <c r="D1007" s="300"/>
      <c r="E1007" s="301"/>
      <c r="F1007" s="301"/>
      <c r="G1007" s="301"/>
      <c r="H1007" s="301"/>
      <c r="I1007" s="301"/>
      <c r="J1007" s="301"/>
      <c r="K1007" s="301"/>
      <c r="L1007" s="301"/>
      <c r="M1007" s="315"/>
      <c r="N1007" s="315"/>
      <c r="O1007" s="301"/>
    </row>
    <row r="1008" spans="1:15" hidden="1">
      <c r="A1008" s="300">
        <v>1</v>
      </c>
      <c r="B1008" s="299" t="s">
        <v>210</v>
      </c>
      <c r="C1008" s="300" t="s">
        <v>49</v>
      </c>
      <c r="D1008" s="349">
        <v>1.3</v>
      </c>
      <c r="E1008" s="301">
        <f>$D1008*E$1000</f>
        <v>7974351.5280000009</v>
      </c>
      <c r="F1008" s="301"/>
      <c r="G1008" s="301">
        <f>$D1008*G$1000</f>
        <v>6284.6702522933338</v>
      </c>
      <c r="H1008" s="301">
        <f>$D1008*H$1000</f>
        <v>291611.41307999997</v>
      </c>
      <c r="I1008" s="301">
        <f>$D1008*I$1000</f>
        <v>15718.864504571427</v>
      </c>
      <c r="J1008" s="301">
        <f>$D1008*J$1000</f>
        <v>5437.9595087999987</v>
      </c>
      <c r="K1008" s="343">
        <f>SUM(E1008:J1008)</f>
        <v>8293404.4353456656</v>
      </c>
      <c r="L1008" s="320">
        <f>K1008*0.25</f>
        <v>2073351.1088364164</v>
      </c>
      <c r="M1008" s="321">
        <f>K1008+L1008</f>
        <v>10366755.544182083</v>
      </c>
      <c r="N1008" s="321"/>
      <c r="O1008" s="301">
        <f>$D1008*O$1000</f>
        <v>236808</v>
      </c>
    </row>
    <row r="1009" spans="1:15" hidden="1">
      <c r="A1009" s="300">
        <v>2</v>
      </c>
      <c r="B1009" s="299" t="s">
        <v>211</v>
      </c>
      <c r="C1009" s="300"/>
      <c r="D1009" s="300">
        <v>1.3</v>
      </c>
      <c r="E1009" s="301">
        <f>$D1009*E$1001</f>
        <v>11961527.292000003</v>
      </c>
      <c r="F1009" s="301"/>
      <c r="G1009" s="301">
        <f>$D1009*G$1001</f>
        <v>7620.4558728711136</v>
      </c>
      <c r="H1009" s="301">
        <f>$D1009*H$1001</f>
        <v>291611.41307999997</v>
      </c>
      <c r="I1009" s="301">
        <f>$D1009*I$1001</f>
        <v>19222.994676228573</v>
      </c>
      <c r="J1009" s="301">
        <f>$D1009*J$1001</f>
        <v>5778.3398400000005</v>
      </c>
      <c r="K1009" s="343">
        <f>SUM(E1009:J1009)</f>
        <v>12285760.495469103</v>
      </c>
      <c r="L1009" s="320">
        <f>K1009*0.25</f>
        <v>3071440.1238672757</v>
      </c>
      <c r="M1009" s="321">
        <f>K1009+L1009</f>
        <v>15357200.619336378</v>
      </c>
      <c r="N1009" s="321"/>
      <c r="O1009" s="301">
        <f>$D1009*O$1001</f>
        <v>355211.99999999994</v>
      </c>
    </row>
    <row r="1010" spans="1:15" hidden="1">
      <c r="A1010" s="300"/>
      <c r="B1010" s="299"/>
      <c r="C1010" s="300"/>
      <c r="D1010" s="300"/>
      <c r="E1010" s="301"/>
      <c r="F1010" s="301"/>
      <c r="G1010" s="320"/>
      <c r="H1010" s="320"/>
      <c r="I1010" s="320"/>
      <c r="J1010" s="320"/>
      <c r="K1010" s="320"/>
      <c r="L1010" s="320"/>
      <c r="M1010" s="321"/>
      <c r="N1010" s="321"/>
      <c r="O1010" s="320"/>
    </row>
    <row r="1011" spans="1:15" hidden="1">
      <c r="A1011" s="298" t="s">
        <v>301</v>
      </c>
      <c r="B1011" s="316" t="s">
        <v>346</v>
      </c>
      <c r="C1011" s="300"/>
      <c r="D1011" s="300"/>
      <c r="E1011" s="301"/>
      <c r="F1011" s="301"/>
      <c r="G1011" s="301"/>
      <c r="H1011" s="301"/>
      <c r="I1011" s="301"/>
      <c r="J1011" s="301"/>
      <c r="K1011" s="301"/>
      <c r="L1011" s="301"/>
      <c r="M1011" s="315"/>
      <c r="N1011" s="315"/>
      <c r="O1011" s="301"/>
    </row>
    <row r="1012" spans="1:15" hidden="1">
      <c r="A1012" s="300">
        <v>1</v>
      </c>
      <c r="B1012" s="299" t="s">
        <v>210</v>
      </c>
      <c r="C1012" s="300" t="s">
        <v>49</v>
      </c>
      <c r="D1012" s="349">
        <v>1.4</v>
      </c>
      <c r="E1012" s="301">
        <f>$D1012*E$1000</f>
        <v>8587763.1840000004</v>
      </c>
      <c r="F1012" s="301"/>
      <c r="G1012" s="301">
        <f>$D1012*G$1000</f>
        <v>6768.1064255466663</v>
      </c>
      <c r="H1012" s="301">
        <f>$D1012*H$1000</f>
        <v>314043.0602399999</v>
      </c>
      <c r="I1012" s="301">
        <f>$D1012*I$1000</f>
        <v>16928.007927999995</v>
      </c>
      <c r="J1012" s="301">
        <f>$D1012*J$1000</f>
        <v>5856.2640863999986</v>
      </c>
      <c r="K1012" s="343">
        <f>SUM(E1012:J1012)</f>
        <v>8931358.6226799469</v>
      </c>
      <c r="L1012" s="320">
        <f>K1012*0.25</f>
        <v>2232839.6556699867</v>
      </c>
      <c r="M1012" s="321">
        <f>K1012+L1012</f>
        <v>11164198.278349934</v>
      </c>
      <c r="N1012" s="321"/>
      <c r="O1012" s="301">
        <f>$D1012*O$1000</f>
        <v>255023.99999999997</v>
      </c>
    </row>
    <row r="1013" spans="1:15" hidden="1">
      <c r="A1013" s="300">
        <v>2</v>
      </c>
      <c r="B1013" s="299" t="s">
        <v>211</v>
      </c>
      <c r="C1013" s="300"/>
      <c r="D1013" s="300">
        <v>1.4</v>
      </c>
      <c r="E1013" s="301">
        <f>$D1013*E$1001</f>
        <v>12881644.776000002</v>
      </c>
      <c r="F1013" s="301"/>
      <c r="G1013" s="301">
        <f>$D1013*G$1001</f>
        <v>8206.6447861688921</v>
      </c>
      <c r="H1013" s="301">
        <f>$D1013*H$1001</f>
        <v>314043.06023999996</v>
      </c>
      <c r="I1013" s="301">
        <f>$D1013*I$1001</f>
        <v>20701.686574399999</v>
      </c>
      <c r="J1013" s="301">
        <f>$D1013*J$1001</f>
        <v>6222.8275199999998</v>
      </c>
      <c r="K1013" s="343">
        <f>SUM(E1013:J1013)</f>
        <v>13230818.995120572</v>
      </c>
      <c r="L1013" s="320">
        <f>K1013*0.25</f>
        <v>3307704.748780143</v>
      </c>
      <c r="M1013" s="321">
        <f>K1013+L1013</f>
        <v>16538523.743900714</v>
      </c>
      <c r="N1013" s="321"/>
      <c r="O1013" s="301">
        <f>$D1013*O$1001</f>
        <v>382535.99999999988</v>
      </c>
    </row>
    <row r="1014" spans="1:15" hidden="1">
      <c r="A1014" s="300"/>
      <c r="B1014" s="299"/>
      <c r="C1014" s="300"/>
      <c r="D1014" s="300"/>
      <c r="E1014" s="301"/>
      <c r="F1014" s="301"/>
      <c r="G1014" s="320"/>
      <c r="H1014" s="320"/>
      <c r="I1014" s="320"/>
      <c r="J1014" s="320"/>
      <c r="K1014" s="320"/>
      <c r="L1014" s="320"/>
      <c r="M1014" s="321"/>
      <c r="N1014" s="321"/>
      <c r="O1014" s="320"/>
    </row>
    <row r="1015" spans="1:15" hidden="1">
      <c r="A1015" s="298" t="s">
        <v>303</v>
      </c>
      <c r="B1015" s="316" t="s">
        <v>347</v>
      </c>
      <c r="C1015" s="300"/>
      <c r="D1015" s="300"/>
      <c r="E1015" s="301"/>
      <c r="F1015" s="301"/>
      <c r="G1015" s="301"/>
      <c r="H1015" s="301"/>
      <c r="I1015" s="301"/>
      <c r="J1015" s="301"/>
      <c r="K1015" s="301"/>
      <c r="L1015" s="301"/>
      <c r="M1015" s="315"/>
      <c r="N1015" s="315"/>
      <c r="O1015" s="301"/>
    </row>
    <row r="1016" spans="1:15" hidden="1">
      <c r="A1016" s="300">
        <v>1</v>
      </c>
      <c r="B1016" s="299" t="s">
        <v>210</v>
      </c>
      <c r="C1016" s="300" t="s">
        <v>49</v>
      </c>
      <c r="D1016" s="349">
        <v>1.6</v>
      </c>
      <c r="E1016" s="301">
        <f>$D1016*E$1000</f>
        <v>9814586.4960000012</v>
      </c>
      <c r="F1016" s="301"/>
      <c r="G1016" s="301">
        <f>$D1016*G$1000</f>
        <v>7734.9787720533341</v>
      </c>
      <c r="H1016" s="301">
        <f>$D1016*H$1000</f>
        <v>358906.35455999995</v>
      </c>
      <c r="I1016" s="301">
        <f>$D1016*I$1000</f>
        <v>19346.294774857142</v>
      </c>
      <c r="J1016" s="301">
        <f>$D1016*J$1000</f>
        <v>6692.8732415999984</v>
      </c>
      <c r="K1016" s="343">
        <f>SUM(E1016:J1016)</f>
        <v>10207266.997348512</v>
      </c>
      <c r="L1016" s="320">
        <f>K1016*0.25</f>
        <v>2551816.7493371279</v>
      </c>
      <c r="M1016" s="321">
        <f>K1016+L1016</f>
        <v>12759083.746685639</v>
      </c>
      <c r="N1016" s="321"/>
      <c r="O1016" s="301">
        <f>$D1016*O$1000</f>
        <v>291456</v>
      </c>
    </row>
    <row r="1017" spans="1:15" hidden="1">
      <c r="A1017" s="300">
        <v>2</v>
      </c>
      <c r="B1017" s="299" t="s">
        <v>211</v>
      </c>
      <c r="C1017" s="300"/>
      <c r="D1017" s="300">
        <v>1.6</v>
      </c>
      <c r="E1017" s="301">
        <f>$D1017*E$1001</f>
        <v>14721879.744000003</v>
      </c>
      <c r="F1017" s="301"/>
      <c r="G1017" s="301">
        <f>$D1017*G$1001</f>
        <v>9379.0226127644473</v>
      </c>
      <c r="H1017" s="301">
        <f>$D1017*H$1001</f>
        <v>358906.35456000001</v>
      </c>
      <c r="I1017" s="301">
        <f>$D1017*I$1001</f>
        <v>23659.070370742862</v>
      </c>
      <c r="J1017" s="301">
        <f>$D1017*J$1001</f>
        <v>7111.8028800000002</v>
      </c>
      <c r="K1017" s="343">
        <f>SUM(E1017:J1017)</f>
        <v>15120935.994423511</v>
      </c>
      <c r="L1017" s="320">
        <f>K1017*0.25</f>
        <v>3780233.9986058776</v>
      </c>
      <c r="M1017" s="321">
        <f>K1017+L1017</f>
        <v>18901169.99302939</v>
      </c>
      <c r="N1017" s="321"/>
      <c r="O1017" s="301">
        <f>$D1017*O$1001</f>
        <v>437183.99999999994</v>
      </c>
    </row>
    <row r="1018" spans="1:15" hidden="1">
      <c r="A1018" s="300"/>
      <c r="B1018" s="299"/>
      <c r="C1018" s="300"/>
      <c r="D1018" s="300"/>
      <c r="E1018" s="301"/>
      <c r="F1018" s="301"/>
      <c r="G1018" s="320"/>
      <c r="H1018" s="320"/>
      <c r="I1018" s="320"/>
      <c r="J1018" s="320"/>
      <c r="K1018" s="320"/>
      <c r="L1018" s="320"/>
      <c r="M1018" s="321"/>
      <c r="N1018" s="321"/>
      <c r="O1018" s="320"/>
    </row>
    <row r="1019" spans="1:15" hidden="1">
      <c r="A1019" s="298" t="s">
        <v>302</v>
      </c>
      <c r="B1019" s="316" t="s">
        <v>348</v>
      </c>
      <c r="C1019" s="300"/>
      <c r="D1019" s="300"/>
      <c r="E1019" s="301"/>
      <c r="F1019" s="301"/>
      <c r="G1019" s="301"/>
      <c r="H1019" s="301"/>
      <c r="I1019" s="301"/>
      <c r="J1019" s="301"/>
      <c r="K1019" s="301"/>
      <c r="L1019" s="301"/>
      <c r="M1019" s="315"/>
      <c r="N1019" s="315"/>
      <c r="O1019" s="301"/>
    </row>
    <row r="1020" spans="1:15" hidden="1">
      <c r="A1020" s="300">
        <v>1</v>
      </c>
      <c r="B1020" s="299" t="s">
        <v>210</v>
      </c>
      <c r="C1020" s="300" t="s">
        <v>49</v>
      </c>
      <c r="D1020" s="349">
        <v>1.8</v>
      </c>
      <c r="E1020" s="301">
        <f>$D1020*E$1000</f>
        <v>11041409.808000002</v>
      </c>
      <c r="F1020" s="301"/>
      <c r="G1020" s="301">
        <f>$D1020*G$1000</f>
        <v>8701.85111856</v>
      </c>
      <c r="H1020" s="301">
        <f>$D1020*H$1000</f>
        <v>403769.64887999994</v>
      </c>
      <c r="I1020" s="301">
        <f>$D1020*I$1000</f>
        <v>21764.581621714282</v>
      </c>
      <c r="J1020" s="301">
        <f>$D1020*J$1000</f>
        <v>7529.4823967999982</v>
      </c>
      <c r="K1020" s="343">
        <f>SUM(E1020:J1020)</f>
        <v>11483175.372017076</v>
      </c>
      <c r="L1020" s="320">
        <f>K1020*0.25</f>
        <v>2870793.8430042691</v>
      </c>
      <c r="M1020" s="321">
        <f>K1020+L1020</f>
        <v>14353969.215021346</v>
      </c>
      <c r="N1020" s="321"/>
      <c r="O1020" s="301">
        <f>$D1020*O$1000</f>
        <v>327888</v>
      </c>
    </row>
    <row r="1021" spans="1:15" hidden="1">
      <c r="A1021" s="300">
        <v>2</v>
      </c>
      <c r="B1021" s="299" t="s">
        <v>211</v>
      </c>
      <c r="C1021" s="300"/>
      <c r="D1021" s="300">
        <v>1.8</v>
      </c>
      <c r="E1021" s="301">
        <f>$D1021*E$1001</f>
        <v>16562114.712000003</v>
      </c>
      <c r="F1021" s="301"/>
      <c r="G1021" s="301">
        <f>$D1021*G$1001</f>
        <v>10551.400439360004</v>
      </c>
      <c r="H1021" s="301">
        <f>$D1021*H$1001</f>
        <v>403769.64887999999</v>
      </c>
      <c r="I1021" s="301">
        <f>$D1021*I$1001</f>
        <v>26616.454167085718</v>
      </c>
      <c r="J1021" s="301">
        <f>$D1021*J$1001</f>
        <v>8000.7782400000006</v>
      </c>
      <c r="K1021" s="343">
        <f>SUM(E1021:J1021)</f>
        <v>17011052.993726447</v>
      </c>
      <c r="L1021" s="320">
        <f>K1021*0.25</f>
        <v>4252763.2484316118</v>
      </c>
      <c r="M1021" s="321">
        <f>K1021+L1021</f>
        <v>21263816.242158059</v>
      </c>
      <c r="N1021" s="321"/>
      <c r="O1021" s="301">
        <f>$D1021*O$1001</f>
        <v>491831.99999999988</v>
      </c>
    </row>
    <row r="1022" spans="1:15" hidden="1">
      <c r="A1022" s="300"/>
      <c r="B1022" s="299"/>
      <c r="C1022" s="300"/>
      <c r="D1022" s="300"/>
      <c r="E1022" s="301"/>
      <c r="F1022" s="301"/>
      <c r="G1022" s="320"/>
      <c r="H1022" s="320"/>
      <c r="I1022" s="320"/>
      <c r="J1022" s="320"/>
      <c r="K1022" s="320"/>
      <c r="L1022" s="320"/>
      <c r="M1022" s="321"/>
      <c r="N1022" s="321"/>
      <c r="O1022" s="320"/>
    </row>
    <row r="1023" spans="1:15" ht="18.75" hidden="1" customHeight="1">
      <c r="A1023" s="300"/>
      <c r="B1023" s="316" t="s">
        <v>219</v>
      </c>
      <c r="C1023" s="300"/>
      <c r="D1023" s="300"/>
      <c r="E1023" s="301"/>
      <c r="F1023" s="301"/>
      <c r="G1023" s="320"/>
      <c r="H1023" s="320"/>
      <c r="I1023" s="320"/>
      <c r="J1023" s="320"/>
      <c r="K1023" s="320"/>
      <c r="L1023" s="320"/>
      <c r="M1023" s="321"/>
      <c r="N1023" s="321"/>
      <c r="O1023" s="320"/>
    </row>
    <row r="1024" spans="1:15" ht="25.5" hidden="1" customHeight="1">
      <c r="A1024" s="300"/>
      <c r="B1024" s="350" t="s">
        <v>304</v>
      </c>
      <c r="C1024" s="300"/>
      <c r="D1024" s="300"/>
      <c r="E1024" s="301"/>
      <c r="F1024" s="301"/>
      <c r="G1024" s="320"/>
      <c r="H1024" s="320"/>
      <c r="I1024" s="320"/>
      <c r="J1024" s="320"/>
      <c r="K1024" s="320"/>
      <c r="L1024" s="320"/>
      <c r="M1024" s="321"/>
      <c r="N1024" s="321"/>
      <c r="O1024" s="320"/>
    </row>
    <row r="1025" spans="1:15" ht="21" hidden="1" customHeight="1">
      <c r="A1025" s="300"/>
      <c r="B1025" s="350" t="s">
        <v>305</v>
      </c>
      <c r="C1025" s="300"/>
      <c r="D1025" s="300"/>
      <c r="E1025" s="301"/>
      <c r="F1025" s="301"/>
      <c r="G1025" s="320"/>
      <c r="H1025" s="320"/>
      <c r="I1025" s="320"/>
      <c r="J1025" s="320"/>
      <c r="K1025" s="320"/>
      <c r="L1025" s="320"/>
      <c r="M1025" s="321"/>
      <c r="N1025" s="321"/>
      <c r="O1025" s="320"/>
    </row>
    <row r="1026" spans="1:15" ht="22.5" hidden="1" customHeight="1">
      <c r="A1026" s="300"/>
      <c r="B1026" s="350" t="s">
        <v>306</v>
      </c>
      <c r="C1026" s="300"/>
      <c r="D1026" s="300"/>
      <c r="E1026" s="301"/>
      <c r="F1026" s="301"/>
      <c r="G1026" s="320"/>
      <c r="H1026" s="320"/>
      <c r="I1026" s="320"/>
      <c r="J1026" s="320"/>
      <c r="K1026" s="320"/>
      <c r="L1026" s="320"/>
      <c r="M1026" s="321"/>
      <c r="N1026" s="321"/>
      <c r="O1026" s="320"/>
    </row>
    <row r="1027" spans="1:15" ht="20.25" hidden="1" customHeight="1">
      <c r="A1027" s="300"/>
      <c r="B1027" s="350" t="s">
        <v>307</v>
      </c>
      <c r="C1027" s="300"/>
      <c r="D1027" s="300"/>
      <c r="E1027" s="301"/>
      <c r="F1027" s="301"/>
      <c r="G1027" s="320"/>
      <c r="H1027" s="320"/>
      <c r="I1027" s="320"/>
      <c r="J1027" s="320"/>
      <c r="K1027" s="320"/>
      <c r="L1027" s="320"/>
      <c r="M1027" s="321"/>
      <c r="N1027" s="321"/>
      <c r="O1027" s="320"/>
    </row>
    <row r="1028" spans="1:15" hidden="1">
      <c r="A1028" s="300"/>
      <c r="B1028" s="299"/>
      <c r="C1028" s="300"/>
      <c r="D1028" s="300"/>
      <c r="E1028" s="301"/>
      <c r="F1028" s="301"/>
      <c r="G1028" s="320"/>
      <c r="H1028" s="320"/>
      <c r="I1028" s="320"/>
      <c r="J1028" s="320"/>
      <c r="K1028" s="320"/>
      <c r="L1028" s="320"/>
      <c r="M1028" s="321"/>
      <c r="N1028" s="321"/>
      <c r="O1028" s="320"/>
    </row>
    <row r="1029" spans="1:15" s="308" customFormat="1" ht="19.5" customHeight="1">
      <c r="A1029" s="298" t="s">
        <v>435</v>
      </c>
      <c r="B1029" s="1027" t="s">
        <v>437</v>
      </c>
      <c r="C1029" s="1028"/>
      <c r="D1029" s="1028"/>
      <c r="E1029" s="1028"/>
      <c r="F1029" s="1028"/>
      <c r="G1029" s="1028"/>
      <c r="H1029" s="1028"/>
      <c r="I1029" s="1028"/>
      <c r="J1029" s="1028"/>
      <c r="K1029" s="1028"/>
      <c r="L1029" s="1028"/>
      <c r="M1029" s="1028"/>
      <c r="N1029" s="1028"/>
      <c r="O1029" s="1028"/>
    </row>
    <row r="1030" spans="1:15" ht="19.5" customHeight="1">
      <c r="A1030" s="300">
        <v>1</v>
      </c>
      <c r="B1030" s="1032" t="s">
        <v>625</v>
      </c>
      <c r="C1030" s="1033"/>
      <c r="D1030" s="1033"/>
      <c r="E1030" s="1033"/>
      <c r="F1030" s="1033"/>
      <c r="G1030" s="1033"/>
      <c r="H1030" s="1033"/>
      <c r="I1030" s="1033"/>
      <c r="J1030" s="1033"/>
      <c r="K1030" s="1033"/>
      <c r="L1030" s="1033"/>
      <c r="M1030" s="1033"/>
      <c r="N1030" s="1033"/>
      <c r="O1030" s="1033"/>
    </row>
    <row r="1031" spans="1:15" ht="19.5" customHeight="1">
      <c r="A1031" s="300">
        <v>2</v>
      </c>
      <c r="B1031" s="1032" t="s">
        <v>626</v>
      </c>
      <c r="C1031" s="1033"/>
      <c r="D1031" s="1033"/>
      <c r="E1031" s="1033"/>
      <c r="F1031" s="1033"/>
      <c r="G1031" s="1033"/>
      <c r="H1031" s="1033"/>
      <c r="I1031" s="1033"/>
      <c r="J1031" s="1033"/>
      <c r="K1031" s="1033"/>
      <c r="L1031" s="1033"/>
      <c r="M1031" s="1033"/>
      <c r="N1031" s="1033"/>
      <c r="O1031" s="1033"/>
    </row>
    <row r="1032" spans="1:15" s="308" customFormat="1" ht="19.5" customHeight="1">
      <c r="A1032" s="298" t="s">
        <v>436</v>
      </c>
      <c r="B1032" s="1027" t="s">
        <v>438</v>
      </c>
      <c r="C1032" s="1028"/>
      <c r="D1032" s="1028"/>
      <c r="E1032" s="1028"/>
      <c r="F1032" s="1028"/>
      <c r="G1032" s="1028"/>
      <c r="H1032" s="1028"/>
      <c r="I1032" s="1028"/>
      <c r="J1032" s="1028"/>
      <c r="K1032" s="1028"/>
      <c r="L1032" s="1028"/>
      <c r="M1032" s="1028"/>
      <c r="N1032" s="1028"/>
      <c r="O1032" s="1028"/>
    </row>
    <row r="1033" spans="1:15" s="308" customFormat="1" ht="38.25" customHeight="1">
      <c r="A1033" s="298" t="s">
        <v>448</v>
      </c>
      <c r="B1033" s="1027" t="s">
        <v>449</v>
      </c>
      <c r="C1033" s="1028"/>
      <c r="D1033" s="1028"/>
      <c r="E1033" s="1028"/>
      <c r="F1033" s="1028"/>
      <c r="G1033" s="1028"/>
      <c r="H1033" s="1028"/>
      <c r="I1033" s="1028"/>
      <c r="J1033" s="1028"/>
      <c r="K1033" s="1028"/>
      <c r="L1033" s="1028"/>
      <c r="M1033" s="1028"/>
      <c r="N1033" s="1028"/>
      <c r="O1033" s="1028"/>
    </row>
    <row r="1034" spans="1:15" s="308" customFormat="1" ht="17.25" customHeight="1">
      <c r="A1034" s="298" t="s">
        <v>450</v>
      </c>
      <c r="B1034" s="1027" t="s">
        <v>627</v>
      </c>
      <c r="C1034" s="1028"/>
      <c r="D1034" s="1028"/>
      <c r="E1034" s="1028"/>
      <c r="F1034" s="1028"/>
      <c r="G1034" s="1028"/>
      <c r="H1034" s="1028"/>
      <c r="I1034" s="1028"/>
      <c r="J1034" s="1028"/>
      <c r="K1034" s="1028"/>
      <c r="L1034" s="1028"/>
      <c r="M1034" s="1028"/>
      <c r="N1034" s="1028"/>
      <c r="O1034" s="1028"/>
    </row>
    <row r="1035" spans="1:15" ht="19.5" customHeight="1">
      <c r="A1035" s="300">
        <v>1</v>
      </c>
      <c r="B1035" s="1032" t="s">
        <v>457</v>
      </c>
      <c r="C1035" s="1033"/>
      <c r="D1035" s="1033"/>
      <c r="E1035" s="1033"/>
      <c r="F1035" s="1033"/>
      <c r="G1035" s="1033"/>
      <c r="H1035" s="1033"/>
      <c r="I1035" s="1033"/>
      <c r="J1035" s="1033"/>
      <c r="K1035" s="1033"/>
      <c r="L1035" s="1033"/>
      <c r="M1035" s="1033"/>
      <c r="N1035" s="1033"/>
      <c r="O1035" s="1033"/>
    </row>
    <row r="1036" spans="1:15" ht="21" customHeight="1">
      <c r="A1036" s="300">
        <v>2</v>
      </c>
      <c r="B1036" s="1032" t="s">
        <v>458</v>
      </c>
      <c r="C1036" s="1033"/>
      <c r="D1036" s="1033"/>
      <c r="E1036" s="1033"/>
      <c r="F1036" s="1033"/>
      <c r="G1036" s="1033"/>
      <c r="H1036" s="1033"/>
      <c r="I1036" s="1033"/>
      <c r="J1036" s="1033"/>
      <c r="K1036" s="1033"/>
      <c r="L1036" s="1033"/>
      <c r="M1036" s="1033"/>
      <c r="N1036" s="1033"/>
      <c r="O1036" s="1033"/>
    </row>
    <row r="1037" spans="1:15" s="308" customFormat="1" ht="12.75" customHeight="1">
      <c r="A1037" s="298" t="s">
        <v>453</v>
      </c>
      <c r="B1037" s="1027" t="s">
        <v>451</v>
      </c>
      <c r="C1037" s="1028"/>
      <c r="D1037" s="1028"/>
      <c r="E1037" s="1028"/>
      <c r="F1037" s="1028"/>
      <c r="G1037" s="1028"/>
      <c r="H1037" s="1028"/>
      <c r="I1037" s="1028"/>
      <c r="J1037" s="1028"/>
      <c r="K1037" s="1028"/>
      <c r="L1037" s="1028"/>
      <c r="M1037" s="1028"/>
      <c r="N1037" s="1028"/>
      <c r="O1037" s="1028"/>
    </row>
    <row r="1038" spans="1:15" ht="28.5" customHeight="1">
      <c r="A1038" s="300">
        <v>1</v>
      </c>
      <c r="B1038" s="1032" t="s">
        <v>628</v>
      </c>
      <c r="C1038" s="1033"/>
      <c r="D1038" s="1033"/>
      <c r="E1038" s="1033"/>
      <c r="F1038" s="1033"/>
      <c r="G1038" s="1033"/>
      <c r="H1038" s="1033"/>
      <c r="I1038" s="1033"/>
      <c r="J1038" s="1033"/>
      <c r="K1038" s="1033"/>
      <c r="L1038" s="1033"/>
      <c r="M1038" s="1033"/>
      <c r="N1038" s="1033"/>
      <c r="O1038" s="1033"/>
    </row>
    <row r="1039" spans="1:15" ht="30.75" customHeight="1">
      <c r="A1039" s="300">
        <v>2</v>
      </c>
      <c r="B1039" s="1032" t="s">
        <v>452</v>
      </c>
      <c r="C1039" s="1033"/>
      <c r="D1039" s="1033"/>
      <c r="E1039" s="1033"/>
      <c r="F1039" s="1033"/>
      <c r="G1039" s="1033"/>
      <c r="H1039" s="1033"/>
      <c r="I1039" s="1033"/>
      <c r="J1039" s="1033"/>
      <c r="K1039" s="1033"/>
      <c r="L1039" s="1033"/>
      <c r="M1039" s="1033"/>
      <c r="N1039" s="1033"/>
      <c r="O1039" s="1033"/>
    </row>
    <row r="1040" spans="1:15" ht="21.75" customHeight="1">
      <c r="A1040" s="300">
        <v>3</v>
      </c>
      <c r="B1040" s="1032" t="s">
        <v>629</v>
      </c>
      <c r="C1040" s="1033"/>
      <c r="D1040" s="1033"/>
      <c r="E1040" s="1033"/>
      <c r="F1040" s="1033"/>
      <c r="G1040" s="1033"/>
      <c r="H1040" s="1033"/>
      <c r="I1040" s="1033"/>
      <c r="J1040" s="1033"/>
      <c r="K1040" s="1033"/>
      <c r="L1040" s="1033"/>
      <c r="M1040" s="1033"/>
      <c r="N1040" s="1033"/>
      <c r="O1040" s="1033"/>
    </row>
    <row r="1041" spans="1:15" s="308" customFormat="1" ht="23.25" customHeight="1">
      <c r="A1041" s="298" t="s">
        <v>459</v>
      </c>
      <c r="B1041" s="1034" t="s">
        <v>460</v>
      </c>
      <c r="C1041" s="1034"/>
      <c r="D1041" s="1034"/>
      <c r="E1041" s="1034"/>
      <c r="F1041" s="1034"/>
      <c r="G1041" s="1034"/>
      <c r="H1041" s="1034"/>
      <c r="I1041" s="1034"/>
      <c r="J1041" s="1034"/>
      <c r="K1041" s="1034"/>
      <c r="L1041" s="1034"/>
      <c r="M1041" s="1034"/>
      <c r="N1041" s="1034"/>
      <c r="O1041" s="1034"/>
    </row>
  </sheetData>
  <mergeCells count="506">
    <mergeCell ref="A969:A972"/>
    <mergeCell ref="B969:B972"/>
    <mergeCell ref="C969:C972"/>
    <mergeCell ref="A960:A963"/>
    <mergeCell ref="B960:B963"/>
    <mergeCell ref="C960:C963"/>
    <mergeCell ref="A965:A968"/>
    <mergeCell ref="B965:B968"/>
    <mergeCell ref="C965:C968"/>
    <mergeCell ref="A942:A945"/>
    <mergeCell ref="B942:B945"/>
    <mergeCell ref="C942:C945"/>
    <mergeCell ref="A952:A955"/>
    <mergeCell ref="B952:B955"/>
    <mergeCell ref="C952:C955"/>
    <mergeCell ref="A956:A959"/>
    <mergeCell ref="B956:B959"/>
    <mergeCell ref="C956:C959"/>
    <mergeCell ref="A929:A932"/>
    <mergeCell ref="B929:B932"/>
    <mergeCell ref="C929:C932"/>
    <mergeCell ref="A933:A936"/>
    <mergeCell ref="B933:B936"/>
    <mergeCell ref="C933:C936"/>
    <mergeCell ref="A938:A941"/>
    <mergeCell ref="B938:B941"/>
    <mergeCell ref="C938:C941"/>
    <mergeCell ref="A924:A927"/>
    <mergeCell ref="B924:B927"/>
    <mergeCell ref="C924:C927"/>
    <mergeCell ref="A899:A902"/>
    <mergeCell ref="B899:B902"/>
    <mergeCell ref="C899:C902"/>
    <mergeCell ref="A913:A916"/>
    <mergeCell ref="B913:B916"/>
    <mergeCell ref="A909:A912"/>
    <mergeCell ref="B909:B912"/>
    <mergeCell ref="A920:A923"/>
    <mergeCell ref="B920:B923"/>
    <mergeCell ref="C920:C923"/>
    <mergeCell ref="A886:A889"/>
    <mergeCell ref="B886:B889"/>
    <mergeCell ref="C886:C889"/>
    <mergeCell ref="A890:A893"/>
    <mergeCell ref="B890:B893"/>
    <mergeCell ref="C890:C893"/>
    <mergeCell ref="A895:A898"/>
    <mergeCell ref="B895:B898"/>
    <mergeCell ref="C895:C898"/>
    <mergeCell ref="A882:A885"/>
    <mergeCell ref="B882:B885"/>
    <mergeCell ref="C882:C885"/>
    <mergeCell ref="A773:A777"/>
    <mergeCell ref="B773:B777"/>
    <mergeCell ref="C773:C777"/>
    <mergeCell ref="A756:A760"/>
    <mergeCell ref="B862:B865"/>
    <mergeCell ref="C862:C865"/>
    <mergeCell ref="A828:A832"/>
    <mergeCell ref="B828:B832"/>
    <mergeCell ref="A843:A846"/>
    <mergeCell ref="B843:B846"/>
    <mergeCell ref="B858:B861"/>
    <mergeCell ref="C858:C861"/>
    <mergeCell ref="A853:A856"/>
    <mergeCell ref="B853:B856"/>
    <mergeCell ref="C828:C832"/>
    <mergeCell ref="A790:A794"/>
    <mergeCell ref="B790:B794"/>
    <mergeCell ref="C790:C794"/>
    <mergeCell ref="C853:C856"/>
    <mergeCell ref="A849:A852"/>
    <mergeCell ref="B849:B852"/>
    <mergeCell ref="A566:A569"/>
    <mergeCell ref="A580:A583"/>
    <mergeCell ref="B562:B565"/>
    <mergeCell ref="A575:A579"/>
    <mergeCell ref="B580:B583"/>
    <mergeCell ref="B618:B622"/>
    <mergeCell ref="A729:A733"/>
    <mergeCell ref="B729:B733"/>
    <mergeCell ref="C801:C805"/>
    <mergeCell ref="B801:B805"/>
    <mergeCell ref="C690:C694"/>
    <mergeCell ref="A690:A694"/>
    <mergeCell ref="B690:B694"/>
    <mergeCell ref="C629:C633"/>
    <mergeCell ref="A629:A633"/>
    <mergeCell ref="A662:A666"/>
    <mergeCell ref="B662:B666"/>
    <mergeCell ref="B673:B677"/>
    <mergeCell ref="B685:B689"/>
    <mergeCell ref="C685:C689"/>
    <mergeCell ref="A685:A689"/>
    <mergeCell ref="C662:C666"/>
    <mergeCell ref="A678:A682"/>
    <mergeCell ref="B678:B682"/>
    <mergeCell ref="A635:A638"/>
    <mergeCell ref="C635:C638"/>
    <mergeCell ref="B657:B661"/>
    <mergeCell ref="C657:C661"/>
    <mergeCell ref="A657:A661"/>
    <mergeCell ref="A646:A650"/>
    <mergeCell ref="B646:B650"/>
    <mergeCell ref="C651:C655"/>
    <mergeCell ref="A7:A11"/>
    <mergeCell ref="B7:B11"/>
    <mergeCell ref="C8:C11"/>
    <mergeCell ref="C14:C17"/>
    <mergeCell ref="A19:A23"/>
    <mergeCell ref="B19:B23"/>
    <mergeCell ref="C20:C23"/>
    <mergeCell ref="C618:C622"/>
    <mergeCell ref="A641:A645"/>
    <mergeCell ref="C646:C650"/>
    <mergeCell ref="A651:A655"/>
    <mergeCell ref="B651:B655"/>
    <mergeCell ref="A618:A622"/>
    <mergeCell ref="B624:B628"/>
    <mergeCell ref="B629:B633"/>
    <mergeCell ref="B635:B638"/>
    <mergeCell ref="B712:B716"/>
    <mergeCell ref="C712:C716"/>
    <mergeCell ref="C729:C733"/>
    <mergeCell ref="A734:A738"/>
    <mergeCell ref="B795:B799"/>
    <mergeCell ref="C795:C799"/>
    <mergeCell ref="A801:A805"/>
    <mergeCell ref="C740:C744"/>
    <mergeCell ref="B724:B728"/>
    <mergeCell ref="C724:C728"/>
    <mergeCell ref="A740:A744"/>
    <mergeCell ref="B718:B722"/>
    <mergeCell ref="C718:C722"/>
    <mergeCell ref="B761:B765"/>
    <mergeCell ref="B734:B738"/>
    <mergeCell ref="C734:C738"/>
    <mergeCell ref="A745:A749"/>
    <mergeCell ref="B745:B749"/>
    <mergeCell ref="C745:C749"/>
    <mergeCell ref="B740:B744"/>
    <mergeCell ref="A724:A728"/>
    <mergeCell ref="C849:C852"/>
    <mergeCell ref="B756:B760"/>
    <mergeCell ref="A839:A842"/>
    <mergeCell ref="A817:A821"/>
    <mergeCell ref="A761:A765"/>
    <mergeCell ref="A768:A772"/>
    <mergeCell ref="B768:B772"/>
    <mergeCell ref="C768:C772"/>
    <mergeCell ref="B817:B821"/>
    <mergeCell ref="C817:C821"/>
    <mergeCell ref="A812:A816"/>
    <mergeCell ref="B812:B816"/>
    <mergeCell ref="B539:B542"/>
    <mergeCell ref="B530:B533"/>
    <mergeCell ref="C575:C579"/>
    <mergeCell ref="A871:A874"/>
    <mergeCell ref="B871:B874"/>
    <mergeCell ref="C871:C874"/>
    <mergeCell ref="A858:A861"/>
    <mergeCell ref="A784:A788"/>
    <mergeCell ref="A823:A827"/>
    <mergeCell ref="B823:B827"/>
    <mergeCell ref="C823:C827"/>
    <mergeCell ref="C779:C783"/>
    <mergeCell ref="A867:A870"/>
    <mergeCell ref="B867:B870"/>
    <mergeCell ref="A807:A811"/>
    <mergeCell ref="B807:B811"/>
    <mergeCell ref="C807:C811"/>
    <mergeCell ref="C867:C870"/>
    <mergeCell ref="B839:B842"/>
    <mergeCell ref="A795:A799"/>
    <mergeCell ref="A862:A865"/>
    <mergeCell ref="C812:C816"/>
    <mergeCell ref="B784:B788"/>
    <mergeCell ref="C701:C705"/>
    <mergeCell ref="A552:A555"/>
    <mergeCell ref="B552:B555"/>
    <mergeCell ref="A590:A594"/>
    <mergeCell ref="B590:B594"/>
    <mergeCell ref="A534:A537"/>
    <mergeCell ref="B534:B537"/>
    <mergeCell ref="C534:C537"/>
    <mergeCell ref="A548:A551"/>
    <mergeCell ref="C624:C628"/>
    <mergeCell ref="A607:A611"/>
    <mergeCell ref="B607:B611"/>
    <mergeCell ref="C607:C611"/>
    <mergeCell ref="C562:C565"/>
    <mergeCell ref="A602:A606"/>
    <mergeCell ref="B602:B606"/>
    <mergeCell ref="A557:A560"/>
    <mergeCell ref="B557:B560"/>
    <mergeCell ref="C557:C560"/>
    <mergeCell ref="A570:A573"/>
    <mergeCell ref="B570:B573"/>
    <mergeCell ref="A539:A542"/>
    <mergeCell ref="C543:C546"/>
    <mergeCell ref="A613:A617"/>
    <mergeCell ref="A543:A546"/>
    <mergeCell ref="A624:A628"/>
    <mergeCell ref="A595:A599"/>
    <mergeCell ref="A562:A565"/>
    <mergeCell ref="B13:B17"/>
    <mergeCell ref="K4:K5"/>
    <mergeCell ref="A65:A68"/>
    <mergeCell ref="B65:B68"/>
    <mergeCell ref="B84:B87"/>
    <mergeCell ref="A75:A78"/>
    <mergeCell ref="C75:C78"/>
    <mergeCell ref="A245:A249"/>
    <mergeCell ref="B245:B249"/>
    <mergeCell ref="A139:A143"/>
    <mergeCell ref="A188:A192"/>
    <mergeCell ref="B188:B192"/>
    <mergeCell ref="A235:A239"/>
    <mergeCell ref="B162:B166"/>
    <mergeCell ref="B167:B171"/>
    <mergeCell ref="A162:A166"/>
    <mergeCell ref="A172:A176"/>
    <mergeCell ref="B172:B176"/>
    <mergeCell ref="A182:A186"/>
    <mergeCell ref="B182:B186"/>
    <mergeCell ref="A205:A209"/>
    <mergeCell ref="B205:B209"/>
    <mergeCell ref="A212:A216"/>
    <mergeCell ref="A223:A227"/>
    <mergeCell ref="A41:A45"/>
    <mergeCell ref="A36:A40"/>
    <mergeCell ref="A84:A87"/>
    <mergeCell ref="A94:A97"/>
    <mergeCell ref="B41:B45"/>
    <mergeCell ref="A1:O1"/>
    <mergeCell ref="A2:O2"/>
    <mergeCell ref="B4:B5"/>
    <mergeCell ref="A26:A30"/>
    <mergeCell ref="B26:B30"/>
    <mergeCell ref="H4:H5"/>
    <mergeCell ref="C26:C30"/>
    <mergeCell ref="N4:N5"/>
    <mergeCell ref="A4:A5"/>
    <mergeCell ref="A79:A82"/>
    <mergeCell ref="B79:B82"/>
    <mergeCell ref="C79:C82"/>
    <mergeCell ref="A31:A35"/>
    <mergeCell ref="B31:B35"/>
    <mergeCell ref="A13:A17"/>
    <mergeCell ref="A46:A50"/>
    <mergeCell ref="A51:A55"/>
    <mergeCell ref="B51:B55"/>
    <mergeCell ref="A102:A105"/>
    <mergeCell ref="B102:B105"/>
    <mergeCell ref="A69:A72"/>
    <mergeCell ref="A88:A91"/>
    <mergeCell ref="B94:B97"/>
    <mergeCell ref="A56:A60"/>
    <mergeCell ref="A98:A101"/>
    <mergeCell ref="B240:B244"/>
    <mergeCell ref="A255:A260"/>
    <mergeCell ref="A286:A290"/>
    <mergeCell ref="B286:B290"/>
    <mergeCell ref="B279:B283"/>
    <mergeCell ref="A297:A301"/>
    <mergeCell ref="B335:B339"/>
    <mergeCell ref="A291:A295"/>
    <mergeCell ref="B291:B295"/>
    <mergeCell ref="A274:A278"/>
    <mergeCell ref="A279:A283"/>
    <mergeCell ref="A302:A306"/>
    <mergeCell ref="B302:B306"/>
    <mergeCell ref="B155:B159"/>
    <mergeCell ref="B144:B148"/>
    <mergeCell ref="A150:A154"/>
    <mergeCell ref="A144:A148"/>
    <mergeCell ref="A110:A113"/>
    <mergeCell ref="A155:A159"/>
    <mergeCell ref="B150:B154"/>
    <mergeCell ref="A409:A412"/>
    <mergeCell ref="A314:A318"/>
    <mergeCell ref="A309:A313"/>
    <mergeCell ref="B309:B313"/>
    <mergeCell ref="B393:B396"/>
    <mergeCell ref="A398:A401"/>
    <mergeCell ref="B314:B318"/>
    <mergeCell ref="A319:A323"/>
    <mergeCell ref="B362:B365"/>
    <mergeCell ref="A348:A351"/>
    <mergeCell ref="B348:B351"/>
    <mergeCell ref="A377:A380"/>
    <mergeCell ref="B377:B380"/>
    <mergeCell ref="A371:A374"/>
    <mergeCell ref="B371:B374"/>
    <mergeCell ref="B139:B143"/>
    <mergeCell ref="A240:A244"/>
    <mergeCell ref="C41:C45"/>
    <mergeCell ref="C98:C101"/>
    <mergeCell ref="B115:B118"/>
    <mergeCell ref="C94:C97"/>
    <mergeCell ref="B110:B113"/>
    <mergeCell ref="C36:C40"/>
    <mergeCell ref="C102:C105"/>
    <mergeCell ref="B75:B78"/>
    <mergeCell ref="B98:B101"/>
    <mergeCell ref="B88:B91"/>
    <mergeCell ref="B36:B40"/>
    <mergeCell ref="B56:B60"/>
    <mergeCell ref="C88:C91"/>
    <mergeCell ref="C84:C87"/>
    <mergeCell ref="C46:C50"/>
    <mergeCell ref="C110:C113"/>
    <mergeCell ref="C115:C118"/>
    <mergeCell ref="B106:B109"/>
    <mergeCell ref="B69:B72"/>
    <mergeCell ref="C65:C68"/>
    <mergeCell ref="C69:C72"/>
    <mergeCell ref="C51:C55"/>
    <mergeCell ref="C56:C60"/>
    <mergeCell ref="B46:B50"/>
    <mergeCell ref="C127:C131"/>
    <mergeCell ref="C106:C109"/>
    <mergeCell ref="A217:A221"/>
    <mergeCell ref="C172:C176"/>
    <mergeCell ref="C150:C154"/>
    <mergeCell ref="C155:C159"/>
    <mergeCell ref="C162:C166"/>
    <mergeCell ref="C167:C171"/>
    <mergeCell ref="C132:C136"/>
    <mergeCell ref="A127:A131"/>
    <mergeCell ref="A177:A181"/>
    <mergeCell ref="B177:B181"/>
    <mergeCell ref="A115:A118"/>
    <mergeCell ref="B217:B221"/>
    <mergeCell ref="C212:C216"/>
    <mergeCell ref="B212:B216"/>
    <mergeCell ref="B200:B204"/>
    <mergeCell ref="A200:A204"/>
    <mergeCell ref="C205:C209"/>
    <mergeCell ref="B127:B131"/>
    <mergeCell ref="A132:A136"/>
    <mergeCell ref="B132:B136"/>
    <mergeCell ref="A167:A171"/>
    <mergeCell ref="A106:A109"/>
    <mergeCell ref="C250:C254"/>
    <mergeCell ref="C223:C227"/>
    <mergeCell ref="A228:A232"/>
    <mergeCell ref="B250:B254"/>
    <mergeCell ref="B235:B239"/>
    <mergeCell ref="C409:C412"/>
    <mergeCell ref="C309:C313"/>
    <mergeCell ref="C314:C318"/>
    <mergeCell ref="C319:C323"/>
    <mergeCell ref="C286:C290"/>
    <mergeCell ref="B297:B301"/>
    <mergeCell ref="B255:B260"/>
    <mergeCell ref="B262:B266"/>
    <mergeCell ref="B274:B278"/>
    <mergeCell ref="C389:C392"/>
    <mergeCell ref="A262:A266"/>
    <mergeCell ref="B223:B227"/>
    <mergeCell ref="A335:A339"/>
    <mergeCell ref="A324:A328"/>
    <mergeCell ref="B324:B328"/>
    <mergeCell ref="A329:A333"/>
    <mergeCell ref="B329:B333"/>
    <mergeCell ref="C377:C380"/>
    <mergeCell ref="B319:B323"/>
    <mergeCell ref="L4:L5"/>
    <mergeCell ref="M4:M5"/>
    <mergeCell ref="B398:B401"/>
    <mergeCell ref="C398:C401"/>
    <mergeCell ref="B385:B388"/>
    <mergeCell ref="C385:C388"/>
    <mergeCell ref="B389:B392"/>
    <mergeCell ref="B381:B384"/>
    <mergeCell ref="C381:C384"/>
    <mergeCell ref="C31:C35"/>
    <mergeCell ref="C4:C5"/>
    <mergeCell ref="D4:D5"/>
    <mergeCell ref="E4:E5"/>
    <mergeCell ref="F4:F5"/>
    <mergeCell ref="G4:G5"/>
    <mergeCell ref="I4:J4"/>
    <mergeCell ref="C188:C192"/>
    <mergeCell ref="C177:C181"/>
    <mergeCell ref="C182:C186"/>
    <mergeCell ref="C139:C143"/>
    <mergeCell ref="C144:C148"/>
    <mergeCell ref="C274:C278"/>
    <mergeCell ref="C217:C221"/>
    <mergeCell ref="C200:C204"/>
    <mergeCell ref="C262:C266"/>
    <mergeCell ref="B228:B232"/>
    <mergeCell ref="C228:C232"/>
    <mergeCell ref="B1029:O1029"/>
    <mergeCell ref="C393:C396"/>
    <mergeCell ref="C539:C542"/>
    <mergeCell ref="A250:A254"/>
    <mergeCell ref="C329:C333"/>
    <mergeCell ref="C335:C339"/>
    <mergeCell ref="C291:C295"/>
    <mergeCell ref="C302:C306"/>
    <mergeCell ref="C255:C260"/>
    <mergeCell ref="C324:C328"/>
    <mergeCell ref="C235:C239"/>
    <mergeCell ref="C240:C244"/>
    <mergeCell ref="C245:C249"/>
    <mergeCell ref="C297:C301"/>
    <mergeCell ref="C279:C283"/>
    <mergeCell ref="A454:A457"/>
    <mergeCell ref="A362:A365"/>
    <mergeCell ref="C362:C365"/>
    <mergeCell ref="A367:A370"/>
    <mergeCell ref="B367:B370"/>
    <mergeCell ref="C367:C370"/>
    <mergeCell ref="A432:A435"/>
    <mergeCell ref="B432:B435"/>
    <mergeCell ref="A428:A431"/>
    <mergeCell ref="B428:B431"/>
    <mergeCell ref="B438:B441"/>
    <mergeCell ref="A381:A384"/>
    <mergeCell ref="A450:A453"/>
    <mergeCell ref="B446:B449"/>
    <mergeCell ref="A442:A445"/>
    <mergeCell ref="B442:B445"/>
    <mergeCell ref="A446:A449"/>
    <mergeCell ref="A423:A426"/>
    <mergeCell ref="B423:B426"/>
    <mergeCell ref="A419:A422"/>
    <mergeCell ref="B419:B422"/>
    <mergeCell ref="A413:A416"/>
    <mergeCell ref="B413:B416"/>
    <mergeCell ref="A438:A441"/>
    <mergeCell ref="A524:A527"/>
    <mergeCell ref="A530:A533"/>
    <mergeCell ref="C570:C573"/>
    <mergeCell ref="C459:C462"/>
    <mergeCell ref="B459:B462"/>
    <mergeCell ref="C442:C445"/>
    <mergeCell ref="C348:C351"/>
    <mergeCell ref="A352:A355"/>
    <mergeCell ref="B352:B355"/>
    <mergeCell ref="C352:C355"/>
    <mergeCell ref="A358:A361"/>
    <mergeCell ref="B358:B361"/>
    <mergeCell ref="C358:C361"/>
    <mergeCell ref="A520:A523"/>
    <mergeCell ref="A385:A388"/>
    <mergeCell ref="A389:A392"/>
    <mergeCell ref="A393:A396"/>
    <mergeCell ref="B409:B412"/>
    <mergeCell ref="A459:A462"/>
    <mergeCell ref="C413:C416"/>
    <mergeCell ref="C428:C431"/>
    <mergeCell ref="C432:C435"/>
    <mergeCell ref="C371:C374"/>
    <mergeCell ref="C419:C422"/>
    <mergeCell ref="C423:C426"/>
    <mergeCell ref="B524:B527"/>
    <mergeCell ref="B450:B453"/>
    <mergeCell ref="B520:B523"/>
    <mergeCell ref="C548:C551"/>
    <mergeCell ref="B641:B645"/>
    <mergeCell ref="C641:C645"/>
    <mergeCell ref="B575:B579"/>
    <mergeCell ref="B595:B599"/>
    <mergeCell ref="C446:C449"/>
    <mergeCell ref="C450:C453"/>
    <mergeCell ref="C454:C457"/>
    <mergeCell ref="C438:C441"/>
    <mergeCell ref="B454:B457"/>
    <mergeCell ref="C530:C533"/>
    <mergeCell ref="B613:B617"/>
    <mergeCell ref="C613:C617"/>
    <mergeCell ref="C566:C569"/>
    <mergeCell ref="B566:B569"/>
    <mergeCell ref="C602:C606"/>
    <mergeCell ref="B543:B546"/>
    <mergeCell ref="B548:B551"/>
    <mergeCell ref="C552:C555"/>
    <mergeCell ref="C580:C583"/>
    <mergeCell ref="B1032:O1032"/>
    <mergeCell ref="B1037:O1037"/>
    <mergeCell ref="A696:A700"/>
    <mergeCell ref="A707:A711"/>
    <mergeCell ref="A712:A716"/>
    <mergeCell ref="B1040:O1040"/>
    <mergeCell ref="B1041:O1041"/>
    <mergeCell ref="B1033:O1033"/>
    <mergeCell ref="B1035:O1035"/>
    <mergeCell ref="B1036:O1036"/>
    <mergeCell ref="B1030:O1030"/>
    <mergeCell ref="B1031:O1031"/>
    <mergeCell ref="B1034:O1034"/>
    <mergeCell ref="B1038:O1038"/>
    <mergeCell ref="B1039:O1039"/>
    <mergeCell ref="B696:B700"/>
    <mergeCell ref="C696:C700"/>
    <mergeCell ref="B707:B711"/>
    <mergeCell ref="C707:C711"/>
    <mergeCell ref="C784:C788"/>
    <mergeCell ref="A779:A783"/>
    <mergeCell ref="B779:B783"/>
    <mergeCell ref="A701:A705"/>
    <mergeCell ref="B701:B705"/>
  </mergeCells>
  <phoneticPr fontId="0" type="noConversion"/>
  <printOptions horizontalCentered="1"/>
  <pageMargins left="0.19685039370078741" right="0.19685039370078741" top="0.39370078740157483" bottom="0.43307086614173229" header="0.27559055118110237" footer="0.23622047244094491"/>
  <pageSetup paperSize="9" firstPageNumber="20" fitToHeight="0" orientation="landscape" useFirstPageNumber="1" horizontalDpi="4294967295" verticalDpi="4294967295" r:id="rId1"/>
  <ignoredErrors>
    <ignoredError sqref="D30 A62 D245:D249 D262:D266 D319:D323 D385:D388 D398:D401 D446:D449 D459:D462 D472:D476 D478:D482 D496:D500 D543 D552 D557:D560 D562:D565 D575:D579 D618 D629 D635:D638 D641:D645 D657:D661 D712:D722 D729:D733 D745:D749 D795 D801:D805 D807:D811 D823:D827 D862:D865 D871 D876:D879 D882:D885 D895:D898 D942:D950 D952:M955 D172:D176 D465:D466 D404:D405 D402:D403 D406:D407 D463:D464 D467:D468 A56 D45 A93:A97 D110:D113 D102:D105 D114:D118 A98:A101 A102:A105 D106:D109 A106:A109 A110:A113 A114:A118 A119:A120 A121:A122 A123:A131 A160:A166 A167:A171 A172:A176 D177:D181 A177:A181 D182:D186 A182:A186 D187:D192 A187:A192 D193:D194 A193:A194 D195:D196 A195:A196 D197:D198 A197:A198 A205:A209 A210:A216 A217:A221 A222:A227 A228:A232 A233:A239 A240:A244 A245:A249 D250:D254 A250:A254 D255:D259 A255:A260 A261:A266 A267:A268 A269:A270 A271:A272 A273:A278 A279:A283 A284:A290 A291:A295 A296:A301 A302:A306 A307:A313 A314:A318 A319:A323 D324:D328 A324:A328 D329:D333 A329:A333 D334:D339 A334:A339 A340:A341 A342:A343 A344:A351 A352:A355 A356:A361 A362:A365 A366:A370 A371:A374 A375:A380 A381:A384 A385:A388 D389:D392 A389:A392 D393:D396 A393:A396 A397:A401 A402:A403 A404:A405 A406:A407 A408:A412 A413:A416 A417:A422 A423:A426 A427:A431 A432:A435 A436:A441 A442:A445 A446:A449 D450:D453 A450:A453 D454:D457 A454:A457 A458:A462 A463:A464 A465:A466 A467:A468 A477:A482 D483:D488 A483:A488 D489:D493 A489:A493 A494:A500 D501:D506 A501:A506 D507:D512 A507:A512 D513:D517 A513:A517 A518:A527 A528:A537 A538:A546 A547:A560 A561:A565 D566:D569 A566:A569 D570:D573 A570:A573 A574:A579 D580:D583 A580:A583 D584 A584:A587 A588 A589:A599 A600:A611 A612:A622 A623:A639 A640:A645 D646:D650 A646:A650 D651:D655 A651:A655 A656:A661 D662:D666 A662:A666 A667:A670 A671 A672:A682 A683:A694 A695:A705 A706:A722 D723:D728 A723:A728 A729:A733 D734:D738 A734:A738 D739:D744 A739:A744 A745:A749 A750:A753 A754 A755:A765 A766:A777 A778:A788 A789:A805 A806:A811 D812:D816 A812:A816 D817:D821 A817:A821 A822:A827 D828:D832 A828:A832 A833:A836 A837 A838:A846 A847:A856 A857:A865 A866:A885 A907 A908:A927 A894:A898 D886:D889 A886:A889 D890:D893 A890:A893 D899:D902 A899:A902 A903:A906 A951:A955 D956:M959 A956:A959 D960:M963 A960:A963 D964:M968 A964:A968 D969:M972 A969:A972 A973:A976 A977 A978:A1041 A144:A148 A149:A154 A155:A159 A199:A204 A469:A476 A928:A936 A937:A950 A132:A136 A137:A143 D31:D35 D36:D40 D46:D50 D51:D55 D56:D60" numberStoredAsText="1"/>
    <ignoredError sqref="G139:G143 G212:G216 H613:H622 H624:H633 H779:H788 H790:H799 H938:H945 O24 G286:G290 G75:G78 G358:G361 H867:H874 G291:G295 G122:H122 G270:J270 H539:H546 H548:H555 H696:H716 H858:H865 H929:H936 K114 K334 G343:H343 K397 G419:G422 G405:H405 G466:H466"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041"/>
  <sheetViews>
    <sheetView showZeros="0" zoomScale="120" zoomScaleNormal="120" workbookViewId="0">
      <pane xSplit="4" ySplit="5" topLeftCell="E6" activePane="bottomRight" state="frozen"/>
      <selection pane="topRight" activeCell="E1" sqref="E1"/>
      <selection pane="bottomLeft" activeCell="A6" sqref="A6"/>
      <selection pane="bottomRight" activeCell="I15" sqref="I15"/>
    </sheetView>
  </sheetViews>
  <sheetFormatPr defaultColWidth="9" defaultRowHeight="13"/>
  <cols>
    <col min="1" max="1" width="4.765625" style="311" customWidth="1"/>
    <col min="2" max="2" width="23.765625" style="303" customWidth="1"/>
    <col min="3" max="3" width="5.69140625" style="311" customWidth="1"/>
    <col min="4" max="4" width="7.07421875" style="311" bestFit="1" customWidth="1"/>
    <col min="5" max="5" width="8.3046875" style="303" bestFit="1" customWidth="1"/>
    <col min="6" max="6" width="9" style="303" bestFit="1" customWidth="1"/>
    <col min="7" max="7" width="7.765625" style="303" customWidth="1"/>
    <col min="8" max="8" width="7.23046875" style="303" customWidth="1"/>
    <col min="9" max="9" width="7.69140625" style="303" bestFit="1" customWidth="1"/>
    <col min="10" max="10" width="7.765625" style="303" customWidth="1"/>
    <col min="11" max="11" width="8.3046875" style="303" bestFit="1" customWidth="1"/>
    <col min="12" max="12" width="10.84375" style="303" customWidth="1"/>
    <col min="13" max="13" width="9.23046875" style="308" customWidth="1"/>
    <col min="14" max="14" width="8.84375" style="308" customWidth="1"/>
    <col min="15" max="15" width="7" style="303" customWidth="1"/>
    <col min="16" max="16384" width="9" style="303"/>
  </cols>
  <sheetData>
    <row r="1" spans="1:15" s="307" customFormat="1" ht="18">
      <c r="A1" s="1044" t="s">
        <v>620</v>
      </c>
      <c r="B1" s="1044"/>
      <c r="C1" s="1044"/>
      <c r="D1" s="1044"/>
      <c r="E1" s="1044"/>
      <c r="F1" s="1044"/>
      <c r="G1" s="1044"/>
      <c r="H1" s="1044"/>
      <c r="I1" s="1044"/>
      <c r="J1" s="1044"/>
      <c r="K1" s="1044"/>
      <c r="L1" s="1044"/>
      <c r="M1" s="1044"/>
      <c r="N1" s="1044"/>
      <c r="O1" s="1044"/>
    </row>
    <row r="2" spans="1:15" s="308" customFormat="1" ht="43.5" customHeight="1">
      <c r="A2" s="1045" t="s">
        <v>308</v>
      </c>
      <c r="B2" s="1045"/>
      <c r="C2" s="1045"/>
      <c r="D2" s="1045"/>
      <c r="E2" s="1045"/>
      <c r="F2" s="1045"/>
      <c r="G2" s="1045"/>
      <c r="H2" s="1045"/>
      <c r="I2" s="1045"/>
      <c r="J2" s="1045"/>
      <c r="K2" s="1045"/>
      <c r="L2" s="1045"/>
      <c r="M2" s="1045"/>
      <c r="N2" s="1045"/>
      <c r="O2" s="1045"/>
    </row>
    <row r="3" spans="1:15" ht="12.75" customHeight="1">
      <c r="A3" s="309"/>
      <c r="B3" s="310"/>
    </row>
    <row r="4" spans="1:15" s="313" customFormat="1" ht="18.75" customHeight="1">
      <c r="A4" s="1042" t="s">
        <v>88</v>
      </c>
      <c r="B4" s="1042" t="s">
        <v>74</v>
      </c>
      <c r="C4" s="1042" t="s">
        <v>70</v>
      </c>
      <c r="D4" s="1042" t="s">
        <v>336</v>
      </c>
      <c r="E4" s="1042" t="s">
        <v>337</v>
      </c>
      <c r="F4" s="1042" t="s">
        <v>338</v>
      </c>
      <c r="G4" s="1042" t="s">
        <v>339</v>
      </c>
      <c r="H4" s="1042" t="s">
        <v>340</v>
      </c>
      <c r="I4" s="1042" t="s">
        <v>83</v>
      </c>
      <c r="J4" s="1042"/>
      <c r="K4" s="1042" t="s">
        <v>341</v>
      </c>
      <c r="L4" s="1042" t="s">
        <v>514</v>
      </c>
      <c r="M4" s="1042" t="s">
        <v>342</v>
      </c>
      <c r="N4" s="1042" t="s">
        <v>343</v>
      </c>
      <c r="O4" s="312" t="s">
        <v>72</v>
      </c>
    </row>
    <row r="5" spans="1:15" s="313" customFormat="1" ht="22.5" customHeight="1">
      <c r="A5" s="1042"/>
      <c r="B5" s="1042"/>
      <c r="C5" s="1042"/>
      <c r="D5" s="1042"/>
      <c r="E5" s="1042"/>
      <c r="F5" s="1042"/>
      <c r="G5" s="1042"/>
      <c r="H5" s="1042"/>
      <c r="I5" s="312" t="s">
        <v>84</v>
      </c>
      <c r="J5" s="312" t="s">
        <v>85</v>
      </c>
      <c r="K5" s="1042"/>
      <c r="L5" s="1042"/>
      <c r="M5" s="1042"/>
      <c r="N5" s="1042"/>
      <c r="O5" s="312">
        <f>L_CBac!L9</f>
        <v>0.1</v>
      </c>
    </row>
    <row r="6" spans="1:15" ht="17.25" customHeight="1">
      <c r="A6" s="298" t="str">
        <f>L_CViec!A7</f>
        <v>I</v>
      </c>
      <c r="B6" s="314" t="str">
        <f>L_CViec!B7</f>
        <v>LƯỚI ĐỊA CHÍNH:</v>
      </c>
      <c r="C6" s="300"/>
      <c r="D6" s="300"/>
      <c r="E6" s="301"/>
      <c r="F6" s="301"/>
      <c r="G6" s="301"/>
      <c r="H6" s="301"/>
      <c r="I6" s="301"/>
      <c r="J6" s="301"/>
      <c r="K6" s="301"/>
      <c r="L6" s="301"/>
      <c r="M6" s="315"/>
      <c r="N6" s="315"/>
      <c r="O6" s="301"/>
    </row>
    <row r="7" spans="1:15" s="308" customFormat="1" ht="12.75" customHeight="1">
      <c r="A7" s="1036"/>
      <c r="B7" s="1037" t="s">
        <v>251</v>
      </c>
      <c r="C7" s="298" t="s">
        <v>82</v>
      </c>
      <c r="D7" s="298">
        <v>1</v>
      </c>
      <c r="E7" s="301">
        <f t="shared" ref="E7:H11" si="0">SUM(E26,E51,E$61)-E$12</f>
        <v>3671256.1187500004</v>
      </c>
      <c r="F7" s="301">
        <f t="shared" si="0"/>
        <v>523938.46153846162</v>
      </c>
      <c r="G7" s="301">
        <f t="shared" si="0"/>
        <v>19514.952991452992</v>
      </c>
      <c r="H7" s="301">
        <f t="shared" si="0"/>
        <v>243226.962</v>
      </c>
      <c r="I7" s="301"/>
      <c r="J7" s="301">
        <f t="shared" ref="J7:O11" si="1">SUM(J26,J51,J$61)-J$12</f>
        <v>0</v>
      </c>
      <c r="K7" s="301">
        <f t="shared" si="1"/>
        <v>4457936.4952799147</v>
      </c>
      <c r="L7" s="301">
        <f t="shared" si="1"/>
        <v>1114484.1238199787</v>
      </c>
      <c r="M7" s="315">
        <f t="shared" si="1"/>
        <v>5572420.6190998936</v>
      </c>
      <c r="N7" s="301">
        <f t="shared" si="1"/>
        <v>0</v>
      </c>
      <c r="O7" s="301">
        <f t="shared" si="1"/>
        <v>111782.21153846153</v>
      </c>
    </row>
    <row r="8" spans="1:15" s="308" customFormat="1" ht="12.75" customHeight="1">
      <c r="A8" s="1036"/>
      <c r="B8" s="1037"/>
      <c r="C8" s="1042" t="s">
        <v>388</v>
      </c>
      <c r="D8" s="298">
        <v>2</v>
      </c>
      <c r="E8" s="301">
        <f t="shared" si="0"/>
        <v>4716658.4437500006</v>
      </c>
      <c r="F8" s="301">
        <f t="shared" si="0"/>
        <v>704042.30769230786</v>
      </c>
      <c r="G8" s="301">
        <f t="shared" si="0"/>
        <v>25568.49893162393</v>
      </c>
      <c r="H8" s="301">
        <f t="shared" si="0"/>
        <v>243226.962</v>
      </c>
      <c r="I8" s="301"/>
      <c r="J8" s="301">
        <f t="shared" si="1"/>
        <v>0</v>
      </c>
      <c r="K8" s="301">
        <f t="shared" si="1"/>
        <v>5689496.2123739319</v>
      </c>
      <c r="L8" s="301">
        <f t="shared" si="1"/>
        <v>1422374.053093483</v>
      </c>
      <c r="M8" s="315">
        <f t="shared" si="1"/>
        <v>7111870.2654674146</v>
      </c>
      <c r="N8" s="301">
        <f t="shared" si="1"/>
        <v>0</v>
      </c>
      <c r="O8" s="301">
        <f t="shared" si="1"/>
        <v>143650.48076923075</v>
      </c>
    </row>
    <row r="9" spans="1:15" s="308" customFormat="1" ht="12.75" customHeight="1">
      <c r="A9" s="1036"/>
      <c r="B9" s="1037"/>
      <c r="C9" s="1042"/>
      <c r="D9" s="298">
        <v>3</v>
      </c>
      <c r="E9" s="301">
        <f t="shared" si="0"/>
        <v>5965622.1968750004</v>
      </c>
      <c r="F9" s="301">
        <f t="shared" si="0"/>
        <v>966011.5384615385</v>
      </c>
      <c r="G9" s="301">
        <f t="shared" si="0"/>
        <v>33395.14957264957</v>
      </c>
      <c r="H9" s="301">
        <f t="shared" si="0"/>
        <v>243226.962</v>
      </c>
      <c r="I9" s="301"/>
      <c r="J9" s="301">
        <f t="shared" si="1"/>
        <v>0</v>
      </c>
      <c r="K9" s="301">
        <f t="shared" si="1"/>
        <v>7208255.8469091896</v>
      </c>
      <c r="L9" s="301">
        <f t="shared" si="1"/>
        <v>1802063.9617272974</v>
      </c>
      <c r="M9" s="315">
        <f t="shared" si="1"/>
        <v>9010319.8086364865</v>
      </c>
      <c r="N9" s="301">
        <f t="shared" si="1"/>
        <v>0</v>
      </c>
      <c r="O9" s="301">
        <f t="shared" si="1"/>
        <v>181722.11538461538</v>
      </c>
    </row>
    <row r="10" spans="1:15" s="308" customFormat="1" ht="12.75" customHeight="1">
      <c r="A10" s="1036"/>
      <c r="B10" s="1037"/>
      <c r="C10" s="1042"/>
      <c r="D10" s="298">
        <v>4</v>
      </c>
      <c r="E10" s="301">
        <f t="shared" si="0"/>
        <v>7737287.1125000007</v>
      </c>
      <c r="F10" s="301">
        <f t="shared" si="0"/>
        <v>1368061.5384615385</v>
      </c>
      <c r="G10" s="301">
        <f t="shared" si="0"/>
        <v>43935.831196581195</v>
      </c>
      <c r="H10" s="301">
        <f t="shared" si="0"/>
        <v>243226.962</v>
      </c>
      <c r="I10" s="301"/>
      <c r="J10" s="301">
        <f t="shared" si="1"/>
        <v>0</v>
      </c>
      <c r="K10" s="301">
        <f t="shared" si="1"/>
        <v>9392511.4441581201</v>
      </c>
      <c r="L10" s="301">
        <f t="shared" si="1"/>
        <v>2348127.86103953</v>
      </c>
      <c r="M10" s="315">
        <f t="shared" si="1"/>
        <v>11740639.305197651</v>
      </c>
      <c r="N10" s="301">
        <f t="shared" si="1"/>
        <v>0</v>
      </c>
      <c r="O10" s="301">
        <f t="shared" si="1"/>
        <v>235727.8846153846</v>
      </c>
    </row>
    <row r="11" spans="1:15" s="308" customFormat="1" ht="12.75" customHeight="1">
      <c r="A11" s="1036"/>
      <c r="B11" s="1037"/>
      <c r="C11" s="1042"/>
      <c r="D11" s="298">
        <v>5</v>
      </c>
      <c r="E11" s="301">
        <f t="shared" si="0"/>
        <v>10521907.103125002</v>
      </c>
      <c r="F11" s="301">
        <f t="shared" si="0"/>
        <v>1762834.6153846155</v>
      </c>
      <c r="G11" s="301">
        <f t="shared" si="0"/>
        <v>56668.407051282047</v>
      </c>
      <c r="H11" s="301">
        <f t="shared" si="0"/>
        <v>243226.962</v>
      </c>
      <c r="I11" s="301"/>
      <c r="J11" s="301">
        <f t="shared" si="1"/>
        <v>0</v>
      </c>
      <c r="K11" s="301">
        <f t="shared" si="1"/>
        <v>12584637.0875609</v>
      </c>
      <c r="L11" s="301">
        <f t="shared" si="1"/>
        <v>3146159.2718902249</v>
      </c>
      <c r="M11" s="315">
        <f t="shared" si="1"/>
        <v>15730796.359451123</v>
      </c>
      <c r="N11" s="301">
        <f t="shared" si="1"/>
        <v>0</v>
      </c>
      <c r="O11" s="301">
        <f t="shared" si="1"/>
        <v>320385.57692307694</v>
      </c>
    </row>
    <row r="12" spans="1:15" s="308" customFormat="1" ht="15" customHeight="1">
      <c r="A12" s="316"/>
      <c r="B12" s="317"/>
      <c r="C12" s="298" t="s">
        <v>490</v>
      </c>
      <c r="D12" s="318"/>
      <c r="E12" s="301">
        <f>E61</f>
        <v>545113.80000000005</v>
      </c>
      <c r="F12" s="301">
        <f>F61</f>
        <v>0</v>
      </c>
      <c r="G12" s="301">
        <f>G61</f>
        <v>2819.3792307692306</v>
      </c>
      <c r="H12" s="301">
        <f>H61</f>
        <v>27260</v>
      </c>
      <c r="I12" s="301"/>
      <c r="J12" s="301">
        <f>J61</f>
        <v>0</v>
      </c>
      <c r="K12" s="301">
        <f>K61</f>
        <v>575193.17923076928</v>
      </c>
      <c r="L12" s="301">
        <f>L61</f>
        <v>86278.976884615389</v>
      </c>
      <c r="M12" s="315">
        <f>M61</f>
        <v>661472.15611538466</v>
      </c>
      <c r="N12" s="301"/>
      <c r="O12" s="301">
        <f>O61</f>
        <v>15569.23076923077</v>
      </c>
    </row>
    <row r="13" spans="1:15" s="308" customFormat="1" ht="12.75" customHeight="1">
      <c r="A13" s="1036"/>
      <c r="B13" s="1037" t="s">
        <v>253</v>
      </c>
      <c r="C13" s="298" t="s">
        <v>82</v>
      </c>
      <c r="D13" s="298">
        <v>1</v>
      </c>
      <c r="E13" s="301">
        <f t="shared" ref="E13:H17" si="2">SUM(E26,E36,E51,E$61)-E$18</f>
        <v>5656622.2281250004</v>
      </c>
      <c r="F13" s="301">
        <f t="shared" si="2"/>
        <v>1397169.230769231</v>
      </c>
      <c r="G13" s="301">
        <f t="shared" si="2"/>
        <v>30445.51201923077</v>
      </c>
      <c r="H13" s="301">
        <f t="shared" si="2"/>
        <v>769456.12199999997</v>
      </c>
      <c r="I13" s="301"/>
      <c r="J13" s="301">
        <f t="shared" ref="J13:O17" si="3">SUM(J26,J36,J51,J$61)-J$18</f>
        <v>0</v>
      </c>
      <c r="K13" s="301">
        <f t="shared" si="3"/>
        <v>7853693.0929134628</v>
      </c>
      <c r="L13" s="301">
        <f t="shared" si="3"/>
        <v>1963423.2732283657</v>
      </c>
      <c r="M13" s="315">
        <f t="shared" si="3"/>
        <v>9817116.3661418296</v>
      </c>
      <c r="N13" s="301">
        <f t="shared" si="3"/>
        <v>0</v>
      </c>
      <c r="O13" s="301">
        <f t="shared" si="3"/>
        <v>177464.90384615384</v>
      </c>
    </row>
    <row r="14" spans="1:15" s="308" customFormat="1" ht="12.75" customHeight="1">
      <c r="A14" s="1036"/>
      <c r="B14" s="1037"/>
      <c r="C14" s="1042" t="s">
        <v>388</v>
      </c>
      <c r="D14" s="298">
        <v>2</v>
      </c>
      <c r="E14" s="301">
        <f t="shared" si="2"/>
        <v>6863795.125</v>
      </c>
      <c r="F14" s="301">
        <f t="shared" si="2"/>
        <v>1850157.6923076925</v>
      </c>
      <c r="G14" s="301">
        <f t="shared" si="2"/>
        <v>39862.306891025641</v>
      </c>
      <c r="H14" s="301">
        <f t="shared" si="2"/>
        <v>769456.12199999997</v>
      </c>
      <c r="I14" s="301"/>
      <c r="J14" s="301">
        <f t="shared" si="3"/>
        <v>0</v>
      </c>
      <c r="K14" s="301">
        <f t="shared" si="3"/>
        <v>9523271.2461987194</v>
      </c>
      <c r="L14" s="301">
        <f t="shared" si="3"/>
        <v>2380817.8115496798</v>
      </c>
      <c r="M14" s="315">
        <f t="shared" si="3"/>
        <v>11904089.057748398</v>
      </c>
      <c r="N14" s="301">
        <f t="shared" si="3"/>
        <v>0</v>
      </c>
      <c r="O14" s="301">
        <f t="shared" si="3"/>
        <v>214685.09615384613</v>
      </c>
    </row>
    <row r="15" spans="1:15" s="308" customFormat="1" ht="12.75" customHeight="1">
      <c r="A15" s="1036"/>
      <c r="B15" s="1037"/>
      <c r="C15" s="1042"/>
      <c r="D15" s="298">
        <v>3</v>
      </c>
      <c r="E15" s="301">
        <f t="shared" si="2"/>
        <v>8348061.528125002</v>
      </c>
      <c r="F15" s="301">
        <f t="shared" si="2"/>
        <v>2494165.384615385</v>
      </c>
      <c r="G15" s="301">
        <f t="shared" si="2"/>
        <v>50211.394230769227</v>
      </c>
      <c r="H15" s="301">
        <f t="shared" si="2"/>
        <v>769456.12199999997</v>
      </c>
      <c r="I15" s="301"/>
      <c r="J15" s="301">
        <f t="shared" si="3"/>
        <v>0</v>
      </c>
      <c r="K15" s="301">
        <f t="shared" si="3"/>
        <v>11661894.428971156</v>
      </c>
      <c r="L15" s="301">
        <f t="shared" si="3"/>
        <v>2915473.6072427891</v>
      </c>
      <c r="M15" s="315">
        <f t="shared" si="3"/>
        <v>14577368.036213944</v>
      </c>
      <c r="N15" s="301">
        <f t="shared" si="3"/>
        <v>0</v>
      </c>
      <c r="O15" s="301">
        <f t="shared" si="3"/>
        <v>260541.3461538461</v>
      </c>
    </row>
    <row r="16" spans="1:15" s="308" customFormat="1" ht="12.75" customHeight="1">
      <c r="A16" s="1036"/>
      <c r="B16" s="1037"/>
      <c r="C16" s="1042"/>
      <c r="D16" s="298">
        <v>4</v>
      </c>
      <c r="E16" s="301">
        <f t="shared" si="2"/>
        <v>10516799.665625002</v>
      </c>
      <c r="F16" s="301">
        <f t="shared" si="2"/>
        <v>3987753.8461538465</v>
      </c>
      <c r="G16" s="301">
        <f t="shared" si="2"/>
        <v>65796.949252136765</v>
      </c>
      <c r="H16" s="301">
        <f t="shared" si="2"/>
        <v>769456.12199999997</v>
      </c>
      <c r="I16" s="301"/>
      <c r="J16" s="301">
        <f t="shared" si="3"/>
        <v>0</v>
      </c>
      <c r="K16" s="301">
        <f t="shared" si="3"/>
        <v>15339806.583030986</v>
      </c>
      <c r="L16" s="301">
        <f t="shared" si="3"/>
        <v>3834951.6457577464</v>
      </c>
      <c r="M16" s="315">
        <f t="shared" si="3"/>
        <v>19174758.22878873</v>
      </c>
      <c r="N16" s="301">
        <f t="shared" si="3"/>
        <v>0</v>
      </c>
      <c r="O16" s="301">
        <f t="shared" si="3"/>
        <v>327683.65384615381</v>
      </c>
    </row>
    <row r="17" spans="1:15" s="308" customFormat="1" ht="12.75" customHeight="1">
      <c r="A17" s="1036"/>
      <c r="B17" s="1037"/>
      <c r="C17" s="1042"/>
      <c r="D17" s="298">
        <v>5</v>
      </c>
      <c r="E17" s="301">
        <f t="shared" si="2"/>
        <v>13698492.878125003</v>
      </c>
      <c r="F17" s="301">
        <f t="shared" si="2"/>
        <v>4819142.307692307</v>
      </c>
      <c r="G17" s="301">
        <f t="shared" si="2"/>
        <v>84415.210737179485</v>
      </c>
      <c r="H17" s="301">
        <f t="shared" si="2"/>
        <v>769456.12199999997</v>
      </c>
      <c r="I17" s="301"/>
      <c r="J17" s="301">
        <f t="shared" si="3"/>
        <v>0</v>
      </c>
      <c r="K17" s="301">
        <f t="shared" si="3"/>
        <v>19371506.518554486</v>
      </c>
      <c r="L17" s="301">
        <f t="shared" si="3"/>
        <v>4842876.6296386216</v>
      </c>
      <c r="M17" s="315">
        <f t="shared" si="3"/>
        <v>24214383.148193106</v>
      </c>
      <c r="N17" s="301">
        <f t="shared" si="3"/>
        <v>0</v>
      </c>
      <c r="O17" s="301">
        <f t="shared" si="3"/>
        <v>425477.88461538462</v>
      </c>
    </row>
    <row r="18" spans="1:15" s="308" customFormat="1" ht="15" customHeight="1">
      <c r="A18" s="316"/>
      <c r="B18" s="317"/>
      <c r="C18" s="298" t="s">
        <v>490</v>
      </c>
      <c r="D18" s="318"/>
      <c r="E18" s="301">
        <f t="shared" ref="E18:O18" si="4">E12</f>
        <v>545113.80000000005</v>
      </c>
      <c r="F18" s="301">
        <f t="shared" si="4"/>
        <v>0</v>
      </c>
      <c r="G18" s="301">
        <f t="shared" si="4"/>
        <v>2819.3792307692306</v>
      </c>
      <c r="H18" s="301">
        <f t="shared" si="4"/>
        <v>27260</v>
      </c>
      <c r="I18" s="301">
        <f t="shared" si="4"/>
        <v>0</v>
      </c>
      <c r="J18" s="301">
        <f t="shared" si="4"/>
        <v>0</v>
      </c>
      <c r="K18" s="301">
        <f t="shared" si="4"/>
        <v>575193.17923076928</v>
      </c>
      <c r="L18" s="301">
        <f t="shared" si="4"/>
        <v>86278.976884615389</v>
      </c>
      <c r="M18" s="315">
        <f t="shared" si="4"/>
        <v>661472.15611538466</v>
      </c>
      <c r="N18" s="301">
        <f t="shared" si="4"/>
        <v>0</v>
      </c>
      <c r="O18" s="301">
        <f t="shared" si="4"/>
        <v>15569.23076923077</v>
      </c>
    </row>
    <row r="19" spans="1:15" s="308" customFormat="1">
      <c r="A19" s="1036"/>
      <c r="B19" s="1037" t="s">
        <v>252</v>
      </c>
      <c r="C19" s="298" t="s">
        <v>82</v>
      </c>
      <c r="D19" s="298">
        <v>1</v>
      </c>
      <c r="E19" s="301">
        <f>SUM(E31,E51,E$61)-$E$24</f>
        <v>4135774.5550000006</v>
      </c>
      <c r="F19" s="301">
        <f>SUM(F31,F51,F$61)-$F$24</f>
        <v>612353.07692307699</v>
      </c>
      <c r="G19" s="301">
        <f>SUM(G31,G51,G$61)-$G$24</f>
        <v>22269.242735042735</v>
      </c>
      <c r="H19" s="301">
        <f>SUM(H31,H51,H$61)-$H$24</f>
        <v>243226.962</v>
      </c>
      <c r="I19" s="301"/>
      <c r="J19" s="301">
        <f>SUM(J31,J51,J$61)-J24</f>
        <v>0</v>
      </c>
      <c r="K19" s="301">
        <f>SUM(K31,K51,K$61)-$K$24</f>
        <v>5013623.8366581202</v>
      </c>
      <c r="L19" s="301">
        <f>SUM(L31,L51,L$61)-$L$24</f>
        <v>1253405.95916453</v>
      </c>
      <c r="M19" s="315">
        <f>SUM(M31,M51,M$61)-$M$24</f>
        <v>6267029.7958226502</v>
      </c>
      <c r="N19" s="301">
        <f>SUM(N31,N51,N$61)-N24</f>
        <v>0</v>
      </c>
      <c r="O19" s="301">
        <f>SUM(O31,O51,O$61)-$O$24</f>
        <v>125989.13461538461</v>
      </c>
    </row>
    <row r="20" spans="1:15" s="308" customFormat="1" ht="12.75" customHeight="1">
      <c r="A20" s="1036"/>
      <c r="B20" s="1037"/>
      <c r="C20" s="1042" t="s">
        <v>388</v>
      </c>
      <c r="D20" s="298">
        <v>2</v>
      </c>
      <c r="E20" s="301">
        <f>SUM(E32,E52,E$61)-$E$24</f>
        <v>5333895.2700000005</v>
      </c>
      <c r="F20" s="301">
        <f>SUM(F32,F52,F$61)-$F$24</f>
        <v>821928.46153846174</v>
      </c>
      <c r="G20" s="301">
        <f>SUM(G32,G52,G$61)-$G$24</f>
        <v>29011.361111111109</v>
      </c>
      <c r="H20" s="301">
        <f>SUM(H32,H52,H$61)-$H$24</f>
        <v>243226.962</v>
      </c>
      <c r="I20" s="301"/>
      <c r="J20" s="301">
        <f>SUM(J32,J52,J$61)-J25</f>
        <v>0</v>
      </c>
      <c r="K20" s="301">
        <f>SUM(K32,K52,K$61)-$K$24</f>
        <v>6428062.0546495738</v>
      </c>
      <c r="L20" s="301">
        <f>SUM(L32,L52,L$61)-$L$24</f>
        <v>1607015.5136623934</v>
      </c>
      <c r="M20" s="315">
        <f>SUM(M32,M52,M$61)-$M$24</f>
        <v>8035077.568311967</v>
      </c>
      <c r="N20" s="301">
        <f>SUM(N32,N52,N$61)-N25</f>
        <v>0</v>
      </c>
      <c r="O20" s="301">
        <f>SUM(O32,O52,O$61)-$O$24</f>
        <v>162528.17307692306</v>
      </c>
    </row>
    <row r="21" spans="1:15" s="308" customFormat="1" ht="12.75" customHeight="1">
      <c r="A21" s="1036"/>
      <c r="B21" s="1037"/>
      <c r="C21" s="1042"/>
      <c r="D21" s="298">
        <v>3</v>
      </c>
      <c r="E21" s="301">
        <f>SUM(E33,E53,E$61)-$E$24</f>
        <v>6764212.1112500001</v>
      </c>
      <c r="F21" s="301">
        <f>SUM(F33,F53,F$61)-$F$24</f>
        <v>1113369.2307692308</v>
      </c>
      <c r="G21" s="301">
        <f>SUM(G33,G53,G$61)-$G$24</f>
        <v>37985.632478632477</v>
      </c>
      <c r="H21" s="301">
        <f>SUM(H33,H53,H$61)-$H$24</f>
        <v>243226.962</v>
      </c>
      <c r="I21" s="301"/>
      <c r="J21" s="301">
        <f>SUM(J33,J53,J$61)-J26</f>
        <v>0</v>
      </c>
      <c r="K21" s="301">
        <f>SUM(K33,K53,K$61)-$K$24</f>
        <v>8158793.9364978643</v>
      </c>
      <c r="L21" s="301">
        <f>SUM(L33,L53,L$61)-$L$24</f>
        <v>2039698.4841244661</v>
      </c>
      <c r="M21" s="315">
        <f>SUM(M33,M53,M$61)-$M$24</f>
        <v>10198492.420622328</v>
      </c>
      <c r="N21" s="301">
        <f>SUM(N33,N53,N$61)-N26</f>
        <v>0</v>
      </c>
      <c r="O21" s="301">
        <f>SUM(O33,O53,O$61)-$O$24</f>
        <v>206146.34615384613</v>
      </c>
    </row>
    <row r="22" spans="1:15" s="308" customFormat="1" ht="12.75" customHeight="1">
      <c r="A22" s="1036"/>
      <c r="B22" s="1037"/>
      <c r="C22" s="1042"/>
      <c r="D22" s="298">
        <v>4</v>
      </c>
      <c r="E22" s="301">
        <f>SUM(E34,E54,E$61)-$E$24</f>
        <v>8793589.3100000005</v>
      </c>
      <c r="F22" s="301">
        <f>SUM(F34,F54,F$61)-$F$24</f>
        <v>1559808.4615384615</v>
      </c>
      <c r="G22" s="301">
        <f>SUM(G34,G54,G$61)-$G$24</f>
        <v>49903.458974358975</v>
      </c>
      <c r="H22" s="301">
        <f>SUM(H34,H54,H$61)-$H$24</f>
        <v>243226.962</v>
      </c>
      <c r="I22" s="301"/>
      <c r="J22" s="301">
        <f>SUM(J34,J54,J$61)-J27</f>
        <v>0</v>
      </c>
      <c r="K22" s="301">
        <f>SUM(K34,K54,K$61)-$K$24</f>
        <v>10646528.192512821</v>
      </c>
      <c r="L22" s="301">
        <f>SUM(L34,L54,L$61)-$L$24</f>
        <v>2661632.0481282054</v>
      </c>
      <c r="M22" s="315">
        <f>SUM(M34,M54,M$61)-$M$24</f>
        <v>13308160.240641026</v>
      </c>
      <c r="N22" s="301">
        <f>SUM(N34,N54,N$61)-N27</f>
        <v>0</v>
      </c>
      <c r="O22" s="301">
        <f>SUM(O34,O54,O$61)-$O$24</f>
        <v>268034.03846153844</v>
      </c>
    </row>
    <row r="23" spans="1:15" s="308" customFormat="1" ht="12.75" customHeight="1">
      <c r="A23" s="1036"/>
      <c r="B23" s="1037"/>
      <c r="C23" s="1042"/>
      <c r="D23" s="298">
        <v>5</v>
      </c>
      <c r="E23" s="301">
        <f>SUM(E35,E55,E$61)-$E$24</f>
        <v>11861374.648750002</v>
      </c>
      <c r="F23" s="301">
        <f>SUM(F35,F55,F$61)-$F$24</f>
        <v>2013524.6153846155</v>
      </c>
      <c r="G23" s="301">
        <f>SUM(G35,G55,G$61)-$G$24</f>
        <v>64242.703846153854</v>
      </c>
      <c r="H23" s="301">
        <f>SUM(H35,H55,H$61)-$H$24</f>
        <v>243226.962</v>
      </c>
      <c r="I23" s="301"/>
      <c r="J23" s="301">
        <f>SUM(J35,J55,J$61)-J28</f>
        <v>0</v>
      </c>
      <c r="K23" s="301">
        <f>SUM(K35,K55,K$61)-$K$24</f>
        <v>14182368.92998077</v>
      </c>
      <c r="L23" s="301">
        <f>SUM(L35,L55,L$61)-$L$24</f>
        <v>3545592.2324951924</v>
      </c>
      <c r="M23" s="315">
        <f>SUM(M35,M55,M$61)-$M$24</f>
        <v>17727961.162475962</v>
      </c>
      <c r="N23" s="301">
        <f>SUM(N35,N55,N$61)-N28</f>
        <v>0</v>
      </c>
      <c r="O23" s="301">
        <f>SUM(O35,O55,O$61)-$O$24</f>
        <v>361352.11538461538</v>
      </c>
    </row>
    <row r="24" spans="1:15" s="308" customFormat="1" ht="15" customHeight="1">
      <c r="A24" s="316"/>
      <c r="B24" s="317"/>
      <c r="C24" s="298" t="s">
        <v>490</v>
      </c>
      <c r="D24" s="318"/>
      <c r="E24" s="301">
        <f t="shared" ref="E24:O24" si="5">E12</f>
        <v>545113.80000000005</v>
      </c>
      <c r="F24" s="301">
        <f t="shared" si="5"/>
        <v>0</v>
      </c>
      <c r="G24" s="301">
        <f t="shared" si="5"/>
        <v>2819.3792307692306</v>
      </c>
      <c r="H24" s="301">
        <f t="shared" si="5"/>
        <v>27260</v>
      </c>
      <c r="I24" s="301"/>
      <c r="J24" s="301">
        <f t="shared" si="5"/>
        <v>0</v>
      </c>
      <c r="K24" s="301">
        <f t="shared" si="5"/>
        <v>575193.17923076928</v>
      </c>
      <c r="L24" s="301">
        <f t="shared" si="5"/>
        <v>86278.976884615389</v>
      </c>
      <c r="M24" s="315">
        <f t="shared" si="5"/>
        <v>661472.15611538466</v>
      </c>
      <c r="N24" s="301">
        <f t="shared" si="5"/>
        <v>0</v>
      </c>
      <c r="O24" s="301">
        <f t="shared" si="5"/>
        <v>15569.23076923077</v>
      </c>
    </row>
    <row r="25" spans="1:15" s="308" customFormat="1" ht="13.15" customHeight="1">
      <c r="A25" s="316"/>
      <c r="B25" s="317"/>
      <c r="C25" s="316"/>
      <c r="D25" s="298"/>
      <c r="E25" s="315"/>
      <c r="F25" s="315"/>
      <c r="G25" s="315"/>
      <c r="H25" s="315"/>
      <c r="I25" s="315"/>
      <c r="J25" s="315"/>
      <c r="K25" s="315"/>
      <c r="L25" s="315"/>
      <c r="M25" s="315"/>
      <c r="N25" s="315"/>
      <c r="O25" s="315"/>
    </row>
    <row r="26" spans="1:15">
      <c r="A26" s="1043">
        <f>NhanCong!A11</f>
        <v>1</v>
      </c>
      <c r="B26" s="1038" t="str">
        <f>NhanCong!B11</f>
        <v xml:space="preserve">Chọn vị trí điểm, chôn mốc </v>
      </c>
      <c r="C26" s="1043" t="str">
        <f>NhanCong!C11</f>
        <v>điểm</v>
      </c>
      <c r="D26" s="319">
        <v>1</v>
      </c>
      <c r="E26" s="301">
        <f>NhanCong!I11</f>
        <v>2322592.1812500004</v>
      </c>
      <c r="F26" s="301">
        <f>NhanCong!I12</f>
        <v>442073.07692307699</v>
      </c>
      <c r="G26" s="320">
        <f>Dcu!K$32</f>
        <v>13771.448717948719</v>
      </c>
      <c r="H26" s="320">
        <f>VLieu!I$28</f>
        <v>217851.962</v>
      </c>
      <c r="I26" s="320"/>
      <c r="J26" s="320"/>
      <c r="K26" s="320">
        <f t="shared" ref="K26:K62" si="6">SUM(E26:J26)</f>
        <v>2996288.6688910257</v>
      </c>
      <c r="L26" s="320">
        <f t="shared" ref="L26:L60" si="7">K26*0.25</f>
        <v>749072.16722275643</v>
      </c>
      <c r="M26" s="321">
        <f>K26+L26</f>
        <v>3745360.8361137821</v>
      </c>
      <c r="N26" s="321"/>
      <c r="O26" s="320">
        <f>NhanCong!J11</f>
        <v>71034.615384615376</v>
      </c>
    </row>
    <row r="27" spans="1:15">
      <c r="A27" s="1043"/>
      <c r="B27" s="1038"/>
      <c r="C27" s="1043"/>
      <c r="D27" s="319">
        <v>2</v>
      </c>
      <c r="E27" s="301">
        <f>NhanCong!I13</f>
        <v>3086184.1312500001</v>
      </c>
      <c r="F27" s="301">
        <f>NhanCong!I14</f>
        <v>589430.76923076937</v>
      </c>
      <c r="G27" s="320">
        <f>Dcu!K$33</f>
        <v>17214.310897435898</v>
      </c>
      <c r="H27" s="320">
        <f>VLieu!I$28</f>
        <v>217851.962</v>
      </c>
      <c r="I27" s="320"/>
      <c r="J27" s="320"/>
      <c r="K27" s="320">
        <f t="shared" si="6"/>
        <v>3910681.1733782054</v>
      </c>
      <c r="L27" s="320">
        <f t="shared" si="7"/>
        <v>977670.29334455135</v>
      </c>
      <c r="M27" s="321">
        <f t="shared" ref="M27:M55" si="8">K27+L27</f>
        <v>4888351.4667227566</v>
      </c>
      <c r="N27" s="321"/>
      <c r="O27" s="320">
        <f>NhanCong!J13</f>
        <v>94388.461538461532</v>
      </c>
    </row>
    <row r="28" spans="1:15">
      <c r="A28" s="1043"/>
      <c r="B28" s="1038"/>
      <c r="C28" s="1043"/>
      <c r="D28" s="319">
        <v>3</v>
      </c>
      <c r="E28" s="301">
        <f>NhanCong!I15</f>
        <v>3992949.5718750004</v>
      </c>
      <c r="F28" s="301">
        <f>NhanCong!I16</f>
        <v>736788.4615384615</v>
      </c>
      <c r="G28" s="320">
        <f>Dcu!K$34</f>
        <v>22952.414529914531</v>
      </c>
      <c r="H28" s="320">
        <f>VLieu!I$28</f>
        <v>217851.962</v>
      </c>
      <c r="I28" s="320"/>
      <c r="J28" s="320"/>
      <c r="K28" s="320">
        <f t="shared" si="6"/>
        <v>4970542.4099433776</v>
      </c>
      <c r="L28" s="320">
        <f t="shared" si="7"/>
        <v>1242635.6024858444</v>
      </c>
      <c r="M28" s="321">
        <f t="shared" si="8"/>
        <v>6213178.0124292225</v>
      </c>
      <c r="N28" s="321"/>
      <c r="O28" s="320">
        <f>NhanCong!J15</f>
        <v>122121.15384615383</v>
      </c>
    </row>
    <row r="29" spans="1:15">
      <c r="A29" s="1043"/>
      <c r="B29" s="1038"/>
      <c r="C29" s="1043"/>
      <c r="D29" s="319">
        <v>4</v>
      </c>
      <c r="E29" s="301">
        <f>NhanCong!I17</f>
        <v>5281510.9875000007</v>
      </c>
      <c r="F29" s="301">
        <f>NhanCong!I18</f>
        <v>958734.61538461538</v>
      </c>
      <c r="G29" s="320">
        <f>Dcu!K$35</f>
        <v>29838.138888888891</v>
      </c>
      <c r="H29" s="320">
        <f>VLieu!I$28</f>
        <v>217851.962</v>
      </c>
      <c r="I29" s="320"/>
      <c r="J29" s="320"/>
      <c r="K29" s="320">
        <f t="shared" si="6"/>
        <v>6487935.7037735051</v>
      </c>
      <c r="L29" s="320">
        <f t="shared" si="7"/>
        <v>1621983.9259433763</v>
      </c>
      <c r="M29" s="321">
        <f t="shared" si="8"/>
        <v>8109919.6297168816</v>
      </c>
      <c r="N29" s="321"/>
      <c r="O29" s="320">
        <f>NhanCong!J17</f>
        <v>161530.76923076922</v>
      </c>
    </row>
    <row r="30" spans="1:15">
      <c r="A30" s="1043"/>
      <c r="B30" s="1038"/>
      <c r="C30" s="1043"/>
      <c r="D30" s="319" t="s">
        <v>13</v>
      </c>
      <c r="E30" s="301">
        <f>NhanCong!I19</f>
        <v>6697337.7281250013</v>
      </c>
      <c r="F30" s="301">
        <f>NhanCong!I20</f>
        <v>1253450</v>
      </c>
      <c r="G30" s="320">
        <f>Dcu!K$36</f>
        <v>37871.483974358976</v>
      </c>
      <c r="H30" s="320">
        <f>VLieu!I$28</f>
        <v>217851.962</v>
      </c>
      <c r="I30" s="320"/>
      <c r="J30" s="320"/>
      <c r="K30" s="320">
        <f t="shared" si="6"/>
        <v>8206511.1740993606</v>
      </c>
      <c r="L30" s="320">
        <f t="shared" si="7"/>
        <v>2051627.7935248401</v>
      </c>
      <c r="M30" s="321">
        <f t="shared" si="8"/>
        <v>10258138.967624201</v>
      </c>
      <c r="N30" s="321"/>
      <c r="O30" s="320">
        <f>NhanCong!J19</f>
        <v>204832.69230769231</v>
      </c>
    </row>
    <row r="31" spans="1:15">
      <c r="A31" s="1043" t="s">
        <v>359</v>
      </c>
      <c r="B31" s="1038" t="s">
        <v>521</v>
      </c>
      <c r="C31" s="1043">
        <f>NhanCong!C17</f>
        <v>0</v>
      </c>
      <c r="D31" s="319">
        <v>1</v>
      </c>
      <c r="E31" s="301">
        <f t="shared" ref="E31:G35" si="9">E26*1.2</f>
        <v>2787110.6175000002</v>
      </c>
      <c r="F31" s="301">
        <f t="shared" si="9"/>
        <v>530487.69230769237</v>
      </c>
      <c r="G31" s="301">
        <f t="shared" si="9"/>
        <v>16525.738461538462</v>
      </c>
      <c r="H31" s="320">
        <f t="shared" ref="H31:I35" si="10">H26</f>
        <v>217851.962</v>
      </c>
      <c r="I31" s="320">
        <f t="shared" si="10"/>
        <v>0</v>
      </c>
      <c r="J31" s="320"/>
      <c r="K31" s="320">
        <f t="shared" si="6"/>
        <v>3551976.0102692312</v>
      </c>
      <c r="L31" s="320">
        <f t="shared" si="7"/>
        <v>887994.00256730779</v>
      </c>
      <c r="M31" s="321">
        <f>K31+L31</f>
        <v>4439970.0128365392</v>
      </c>
      <c r="N31" s="321"/>
      <c r="O31" s="320">
        <f>O26*1.2</f>
        <v>85241.538461538454</v>
      </c>
    </row>
    <row r="32" spans="1:15">
      <c r="A32" s="1043"/>
      <c r="B32" s="1038"/>
      <c r="C32" s="1043"/>
      <c r="D32" s="319">
        <v>2</v>
      </c>
      <c r="E32" s="301">
        <f t="shared" si="9"/>
        <v>3703420.9575</v>
      </c>
      <c r="F32" s="301">
        <f t="shared" si="9"/>
        <v>707316.92307692324</v>
      </c>
      <c r="G32" s="301">
        <f t="shared" si="9"/>
        <v>20657.173076923078</v>
      </c>
      <c r="H32" s="320">
        <f t="shared" si="10"/>
        <v>217851.962</v>
      </c>
      <c r="I32" s="320">
        <f t="shared" si="10"/>
        <v>0</v>
      </c>
      <c r="J32" s="320"/>
      <c r="K32" s="320">
        <f t="shared" si="6"/>
        <v>4649247.0156538468</v>
      </c>
      <c r="L32" s="320">
        <f t="shared" si="7"/>
        <v>1162311.7539134617</v>
      </c>
      <c r="M32" s="321">
        <f>K32+L32</f>
        <v>5811558.7695673089</v>
      </c>
      <c r="N32" s="321"/>
      <c r="O32" s="320">
        <f>O27*1.2</f>
        <v>113266.15384615383</v>
      </c>
    </row>
    <row r="33" spans="1:15">
      <c r="A33" s="1043"/>
      <c r="B33" s="1038"/>
      <c r="C33" s="1043"/>
      <c r="D33" s="319">
        <v>3</v>
      </c>
      <c r="E33" s="301">
        <f t="shared" si="9"/>
        <v>4791539.4862500001</v>
      </c>
      <c r="F33" s="301">
        <f t="shared" si="9"/>
        <v>884146.15384615376</v>
      </c>
      <c r="G33" s="301">
        <f t="shared" si="9"/>
        <v>27542.897435897437</v>
      </c>
      <c r="H33" s="320">
        <f t="shared" si="10"/>
        <v>217851.962</v>
      </c>
      <c r="I33" s="320">
        <f t="shared" si="10"/>
        <v>0</v>
      </c>
      <c r="J33" s="320"/>
      <c r="K33" s="320">
        <f t="shared" si="6"/>
        <v>5921080.4995320514</v>
      </c>
      <c r="L33" s="320">
        <f t="shared" si="7"/>
        <v>1480270.1248830128</v>
      </c>
      <c r="M33" s="321">
        <f>K33+L33</f>
        <v>7401350.6244150642</v>
      </c>
      <c r="N33" s="321"/>
      <c r="O33" s="320">
        <f>O28*1.2</f>
        <v>146545.3846153846</v>
      </c>
    </row>
    <row r="34" spans="1:15">
      <c r="A34" s="1043"/>
      <c r="B34" s="1038"/>
      <c r="C34" s="1043"/>
      <c r="D34" s="319">
        <v>4</v>
      </c>
      <c r="E34" s="301">
        <f t="shared" si="9"/>
        <v>6337813.1850000005</v>
      </c>
      <c r="F34" s="301">
        <f t="shared" si="9"/>
        <v>1150481.5384615385</v>
      </c>
      <c r="G34" s="301">
        <f t="shared" si="9"/>
        <v>35805.76666666667</v>
      </c>
      <c r="H34" s="320">
        <f t="shared" si="10"/>
        <v>217851.962</v>
      </c>
      <c r="I34" s="320">
        <f t="shared" si="10"/>
        <v>0</v>
      </c>
      <c r="J34" s="320"/>
      <c r="K34" s="320">
        <f t="shared" si="6"/>
        <v>7741952.4521282054</v>
      </c>
      <c r="L34" s="320">
        <f t="shared" si="7"/>
        <v>1935488.1130320514</v>
      </c>
      <c r="M34" s="321">
        <f>K34+L34</f>
        <v>9677440.5651602559</v>
      </c>
      <c r="N34" s="321"/>
      <c r="O34" s="320">
        <f>O29*1.2</f>
        <v>193836.92307692306</v>
      </c>
    </row>
    <row r="35" spans="1:15">
      <c r="A35" s="1043"/>
      <c r="B35" s="1038"/>
      <c r="C35" s="1043"/>
      <c r="D35" s="319" t="s">
        <v>13</v>
      </c>
      <c r="E35" s="301">
        <f t="shared" si="9"/>
        <v>8036805.2737500016</v>
      </c>
      <c r="F35" s="301">
        <f t="shared" si="9"/>
        <v>1504140</v>
      </c>
      <c r="G35" s="301">
        <f t="shared" si="9"/>
        <v>45445.780769230769</v>
      </c>
      <c r="H35" s="320">
        <f t="shared" si="10"/>
        <v>217851.962</v>
      </c>
      <c r="I35" s="320">
        <f t="shared" si="10"/>
        <v>0</v>
      </c>
      <c r="J35" s="320"/>
      <c r="K35" s="320">
        <f t="shared" si="6"/>
        <v>9804243.0165192317</v>
      </c>
      <c r="L35" s="320">
        <f t="shared" si="7"/>
        <v>2451060.7541298079</v>
      </c>
      <c r="M35" s="321">
        <f>K35+L35</f>
        <v>12255303.77064904</v>
      </c>
      <c r="N35" s="321"/>
      <c r="O35" s="320">
        <f>O30*1.2</f>
        <v>245799.23076923075</v>
      </c>
    </row>
    <row r="36" spans="1:15">
      <c r="A36" s="1043">
        <f>NhanCong!A21</f>
        <v>2</v>
      </c>
      <c r="B36" s="1038" t="str">
        <f>NhanCong!B21</f>
        <v>Xây tường vây</v>
      </c>
      <c r="C36" s="1043" t="str">
        <f>NhanCong!C21</f>
        <v>điểm</v>
      </c>
      <c r="D36" s="319">
        <v>1</v>
      </c>
      <c r="E36" s="301">
        <f>NhanCong!I21</f>
        <v>1985366.1093750005</v>
      </c>
      <c r="F36" s="301">
        <f>NhanCong!I22</f>
        <v>873230.76923076925</v>
      </c>
      <c r="G36" s="320">
        <f>Dcu!L$32</f>
        <v>10930.559027777779</v>
      </c>
      <c r="H36" s="320">
        <f>VLieu!J$28</f>
        <v>526229.16</v>
      </c>
      <c r="I36" s="320"/>
      <c r="J36" s="320"/>
      <c r="K36" s="320">
        <f t="shared" si="6"/>
        <v>3395756.5976335481</v>
      </c>
      <c r="L36" s="320">
        <f t="shared" si="7"/>
        <v>848939.14940838702</v>
      </c>
      <c r="M36" s="321">
        <f t="shared" si="8"/>
        <v>4244695.7470419351</v>
      </c>
      <c r="N36" s="321"/>
      <c r="O36" s="320">
        <f>NhanCong!J21</f>
        <v>65682.692307692312</v>
      </c>
    </row>
    <row r="37" spans="1:15">
      <c r="A37" s="1043"/>
      <c r="B37" s="1038"/>
      <c r="C37" s="1043"/>
      <c r="D37" s="319">
        <v>2</v>
      </c>
      <c r="E37" s="301">
        <f>NhanCong!I23</f>
        <v>2147136.6812500004</v>
      </c>
      <c r="F37" s="301">
        <f>NhanCong!I24</f>
        <v>1146115.3846153847</v>
      </c>
      <c r="G37" s="320">
        <f>Dcu!L$33</f>
        <v>14293.807959401711</v>
      </c>
      <c r="H37" s="320">
        <f>VLieu!J$28</f>
        <v>526229.16</v>
      </c>
      <c r="I37" s="320"/>
      <c r="J37" s="320"/>
      <c r="K37" s="320">
        <f t="shared" si="6"/>
        <v>3833775.033824787</v>
      </c>
      <c r="L37" s="320">
        <f t="shared" si="7"/>
        <v>958443.75845619675</v>
      </c>
      <c r="M37" s="321">
        <f t="shared" si="8"/>
        <v>4792218.7922809841</v>
      </c>
      <c r="N37" s="321"/>
      <c r="O37" s="320">
        <f>NhanCong!J23</f>
        <v>71034.615384615376</v>
      </c>
    </row>
    <row r="38" spans="1:15">
      <c r="A38" s="1043"/>
      <c r="B38" s="1038"/>
      <c r="C38" s="1043"/>
      <c r="D38" s="319">
        <v>3</v>
      </c>
      <c r="E38" s="301">
        <f>NhanCong!I25</f>
        <v>2382439.3312500007</v>
      </c>
      <c r="F38" s="301">
        <f>NhanCong!I26</f>
        <v>1528153.8461538462</v>
      </c>
      <c r="G38" s="320">
        <f>Dcu!L$34</f>
        <v>16816.24465811966</v>
      </c>
      <c r="H38" s="320">
        <f>VLieu!J$28</f>
        <v>526229.16</v>
      </c>
      <c r="I38" s="320"/>
      <c r="J38" s="320"/>
      <c r="K38" s="320">
        <f t="shared" si="6"/>
        <v>4453638.5820619659</v>
      </c>
      <c r="L38" s="320">
        <f t="shared" si="7"/>
        <v>1113409.6455154915</v>
      </c>
      <c r="M38" s="321">
        <f t="shared" si="8"/>
        <v>5567048.2275774572</v>
      </c>
      <c r="N38" s="321"/>
      <c r="O38" s="320">
        <f>NhanCong!J25</f>
        <v>78819.230769230766</v>
      </c>
    </row>
    <row r="39" spans="1:15">
      <c r="A39" s="1043"/>
      <c r="B39" s="1038"/>
      <c r="C39" s="1043"/>
      <c r="D39" s="319">
        <v>4</v>
      </c>
      <c r="E39" s="301">
        <f>NhanCong!I27</f>
        <v>2779512.5531250006</v>
      </c>
      <c r="F39" s="301">
        <f>NhanCong!I28</f>
        <v>2619692.307692308</v>
      </c>
      <c r="G39" s="320">
        <f>Dcu!L$35</f>
        <v>21861.118055555558</v>
      </c>
      <c r="H39" s="320">
        <f>VLieu!J$28</f>
        <v>526229.16</v>
      </c>
      <c r="I39" s="320"/>
      <c r="J39" s="320"/>
      <c r="K39" s="320">
        <f t="shared" si="6"/>
        <v>5947295.1388728647</v>
      </c>
      <c r="L39" s="320">
        <f t="shared" si="7"/>
        <v>1486823.7847182162</v>
      </c>
      <c r="M39" s="321">
        <f t="shared" si="8"/>
        <v>7434118.9235910811</v>
      </c>
      <c r="N39" s="321"/>
      <c r="O39" s="320">
        <f>NhanCong!J27</f>
        <v>91955.76923076922</v>
      </c>
    </row>
    <row r="40" spans="1:15">
      <c r="A40" s="1043"/>
      <c r="B40" s="1038"/>
      <c r="C40" s="1043"/>
      <c r="D40" s="319" t="s">
        <v>13</v>
      </c>
      <c r="E40" s="301">
        <f>NhanCong!I29</f>
        <v>3176585.7750000008</v>
      </c>
      <c r="F40" s="301">
        <f>NhanCong!I30</f>
        <v>3056307.6923076925</v>
      </c>
      <c r="G40" s="320">
        <f>Dcu!L$36</f>
        <v>27746.803685897437</v>
      </c>
      <c r="H40" s="320">
        <f>VLieu!J$28</f>
        <v>526229.16</v>
      </c>
      <c r="I40" s="320"/>
      <c r="J40" s="320"/>
      <c r="K40" s="320">
        <f t="shared" si="6"/>
        <v>6786869.4309935905</v>
      </c>
      <c r="L40" s="320">
        <f t="shared" si="7"/>
        <v>1696717.3577483976</v>
      </c>
      <c r="M40" s="321">
        <f t="shared" si="8"/>
        <v>8483586.7887419872</v>
      </c>
      <c r="N40" s="321"/>
      <c r="O40" s="320">
        <f>NhanCong!J29</f>
        <v>105092.30769230769</v>
      </c>
    </row>
    <row r="41" spans="1:15">
      <c r="A41" s="1043">
        <f>NhanCong!A31</f>
        <v>3</v>
      </c>
      <c r="B41" s="1038" t="str">
        <f>NhanCong!B31</f>
        <v>Tiếp điểm</v>
      </c>
      <c r="C41" s="1043" t="str">
        <f>NhanCong!C31</f>
        <v>điểm</v>
      </c>
      <c r="D41" s="319">
        <v>1</v>
      </c>
      <c r="E41" s="301">
        <f>NhanCong!I31</f>
        <v>429520.47187500005</v>
      </c>
      <c r="F41" s="301">
        <f>NhanCong!I32</f>
        <v>65492.307692307695</v>
      </c>
      <c r="G41" s="320">
        <f>Dcu!M32</f>
        <v>2160.2465277777783</v>
      </c>
      <c r="H41" s="320">
        <f>VLieu!K$28</f>
        <v>148510</v>
      </c>
      <c r="I41" s="320"/>
      <c r="J41" s="320"/>
      <c r="K41" s="320">
        <f t="shared" si="6"/>
        <v>645683.02609508554</v>
      </c>
      <c r="L41" s="320">
        <f t="shared" si="7"/>
        <v>161420.75652377139</v>
      </c>
      <c r="M41" s="321">
        <f>K41+L41</f>
        <v>807103.78261885699</v>
      </c>
      <c r="N41" s="321"/>
      <c r="O41" s="320">
        <f>NhanCong!J31</f>
        <v>13136.538461538461</v>
      </c>
    </row>
    <row r="42" spans="1:15">
      <c r="A42" s="1043"/>
      <c r="B42" s="1038"/>
      <c r="C42" s="1043"/>
      <c r="D42" s="319">
        <v>2</v>
      </c>
      <c r="E42" s="301">
        <f>NhanCong!I33</f>
        <v>540877.63125000009</v>
      </c>
      <c r="F42" s="301">
        <f>NhanCong!I34</f>
        <v>65492.307692307695</v>
      </c>
      <c r="G42" s="320">
        <f>Dcu!M33</f>
        <v>2824.9377670940175</v>
      </c>
      <c r="H42" s="320">
        <f>VLieu!K$28</f>
        <v>148510</v>
      </c>
      <c r="I42" s="320"/>
      <c r="J42" s="320"/>
      <c r="K42" s="320">
        <f t="shared" si="6"/>
        <v>757704.87670940184</v>
      </c>
      <c r="L42" s="320">
        <f t="shared" si="7"/>
        <v>189426.21917735046</v>
      </c>
      <c r="M42" s="321">
        <f t="shared" si="8"/>
        <v>947131.09588675224</v>
      </c>
      <c r="N42" s="321"/>
      <c r="O42" s="320">
        <f>NhanCong!J33</f>
        <v>16542.307692307691</v>
      </c>
    </row>
    <row r="43" spans="1:15">
      <c r="A43" s="1043"/>
      <c r="B43" s="1038"/>
      <c r="C43" s="1043"/>
      <c r="D43" s="319">
        <v>3</v>
      </c>
      <c r="E43" s="301">
        <f>NhanCong!I35</f>
        <v>652234.79062500014</v>
      </c>
      <c r="F43" s="301">
        <f>NhanCong!I36</f>
        <v>98238.461538461546</v>
      </c>
      <c r="G43" s="320">
        <f>Dcu!M34</f>
        <v>3323.4561965811972</v>
      </c>
      <c r="H43" s="320">
        <f>VLieu!K$28</f>
        <v>148510</v>
      </c>
      <c r="I43" s="320"/>
      <c r="J43" s="320"/>
      <c r="K43" s="320">
        <f t="shared" si="6"/>
        <v>902306.70836004289</v>
      </c>
      <c r="L43" s="320">
        <f t="shared" si="7"/>
        <v>225576.67709001072</v>
      </c>
      <c r="M43" s="321">
        <f t="shared" si="8"/>
        <v>1127883.3854500535</v>
      </c>
      <c r="N43" s="321"/>
      <c r="O43" s="320">
        <f>NhanCong!J35</f>
        <v>19948.076923076922</v>
      </c>
    </row>
    <row r="44" spans="1:15">
      <c r="A44" s="1043"/>
      <c r="B44" s="1038"/>
      <c r="C44" s="1043"/>
      <c r="D44" s="319">
        <v>4</v>
      </c>
      <c r="E44" s="301">
        <f>NhanCong!I37</f>
        <v>811316.44687500014</v>
      </c>
      <c r="F44" s="301">
        <f>NhanCong!I38</f>
        <v>123707.69230769233</v>
      </c>
      <c r="G44" s="320">
        <f>Dcu!M35</f>
        <v>4154.3202457264961</v>
      </c>
      <c r="H44" s="320">
        <f>VLieu!K$28</f>
        <v>148510</v>
      </c>
      <c r="I44" s="320"/>
      <c r="J44" s="320"/>
      <c r="K44" s="320">
        <f t="shared" si="6"/>
        <v>1087688.4594284189</v>
      </c>
      <c r="L44" s="320">
        <f t="shared" si="7"/>
        <v>271922.11485710472</v>
      </c>
      <c r="M44" s="321">
        <f t="shared" si="8"/>
        <v>1359610.5742855235</v>
      </c>
      <c r="N44" s="321"/>
      <c r="O44" s="320">
        <f>NhanCong!J37</f>
        <v>24813.461538461539</v>
      </c>
    </row>
    <row r="45" spans="1:15">
      <c r="A45" s="1043"/>
      <c r="B45" s="1038"/>
      <c r="C45" s="1043"/>
      <c r="D45" s="319" t="s">
        <v>13</v>
      </c>
      <c r="E45" s="301">
        <f>NhanCong!I39</f>
        <v>1081755.2625000002</v>
      </c>
      <c r="F45" s="301">
        <f>NhanCong!I40</f>
        <v>123707.69230769233</v>
      </c>
      <c r="G45" s="320">
        <f>Dcu!M36</f>
        <v>5483.7027243589755</v>
      </c>
      <c r="H45" s="320">
        <f>VLieu!K$28</f>
        <v>148510</v>
      </c>
      <c r="I45" s="320"/>
      <c r="J45" s="320"/>
      <c r="K45" s="320">
        <f t="shared" si="6"/>
        <v>1359456.6575320514</v>
      </c>
      <c r="L45" s="320">
        <f t="shared" si="7"/>
        <v>339864.16438301286</v>
      </c>
      <c r="M45" s="321">
        <f t="shared" si="8"/>
        <v>1699320.8219150642</v>
      </c>
      <c r="N45" s="321"/>
      <c r="O45" s="320">
        <f>NhanCong!J39</f>
        <v>33084.615384615383</v>
      </c>
    </row>
    <row r="46" spans="1:15">
      <c r="A46" s="1043" t="s">
        <v>360</v>
      </c>
      <c r="B46" s="1038" t="s">
        <v>442</v>
      </c>
      <c r="C46" s="1043"/>
      <c r="D46" s="319">
        <v>1</v>
      </c>
      <c r="E46" s="301">
        <f t="shared" ref="E46:F50" si="11">E41*1.25</f>
        <v>536900.58984375</v>
      </c>
      <c r="F46" s="301">
        <f t="shared" si="11"/>
        <v>81865.384615384624</v>
      </c>
      <c r="G46" s="320">
        <f>Dcu!L38</f>
        <v>1620.1848958333337</v>
      </c>
      <c r="H46" s="320">
        <f>VLieu!K$28</f>
        <v>148510</v>
      </c>
      <c r="I46" s="320"/>
      <c r="J46" s="320"/>
      <c r="K46" s="320">
        <f t="shared" si="6"/>
        <v>768896.159354968</v>
      </c>
      <c r="L46" s="320">
        <f t="shared" si="7"/>
        <v>192224.039838742</v>
      </c>
      <c r="M46" s="321">
        <f>K46+L46</f>
        <v>961120.19919371</v>
      </c>
      <c r="N46" s="321"/>
      <c r="O46" s="320">
        <f>O41*1.25</f>
        <v>16420.673076923078</v>
      </c>
    </row>
    <row r="47" spans="1:15">
      <c r="A47" s="1043"/>
      <c r="B47" s="1038"/>
      <c r="C47" s="1043"/>
      <c r="D47" s="319">
        <v>2</v>
      </c>
      <c r="E47" s="301">
        <f t="shared" si="11"/>
        <v>676097.03906250012</v>
      </c>
      <c r="F47" s="301">
        <f t="shared" si="11"/>
        <v>81865.384615384624</v>
      </c>
      <c r="G47" s="320">
        <f>Dcu!L39</f>
        <v>2118.7033253205132</v>
      </c>
      <c r="H47" s="320">
        <f>VLieu!K$28</f>
        <v>148510</v>
      </c>
      <c r="I47" s="320">
        <f>I42</f>
        <v>0</v>
      </c>
      <c r="J47" s="320"/>
      <c r="K47" s="320">
        <f t="shared" si="6"/>
        <v>908591.12700320524</v>
      </c>
      <c r="L47" s="320">
        <f t="shared" si="7"/>
        <v>227147.78175080131</v>
      </c>
      <c r="M47" s="321">
        <f>K47+L47</f>
        <v>1135738.9087540065</v>
      </c>
      <c r="N47" s="321"/>
      <c r="O47" s="320">
        <f>O42*1.25</f>
        <v>20677.884615384613</v>
      </c>
    </row>
    <row r="48" spans="1:15">
      <c r="A48" s="1043"/>
      <c r="B48" s="1038"/>
      <c r="C48" s="1043"/>
      <c r="D48" s="319">
        <v>3</v>
      </c>
      <c r="E48" s="301">
        <f t="shared" si="11"/>
        <v>815293.48828125023</v>
      </c>
      <c r="F48" s="301">
        <f t="shared" si="11"/>
        <v>122798.07692307694</v>
      </c>
      <c r="G48" s="320">
        <f>Dcu!L40</f>
        <v>2492.5921474358979</v>
      </c>
      <c r="H48" s="320">
        <f>VLieu!K$28</f>
        <v>148510</v>
      </c>
      <c r="I48" s="320">
        <f>I43</f>
        <v>0</v>
      </c>
      <c r="J48" s="320"/>
      <c r="K48" s="320">
        <f t="shared" si="6"/>
        <v>1089094.157351763</v>
      </c>
      <c r="L48" s="320">
        <f t="shared" si="7"/>
        <v>272273.53933794075</v>
      </c>
      <c r="M48" s="321">
        <f>K48+L48</f>
        <v>1361367.6966897037</v>
      </c>
      <c r="N48" s="321"/>
      <c r="O48" s="320">
        <f>O43*1.25</f>
        <v>24935.096153846152</v>
      </c>
    </row>
    <row r="49" spans="1:15">
      <c r="A49" s="1043"/>
      <c r="B49" s="1038"/>
      <c r="C49" s="1043"/>
      <c r="D49" s="319">
        <v>4</v>
      </c>
      <c r="E49" s="301">
        <f t="shared" si="11"/>
        <v>1014145.5585937502</v>
      </c>
      <c r="F49" s="301">
        <f t="shared" si="11"/>
        <v>154634.6153846154</v>
      </c>
      <c r="G49" s="320">
        <f>Dcu!L41</f>
        <v>3115.7401842948721</v>
      </c>
      <c r="H49" s="320">
        <f>VLieu!K$28</f>
        <v>148510</v>
      </c>
      <c r="I49" s="320">
        <f>I44</f>
        <v>0</v>
      </c>
      <c r="J49" s="320"/>
      <c r="K49" s="320">
        <f t="shared" si="6"/>
        <v>1320405.9141626605</v>
      </c>
      <c r="L49" s="320">
        <f t="shared" si="7"/>
        <v>330101.47854066512</v>
      </c>
      <c r="M49" s="321">
        <f>K49+L49</f>
        <v>1650507.3927033255</v>
      </c>
      <c r="N49" s="321"/>
      <c r="O49" s="320">
        <f>O44*1.25</f>
        <v>31016.826923076922</v>
      </c>
    </row>
    <row r="50" spans="1:15">
      <c r="A50" s="1043"/>
      <c r="B50" s="1038"/>
      <c r="C50" s="1043"/>
      <c r="D50" s="319" t="s">
        <v>13</v>
      </c>
      <c r="E50" s="301">
        <f t="shared" si="11"/>
        <v>1352194.0781250002</v>
      </c>
      <c r="F50" s="301">
        <f t="shared" si="11"/>
        <v>154634.6153846154</v>
      </c>
      <c r="G50" s="320">
        <f>Dcu!L42</f>
        <v>4112.7770432692314</v>
      </c>
      <c r="H50" s="320">
        <f>VLieu!K$28</f>
        <v>148510</v>
      </c>
      <c r="I50" s="320">
        <f>I45</f>
        <v>0</v>
      </c>
      <c r="J50" s="320"/>
      <c r="K50" s="320">
        <f t="shared" si="6"/>
        <v>1659451.470552885</v>
      </c>
      <c r="L50" s="320">
        <f t="shared" si="7"/>
        <v>414862.86763822124</v>
      </c>
      <c r="M50" s="321">
        <f>K50+L50</f>
        <v>2074314.3381911062</v>
      </c>
      <c r="N50" s="321"/>
      <c r="O50" s="320">
        <f>O45*1.25</f>
        <v>41355.769230769227</v>
      </c>
    </row>
    <row r="51" spans="1:15" ht="12.75" customHeight="1">
      <c r="A51" s="1043">
        <f>NhanCong!A41</f>
        <v>4</v>
      </c>
      <c r="B51" s="1038" t="str">
        <f>NhanCong!B41</f>
        <v>Đo ngắm</v>
      </c>
      <c r="C51" s="1043" t="str">
        <f>NhanCong!C41</f>
        <v>điểm</v>
      </c>
      <c r="D51" s="319">
        <v>1</v>
      </c>
      <c r="E51" s="301">
        <f>NhanCong!I41</f>
        <v>1348663.9375000002</v>
      </c>
      <c r="F51" s="301">
        <f>NhanCong!I42</f>
        <v>81865.384615384624</v>
      </c>
      <c r="G51" s="320">
        <f>Dcu!N32</f>
        <v>5743.5042735042734</v>
      </c>
      <c r="H51" s="320">
        <f>VLieu!L$28</f>
        <v>25375</v>
      </c>
      <c r="I51" s="320"/>
      <c r="J51" s="320"/>
      <c r="K51" s="320">
        <f t="shared" si="6"/>
        <v>1461647.8263888892</v>
      </c>
      <c r="L51" s="320">
        <f t="shared" si="7"/>
        <v>365411.95659722231</v>
      </c>
      <c r="M51" s="321">
        <f t="shared" si="8"/>
        <v>1827059.7829861115</v>
      </c>
      <c r="N51" s="321"/>
      <c r="O51" s="320">
        <f>NhanCong!J41</f>
        <v>40747.596153846156</v>
      </c>
    </row>
    <row r="52" spans="1:15">
      <c r="A52" s="1043"/>
      <c r="B52" s="1038"/>
      <c r="C52" s="1043"/>
      <c r="D52" s="319">
        <v>2</v>
      </c>
      <c r="E52" s="301">
        <f>NhanCong!I43</f>
        <v>1630474.3125000002</v>
      </c>
      <c r="F52" s="301">
        <f>NhanCong!I44</f>
        <v>114611.53846153847</v>
      </c>
      <c r="G52" s="320">
        <f>Dcu!N33</f>
        <v>8354.1880341880333</v>
      </c>
      <c r="H52" s="320">
        <f>VLieu!L$28</f>
        <v>25375</v>
      </c>
      <c r="I52" s="320"/>
      <c r="J52" s="320"/>
      <c r="K52" s="320">
        <f t="shared" si="6"/>
        <v>1778815.0389957267</v>
      </c>
      <c r="L52" s="320">
        <f t="shared" si="7"/>
        <v>444703.75974893168</v>
      </c>
      <c r="M52" s="321">
        <f t="shared" si="8"/>
        <v>2223518.7987446585</v>
      </c>
      <c r="N52" s="321"/>
      <c r="O52" s="320">
        <f>NhanCong!J43</f>
        <v>49262.019230769234</v>
      </c>
    </row>
    <row r="53" spans="1:15">
      <c r="A53" s="1043"/>
      <c r="B53" s="1038"/>
      <c r="C53" s="1043"/>
      <c r="D53" s="319">
        <v>3</v>
      </c>
      <c r="E53" s="301">
        <f>NhanCong!I45</f>
        <v>1972672.6249999998</v>
      </c>
      <c r="F53" s="301">
        <f>NhanCong!I46</f>
        <v>229223.07692307694</v>
      </c>
      <c r="G53" s="320">
        <f>Dcu!N34</f>
        <v>10442.735042735041</v>
      </c>
      <c r="H53" s="320">
        <f>VLieu!L$28</f>
        <v>25375</v>
      </c>
      <c r="I53" s="320"/>
      <c r="J53" s="320"/>
      <c r="K53" s="320">
        <f t="shared" si="6"/>
        <v>2237713.4369658115</v>
      </c>
      <c r="L53" s="320">
        <f t="shared" si="7"/>
        <v>559428.35924145288</v>
      </c>
      <c r="M53" s="321">
        <f t="shared" si="8"/>
        <v>2797141.7962072645</v>
      </c>
      <c r="N53" s="321"/>
      <c r="O53" s="320">
        <f>NhanCong!J45</f>
        <v>59600.961538461546</v>
      </c>
    </row>
    <row r="54" spans="1:15">
      <c r="A54" s="1043"/>
      <c r="B54" s="1038"/>
      <c r="C54" s="1043"/>
      <c r="D54" s="319">
        <v>4</v>
      </c>
      <c r="E54" s="301">
        <f>NhanCong!I47</f>
        <v>2455776.125</v>
      </c>
      <c r="F54" s="301">
        <f>NhanCong!I48</f>
        <v>409326.92307692312</v>
      </c>
      <c r="G54" s="320">
        <f>Dcu!N35</f>
        <v>14097.692307692307</v>
      </c>
      <c r="H54" s="320">
        <f>VLieu!L$28</f>
        <v>25375</v>
      </c>
      <c r="I54" s="320"/>
      <c r="J54" s="320"/>
      <c r="K54" s="320">
        <f t="shared" si="6"/>
        <v>2904575.7403846155</v>
      </c>
      <c r="L54" s="320">
        <f t="shared" si="7"/>
        <v>726143.93509615387</v>
      </c>
      <c r="M54" s="321">
        <f t="shared" si="8"/>
        <v>3630719.6754807695</v>
      </c>
      <c r="N54" s="321"/>
      <c r="O54" s="320">
        <f>NhanCong!J47</f>
        <v>74197.115384615376</v>
      </c>
    </row>
    <row r="55" spans="1:15">
      <c r="A55" s="1043"/>
      <c r="B55" s="1038"/>
      <c r="C55" s="1043"/>
      <c r="D55" s="319" t="s">
        <v>13</v>
      </c>
      <c r="E55" s="301">
        <f>NhanCong!I49</f>
        <v>3824569.375</v>
      </c>
      <c r="F55" s="301">
        <f>NhanCong!I50</f>
        <v>509384.61538461538</v>
      </c>
      <c r="G55" s="320">
        <f>Dcu!N36</f>
        <v>18796.923076923074</v>
      </c>
      <c r="H55" s="320">
        <f>VLieu!L$28</f>
        <v>25375</v>
      </c>
      <c r="I55" s="320"/>
      <c r="J55" s="320"/>
      <c r="K55" s="320">
        <f t="shared" si="6"/>
        <v>4378125.913461538</v>
      </c>
      <c r="L55" s="320">
        <f t="shared" si="7"/>
        <v>1094531.4783653845</v>
      </c>
      <c r="M55" s="321">
        <f t="shared" si="8"/>
        <v>5472657.3918269221</v>
      </c>
      <c r="N55" s="321"/>
      <c r="O55" s="320">
        <f>NhanCong!J49</f>
        <v>115552.88461538461</v>
      </c>
    </row>
    <row r="56" spans="1:15" ht="12.75" customHeight="1">
      <c r="A56" s="1043" t="s">
        <v>361</v>
      </c>
      <c r="B56" s="1038" t="s">
        <v>443</v>
      </c>
      <c r="C56" s="1043"/>
      <c r="D56" s="319">
        <v>1</v>
      </c>
      <c r="E56" s="301">
        <f t="shared" ref="E56:F60" si="12">E51*0.1</f>
        <v>134866.39375000002</v>
      </c>
      <c r="F56" s="301">
        <f t="shared" si="12"/>
        <v>8186.5384615384628</v>
      </c>
      <c r="G56" s="320">
        <f>Dcu!N38</f>
        <v>574.35042735042737</v>
      </c>
      <c r="H56" s="320">
        <f>VLieu!L$28*0.1</f>
        <v>2537.5</v>
      </c>
      <c r="I56" s="320"/>
      <c r="J56" s="320"/>
      <c r="K56" s="320">
        <f t="shared" si="6"/>
        <v>146164.78263888892</v>
      </c>
      <c r="L56" s="320">
        <f t="shared" si="7"/>
        <v>36541.195659722231</v>
      </c>
      <c r="M56" s="321">
        <f t="shared" ref="M56:M62" si="13">K56+L56</f>
        <v>182705.97829861115</v>
      </c>
      <c r="N56" s="321"/>
      <c r="O56" s="320">
        <f>O51*0.1</f>
        <v>4074.7596153846157</v>
      </c>
    </row>
    <row r="57" spans="1:15">
      <c r="A57" s="1043"/>
      <c r="B57" s="1038"/>
      <c r="C57" s="1043"/>
      <c r="D57" s="319">
        <v>2</v>
      </c>
      <c r="E57" s="301">
        <f t="shared" si="12"/>
        <v>163047.43125000002</v>
      </c>
      <c r="F57" s="301">
        <f t="shared" si="12"/>
        <v>11461.153846153848</v>
      </c>
      <c r="G57" s="320">
        <f>Dcu!N39</f>
        <v>835.41880341880335</v>
      </c>
      <c r="H57" s="320">
        <f>VLieu!L$28*0.1</f>
        <v>2537.5</v>
      </c>
      <c r="I57" s="320"/>
      <c r="J57" s="320"/>
      <c r="K57" s="320">
        <f t="shared" si="6"/>
        <v>177881.50389957268</v>
      </c>
      <c r="L57" s="320">
        <f t="shared" si="7"/>
        <v>44470.37597489317</v>
      </c>
      <c r="M57" s="321">
        <f t="shared" si="13"/>
        <v>222351.87987446584</v>
      </c>
      <c r="N57" s="321"/>
      <c r="O57" s="320">
        <f>O52*0.1</f>
        <v>4926.2019230769238</v>
      </c>
    </row>
    <row r="58" spans="1:15">
      <c r="A58" s="1043"/>
      <c r="B58" s="1038"/>
      <c r="C58" s="1043"/>
      <c r="D58" s="319">
        <v>3</v>
      </c>
      <c r="E58" s="301">
        <f t="shared" si="12"/>
        <v>197267.26249999998</v>
      </c>
      <c r="F58" s="301">
        <f t="shared" si="12"/>
        <v>22922.307692307695</v>
      </c>
      <c r="G58" s="320">
        <f>Dcu!N40</f>
        <v>1044.2735042735042</v>
      </c>
      <c r="H58" s="320">
        <f>VLieu!L$28*0.1</f>
        <v>2537.5</v>
      </c>
      <c r="I58" s="320"/>
      <c r="J58" s="320"/>
      <c r="K58" s="320">
        <f t="shared" si="6"/>
        <v>223771.34369658117</v>
      </c>
      <c r="L58" s="320">
        <f t="shared" si="7"/>
        <v>55942.835924145293</v>
      </c>
      <c r="M58" s="321">
        <f t="shared" si="13"/>
        <v>279714.17962072644</v>
      </c>
      <c r="N58" s="321"/>
      <c r="O58" s="320">
        <f>O53*0.1</f>
        <v>5960.0961538461552</v>
      </c>
    </row>
    <row r="59" spans="1:15">
      <c r="A59" s="1043"/>
      <c r="B59" s="1038"/>
      <c r="C59" s="1043"/>
      <c r="D59" s="319">
        <v>4</v>
      </c>
      <c r="E59" s="301">
        <f t="shared" si="12"/>
        <v>245577.61250000002</v>
      </c>
      <c r="F59" s="301">
        <f t="shared" si="12"/>
        <v>40932.692307692312</v>
      </c>
      <c r="G59" s="320">
        <f>Dcu!N41</f>
        <v>1409.7692307692307</v>
      </c>
      <c r="H59" s="320">
        <f>VLieu!L$28*0.1</f>
        <v>2537.5</v>
      </c>
      <c r="I59" s="320"/>
      <c r="J59" s="320"/>
      <c r="K59" s="320">
        <f t="shared" si="6"/>
        <v>290457.57403846155</v>
      </c>
      <c r="L59" s="320">
        <f t="shared" si="7"/>
        <v>72614.393509615387</v>
      </c>
      <c r="M59" s="321">
        <f t="shared" si="13"/>
        <v>363071.96754807694</v>
      </c>
      <c r="N59" s="321"/>
      <c r="O59" s="320">
        <f>O54*0.1</f>
        <v>7419.7115384615381</v>
      </c>
    </row>
    <row r="60" spans="1:15">
      <c r="A60" s="1043"/>
      <c r="B60" s="1038"/>
      <c r="C60" s="1043"/>
      <c r="D60" s="319" t="s">
        <v>13</v>
      </c>
      <c r="E60" s="301">
        <f t="shared" si="12"/>
        <v>382456.9375</v>
      </c>
      <c r="F60" s="301">
        <f t="shared" si="12"/>
        <v>50938.461538461539</v>
      </c>
      <c r="G60" s="320">
        <f>Dcu!N42</f>
        <v>1879.6923076923076</v>
      </c>
      <c r="H60" s="320">
        <f>VLieu!L$28*0.1</f>
        <v>2537.5</v>
      </c>
      <c r="I60" s="320"/>
      <c r="J60" s="320"/>
      <c r="K60" s="320">
        <f t="shared" si="6"/>
        <v>437812.59134615387</v>
      </c>
      <c r="L60" s="320">
        <f t="shared" si="7"/>
        <v>109453.14783653847</v>
      </c>
      <c r="M60" s="321">
        <f t="shared" si="13"/>
        <v>547265.73918269237</v>
      </c>
      <c r="N60" s="321"/>
      <c r="O60" s="320">
        <f>O55*0.1</f>
        <v>11555.288461538461</v>
      </c>
    </row>
    <row r="61" spans="1:15" ht="19.5" customHeight="1">
      <c r="A61" s="300">
        <f>NhanCong!A51</f>
        <v>5</v>
      </c>
      <c r="B61" s="322" t="str">
        <f>NhanCong!B51</f>
        <v>Tính toán bình sai</v>
      </c>
      <c r="C61" s="300" t="str">
        <f>NhanCong!C51</f>
        <v>điểm</v>
      </c>
      <c r="D61" s="319" t="s">
        <v>15</v>
      </c>
      <c r="E61" s="301">
        <f>NhanCong!I51</f>
        <v>545113.80000000005</v>
      </c>
      <c r="F61" s="301"/>
      <c r="G61" s="320">
        <f>Dcu!H56</f>
        <v>2819.3792307692306</v>
      </c>
      <c r="H61" s="320">
        <f>VLieu!F43</f>
        <v>27260</v>
      </c>
      <c r="I61" s="320"/>
      <c r="J61" s="320"/>
      <c r="K61" s="320">
        <f t="shared" si="6"/>
        <v>575193.17923076928</v>
      </c>
      <c r="L61" s="320">
        <f>K61*0.15</f>
        <v>86278.976884615389</v>
      </c>
      <c r="M61" s="321">
        <f t="shared" si="13"/>
        <v>661472.15611538466</v>
      </c>
      <c r="N61" s="321"/>
      <c r="O61" s="320">
        <f>NhanCong!J51</f>
        <v>15569.23076923077</v>
      </c>
    </row>
    <row r="62" spans="1:15" ht="24" customHeight="1">
      <c r="A62" s="300" t="s">
        <v>362</v>
      </c>
      <c r="B62" s="322" t="s">
        <v>444</v>
      </c>
      <c r="C62" s="300"/>
      <c r="D62" s="319" t="s">
        <v>15</v>
      </c>
      <c r="E62" s="301">
        <f>NhanCong!F51/NhanCong!D51*0.1</f>
        <v>34069.612500000003</v>
      </c>
      <c r="F62" s="301">
        <f>NhanCong!J55</f>
        <v>0</v>
      </c>
      <c r="G62" s="320">
        <f>Dcu!H56</f>
        <v>2819.3792307692306</v>
      </c>
      <c r="H62" s="320">
        <f>H61</f>
        <v>27260</v>
      </c>
      <c r="I62" s="320">
        <f>0.1*I61</f>
        <v>0</v>
      </c>
      <c r="J62" s="320"/>
      <c r="K62" s="320">
        <f t="shared" si="6"/>
        <v>64148.99173076923</v>
      </c>
      <c r="L62" s="320">
        <f>K62*0.15</f>
        <v>9622.3487596153846</v>
      </c>
      <c r="M62" s="321">
        <f t="shared" si="13"/>
        <v>73771.340490384609</v>
      </c>
      <c r="N62" s="321"/>
      <c r="O62" s="320">
        <f>O61/0.8*0.05</f>
        <v>973.07692307692309</v>
      </c>
    </row>
    <row r="63" spans="1:15" ht="19.5" customHeight="1">
      <c r="A63" s="298" t="str">
        <f>L_CViec!A14</f>
        <v>II</v>
      </c>
      <c r="B63" s="314" t="s">
        <v>614</v>
      </c>
      <c r="C63" s="300"/>
      <c r="D63" s="300"/>
      <c r="E63" s="301"/>
      <c r="F63" s="301"/>
      <c r="G63" s="301"/>
      <c r="H63" s="301"/>
      <c r="I63" s="301"/>
      <c r="J63" s="301"/>
      <c r="K63" s="301"/>
      <c r="L63" s="301"/>
      <c r="M63" s="315"/>
      <c r="N63" s="315"/>
      <c r="O63" s="301"/>
    </row>
    <row r="64" spans="1:15">
      <c r="A64" s="298" t="s">
        <v>27</v>
      </c>
      <c r="B64" s="314" t="s">
        <v>44</v>
      </c>
      <c r="C64" s="300"/>
      <c r="D64" s="300"/>
      <c r="E64" s="301"/>
      <c r="F64" s="301"/>
      <c r="G64" s="301"/>
      <c r="H64" s="301"/>
      <c r="I64" s="301"/>
      <c r="J64" s="301"/>
      <c r="K64" s="301"/>
      <c r="L64" s="301"/>
      <c r="M64" s="315"/>
      <c r="N64" s="315"/>
      <c r="O64" s="301"/>
    </row>
    <row r="65" spans="1:15" s="308" customFormat="1" ht="13.5" customHeight="1">
      <c r="A65" s="1036"/>
      <c r="B65" s="1035" t="s">
        <v>190</v>
      </c>
      <c r="C65" s="1036" t="s">
        <v>21</v>
      </c>
      <c r="D65" s="298">
        <v>1</v>
      </c>
      <c r="E65" s="301">
        <f t="shared" ref="E65:H68" si="14">SUM(E$93,E94,E98,E102,E106,E110)</f>
        <v>27266085.137500007</v>
      </c>
      <c r="F65" s="301">
        <f t="shared" si="14"/>
        <v>3119980.7692307695</v>
      </c>
      <c r="G65" s="301">
        <f t="shared" si="14"/>
        <v>216115.38408119656</v>
      </c>
      <c r="H65" s="301">
        <f t="shared" si="14"/>
        <v>18546529</v>
      </c>
      <c r="I65" s="301"/>
      <c r="J65" s="301">
        <f>SUM(J$93,J94,J98,J102,J106,J110)</f>
        <v>712.32</v>
      </c>
      <c r="K65" s="301">
        <f t="shared" ref="K65:K72" si="15">SUM(E65:J65)</f>
        <v>49149422.610811971</v>
      </c>
      <c r="L65" s="301">
        <f>K65*0.25</f>
        <v>12287355.652702993</v>
      </c>
      <c r="M65" s="315">
        <f t="shared" ref="M65:M72" si="16">K65+L65</f>
        <v>61436778.263514966</v>
      </c>
      <c r="N65" s="301">
        <f>M65+M69</f>
        <v>66524191.329798616</v>
      </c>
      <c r="O65" s="301">
        <f>SUM(O$93,O94,O98,O102,O106,O110)/$M$92</f>
        <v>771406.73076923063</v>
      </c>
    </row>
    <row r="66" spans="1:15" s="308" customFormat="1" ht="15" customHeight="1">
      <c r="A66" s="1036"/>
      <c r="B66" s="1035"/>
      <c r="C66" s="1036"/>
      <c r="D66" s="298">
        <v>2</v>
      </c>
      <c r="E66" s="301">
        <f t="shared" si="14"/>
        <v>32327075.000000007</v>
      </c>
      <c r="F66" s="301">
        <f t="shared" si="14"/>
        <v>3736700.0000000005</v>
      </c>
      <c r="G66" s="301">
        <f t="shared" si="14"/>
        <v>251773.2716346154</v>
      </c>
      <c r="H66" s="301">
        <f t="shared" si="14"/>
        <v>18546529</v>
      </c>
      <c r="I66" s="301"/>
      <c r="J66" s="301">
        <f>SUM(J$93,J95,J99,J103,J107,J111)</f>
        <v>712.32</v>
      </c>
      <c r="K66" s="301">
        <f t="shared" si="15"/>
        <v>54862789.591634624</v>
      </c>
      <c r="L66" s="301">
        <f>K66*0.25</f>
        <v>13715697.397908656</v>
      </c>
      <c r="M66" s="315">
        <f t="shared" si="16"/>
        <v>68578486.989543274</v>
      </c>
      <c r="N66" s="301">
        <f>M66+M70</f>
        <v>74020143.325667948</v>
      </c>
      <c r="O66" s="301">
        <f>SUM(O$93,O95,O99,O103,O107,O111)/$M$92</f>
        <v>914692.30769230775</v>
      </c>
    </row>
    <row r="67" spans="1:15" s="308" customFormat="1" ht="15" customHeight="1">
      <c r="A67" s="1036"/>
      <c r="B67" s="1035"/>
      <c r="C67" s="1036"/>
      <c r="D67" s="298">
        <v>3</v>
      </c>
      <c r="E67" s="301">
        <f t="shared" si="14"/>
        <v>37907911.868750006</v>
      </c>
      <c r="F67" s="301">
        <f t="shared" si="14"/>
        <v>4406176.9230769239</v>
      </c>
      <c r="G67" s="301">
        <f t="shared" si="14"/>
        <v>287431.15918803425</v>
      </c>
      <c r="H67" s="301">
        <f t="shared" si="14"/>
        <v>18546529</v>
      </c>
      <c r="I67" s="301"/>
      <c r="J67" s="301">
        <f>SUM(J$93,J96,J100,J104,J108,J112)</f>
        <v>712.32</v>
      </c>
      <c r="K67" s="301">
        <f t="shared" si="15"/>
        <v>61148761.271014966</v>
      </c>
      <c r="L67" s="301">
        <f>K67*0.25</f>
        <v>15287190.317753742</v>
      </c>
      <c r="M67" s="315">
        <f t="shared" si="16"/>
        <v>76435951.588768706</v>
      </c>
      <c r="N67" s="301">
        <f>M67+M71</f>
        <v>82199053.194734409</v>
      </c>
      <c r="O67" s="301">
        <f>SUM(O$93,O96,O100,O104,O108,O112)/$M$92</f>
        <v>1072695.6730769232</v>
      </c>
    </row>
    <row r="68" spans="1:15" s="308" customFormat="1" ht="15" customHeight="1">
      <c r="A68" s="1036"/>
      <c r="B68" s="1035"/>
      <c r="C68" s="1036"/>
      <c r="D68" s="298">
        <v>4</v>
      </c>
      <c r="E68" s="301">
        <f t="shared" si="14"/>
        <v>44339407.475000009</v>
      </c>
      <c r="F68" s="301">
        <f t="shared" si="14"/>
        <v>5132050</v>
      </c>
      <c r="G68" s="301">
        <f t="shared" si="14"/>
        <v>335484.95566239319</v>
      </c>
      <c r="H68" s="301">
        <f t="shared" si="14"/>
        <v>18546529</v>
      </c>
      <c r="I68" s="301"/>
      <c r="J68" s="301">
        <f>SUM(J$93,J97,J101,J105,J109,J113)</f>
        <v>712.32</v>
      </c>
      <c r="K68" s="301">
        <f t="shared" si="15"/>
        <v>68354183.750662386</v>
      </c>
      <c r="L68" s="301">
        <f>K68*0.25</f>
        <v>17088545.937665597</v>
      </c>
      <c r="M68" s="315">
        <f t="shared" si="16"/>
        <v>85442729.688327983</v>
      </c>
      <c r="N68" s="301">
        <f>M68+M72</f>
        <v>91766022.583195403</v>
      </c>
      <c r="O68" s="301">
        <f>SUM(O$93,O97,O101,O105,O109,O113)/$M$92</f>
        <v>1254782.6923076925</v>
      </c>
    </row>
    <row r="69" spans="1:15" s="308" customFormat="1" ht="13.5" customHeight="1">
      <c r="A69" s="1036"/>
      <c r="B69" s="1035" t="s">
        <v>192</v>
      </c>
      <c r="C69" s="1036" t="s">
        <v>21</v>
      </c>
      <c r="D69" s="298">
        <v>1</v>
      </c>
      <c r="E69" s="301">
        <f t="shared" ref="E69:H72" si="17">(E115+SUM(E$119:E$124))</f>
        <v>3082993.4850000008</v>
      </c>
      <c r="F69" s="301">
        <f t="shared" si="17"/>
        <v>0</v>
      </c>
      <c r="G69" s="301">
        <f t="shared" si="17"/>
        <v>23929.943942307695</v>
      </c>
      <c r="H69" s="301">
        <f t="shared" si="17"/>
        <v>1226160</v>
      </c>
      <c r="I69" s="301"/>
      <c r="J69" s="301">
        <f>(J115+SUM(J$119:J$124))</f>
        <v>90754.01999999999</v>
      </c>
      <c r="K69" s="301">
        <f t="shared" si="15"/>
        <v>4423837.4489423074</v>
      </c>
      <c r="L69" s="301">
        <f>K69*0.15</f>
        <v>663575.61734134611</v>
      </c>
      <c r="M69" s="315">
        <f t="shared" si="16"/>
        <v>5087413.0662836535</v>
      </c>
      <c r="N69" s="301"/>
      <c r="O69" s="301">
        <f>(O115+SUM(O$119:O$124))/$M$92</f>
        <v>87285</v>
      </c>
    </row>
    <row r="70" spans="1:15" s="308" customFormat="1" ht="15" customHeight="1">
      <c r="A70" s="1036"/>
      <c r="B70" s="1035"/>
      <c r="C70" s="1036"/>
      <c r="D70" s="298">
        <v>2</v>
      </c>
      <c r="E70" s="301">
        <f t="shared" si="17"/>
        <v>3378575.915000001</v>
      </c>
      <c r="F70" s="301">
        <f t="shared" si="17"/>
        <v>0</v>
      </c>
      <c r="G70" s="301">
        <f t="shared" si="17"/>
        <v>25499.999891025644</v>
      </c>
      <c r="H70" s="301">
        <f t="shared" si="17"/>
        <v>1226160</v>
      </c>
      <c r="I70" s="301"/>
      <c r="J70" s="301">
        <f>(J116+SUM(J$119:J$124))</f>
        <v>101639.16</v>
      </c>
      <c r="K70" s="301">
        <f t="shared" si="15"/>
        <v>4731875.0748910271</v>
      </c>
      <c r="L70" s="301">
        <f>K70*0.15</f>
        <v>709781.26123365399</v>
      </c>
      <c r="M70" s="315">
        <f t="shared" si="16"/>
        <v>5441656.3361246809</v>
      </c>
      <c r="N70" s="301"/>
      <c r="O70" s="301">
        <f>(O116+SUM(O$119:O$124))/$M$92</f>
        <v>95653.461538461532</v>
      </c>
    </row>
    <row r="71" spans="1:15" s="308" customFormat="1" ht="15" customHeight="1">
      <c r="A71" s="1036"/>
      <c r="B71" s="1035"/>
      <c r="C71" s="1036"/>
      <c r="D71" s="298">
        <v>3</v>
      </c>
      <c r="E71" s="301">
        <f t="shared" si="17"/>
        <v>3646662.3050000006</v>
      </c>
      <c r="F71" s="301">
        <f t="shared" si="17"/>
        <v>0</v>
      </c>
      <c r="G71" s="301">
        <f t="shared" si="17"/>
        <v>27070.055839743593</v>
      </c>
      <c r="H71" s="301">
        <f t="shared" si="17"/>
        <v>1226160</v>
      </c>
      <c r="I71" s="301"/>
      <c r="J71" s="301">
        <f>(J117+SUM(J$119:J$124))</f>
        <v>111500.34</v>
      </c>
      <c r="K71" s="301">
        <f t="shared" si="15"/>
        <v>5011392.7008397439</v>
      </c>
      <c r="L71" s="301">
        <f>K71*0.15</f>
        <v>751708.90512596152</v>
      </c>
      <c r="M71" s="315">
        <f t="shared" si="16"/>
        <v>5763101.6059657056</v>
      </c>
      <c r="N71" s="301"/>
      <c r="O71" s="301">
        <f>(O117+SUM(O$119:O$124))/$M$92</f>
        <v>103243.46153846153</v>
      </c>
    </row>
    <row r="72" spans="1:15" s="308" customFormat="1" ht="15" customHeight="1">
      <c r="A72" s="1036"/>
      <c r="B72" s="1035"/>
      <c r="C72" s="1036"/>
      <c r="D72" s="298">
        <v>4</v>
      </c>
      <c r="E72" s="301">
        <f t="shared" si="17"/>
        <v>4114094.9850000013</v>
      </c>
      <c r="F72" s="301">
        <f t="shared" si="17"/>
        <v>0</v>
      </c>
      <c r="G72" s="301">
        <f t="shared" si="17"/>
        <v>29686.815754273506</v>
      </c>
      <c r="H72" s="301">
        <f t="shared" si="17"/>
        <v>1226160</v>
      </c>
      <c r="I72" s="301"/>
      <c r="J72" s="301">
        <f>(J118+SUM(J$119:J$124))</f>
        <v>128573.76000000001</v>
      </c>
      <c r="K72" s="301">
        <f t="shared" si="15"/>
        <v>5498515.5607542749</v>
      </c>
      <c r="L72" s="301">
        <f>K72*0.15</f>
        <v>824777.33411314117</v>
      </c>
      <c r="M72" s="315">
        <f t="shared" si="16"/>
        <v>6323292.8948674165</v>
      </c>
      <c r="N72" s="301"/>
      <c r="O72" s="301">
        <f>(O118+SUM(O$119:O$124))/$M$92</f>
        <v>116477.30769230769</v>
      </c>
    </row>
    <row r="73" spans="1:15">
      <c r="A73" s="298"/>
      <c r="B73" s="314" t="s">
        <v>322</v>
      </c>
      <c r="C73" s="300"/>
      <c r="D73" s="300"/>
      <c r="E73" s="301"/>
      <c r="F73" s="301"/>
      <c r="G73" s="301"/>
      <c r="H73" s="301"/>
      <c r="I73" s="301"/>
      <c r="J73" s="301"/>
      <c r="K73" s="301"/>
      <c r="L73" s="301"/>
      <c r="M73" s="315"/>
      <c r="N73" s="315"/>
      <c r="O73" s="301"/>
    </row>
    <row r="74" spans="1:15">
      <c r="A74" s="298" t="s">
        <v>323</v>
      </c>
      <c r="B74" s="314" t="s">
        <v>324</v>
      </c>
      <c r="C74" s="300"/>
      <c r="D74" s="300"/>
      <c r="E74" s="301"/>
      <c r="F74" s="301"/>
      <c r="G74" s="301"/>
      <c r="H74" s="301"/>
      <c r="I74" s="301"/>
      <c r="J74" s="301"/>
      <c r="K74" s="301"/>
      <c r="L74" s="301"/>
      <c r="M74" s="315"/>
      <c r="N74" s="315"/>
      <c r="O74" s="301"/>
    </row>
    <row r="75" spans="1:15" s="308" customFormat="1" ht="13.5" customHeight="1">
      <c r="A75" s="1036"/>
      <c r="B75" s="1035" t="s">
        <v>190</v>
      </c>
      <c r="C75" s="1036" t="s">
        <v>21</v>
      </c>
      <c r="D75" s="298">
        <v>1</v>
      </c>
      <c r="E75" s="301">
        <f t="shared" ref="E75:F82" si="18">E65*0.1</f>
        <v>2726608.5137500009</v>
      </c>
      <c r="F75" s="301">
        <f t="shared" si="18"/>
        <v>311998.07692307694</v>
      </c>
      <c r="G75" s="301">
        <f>G102*0.1</f>
        <v>6914.7716346153848</v>
      </c>
      <c r="H75" s="301">
        <f t="shared" ref="H75:I78" si="19">H65*0.1</f>
        <v>1854652.9000000001</v>
      </c>
      <c r="I75" s="301">
        <f t="shared" si="19"/>
        <v>0</v>
      </c>
      <c r="J75" s="301">
        <f>J102*0.1</f>
        <v>0</v>
      </c>
      <c r="K75" s="301">
        <f t="shared" ref="K75:K82" si="20">SUM(E75:J75)</f>
        <v>4900174.2623076933</v>
      </c>
      <c r="L75" s="301">
        <f>K75*0.25</f>
        <v>1225043.5655769233</v>
      </c>
      <c r="M75" s="315">
        <f t="shared" ref="M75:M82" si="21">K75+L75</f>
        <v>6125217.8278846163</v>
      </c>
      <c r="N75" s="301">
        <f>M75+M79</f>
        <v>6521394.6003520954</v>
      </c>
      <c r="O75" s="301">
        <f t="shared" ref="O75:O82" si="22">O65*0.1</f>
        <v>77140.673076923063</v>
      </c>
    </row>
    <row r="76" spans="1:15" s="308" customFormat="1" ht="15" customHeight="1">
      <c r="A76" s="1036"/>
      <c r="B76" s="1035"/>
      <c r="C76" s="1036"/>
      <c r="D76" s="298">
        <v>2</v>
      </c>
      <c r="E76" s="301">
        <f t="shared" si="18"/>
        <v>3232707.5000000009</v>
      </c>
      <c r="F76" s="301">
        <f t="shared" si="18"/>
        <v>373670.00000000006</v>
      </c>
      <c r="G76" s="301">
        <f>G103*0.1</f>
        <v>8396.508413461539</v>
      </c>
      <c r="H76" s="301">
        <f t="shared" si="19"/>
        <v>1854652.9000000001</v>
      </c>
      <c r="I76" s="301">
        <f t="shared" si="19"/>
        <v>0</v>
      </c>
      <c r="J76" s="301">
        <f>J103*0.1</f>
        <v>0</v>
      </c>
      <c r="K76" s="301">
        <f t="shared" si="20"/>
        <v>5469426.9084134623</v>
      </c>
      <c r="L76" s="301">
        <f>K76*0.25</f>
        <v>1367356.7271033656</v>
      </c>
      <c r="M76" s="315">
        <f t="shared" si="21"/>
        <v>6836783.6355168279</v>
      </c>
      <c r="N76" s="301">
        <f>M76+M80</f>
        <v>7267132.9438684089</v>
      </c>
      <c r="O76" s="301">
        <f t="shared" si="22"/>
        <v>91469.23076923078</v>
      </c>
    </row>
    <row r="77" spans="1:15" s="308" customFormat="1" ht="15" customHeight="1">
      <c r="A77" s="1036"/>
      <c r="B77" s="1035"/>
      <c r="C77" s="1036"/>
      <c r="D77" s="298">
        <v>3</v>
      </c>
      <c r="E77" s="301">
        <f t="shared" si="18"/>
        <v>3790791.1868750006</v>
      </c>
      <c r="F77" s="301">
        <f t="shared" si="18"/>
        <v>440617.69230769243</v>
      </c>
      <c r="G77" s="301">
        <f>G104*0.1</f>
        <v>9878.2451923076951</v>
      </c>
      <c r="H77" s="301">
        <f t="shared" si="19"/>
        <v>1854652.9000000001</v>
      </c>
      <c r="I77" s="301">
        <f t="shared" si="19"/>
        <v>0</v>
      </c>
      <c r="J77" s="301">
        <f>J104*0.1</f>
        <v>0</v>
      </c>
      <c r="K77" s="301">
        <f t="shared" si="20"/>
        <v>6095940.024375001</v>
      </c>
      <c r="L77" s="301">
        <f>K77*0.25</f>
        <v>1523985.0060937502</v>
      </c>
      <c r="M77" s="315">
        <f t="shared" si="21"/>
        <v>7619925.0304687507</v>
      </c>
      <c r="N77" s="301">
        <f>M77+M81</f>
        <v>8081284.8301044349</v>
      </c>
      <c r="O77" s="301">
        <f t="shared" si="22"/>
        <v>107269.56730769233</v>
      </c>
    </row>
    <row r="78" spans="1:15" s="308" customFormat="1" ht="15" customHeight="1">
      <c r="A78" s="1036"/>
      <c r="B78" s="1035"/>
      <c r="C78" s="1036"/>
      <c r="D78" s="298">
        <v>4</v>
      </c>
      <c r="E78" s="301">
        <f t="shared" si="18"/>
        <v>4433940.7475000015</v>
      </c>
      <c r="F78" s="301">
        <f t="shared" si="18"/>
        <v>513205</v>
      </c>
      <c r="G78" s="301">
        <f>G105*0.1</f>
        <v>11853.894230769232</v>
      </c>
      <c r="H78" s="301">
        <f t="shared" si="19"/>
        <v>1854652.9000000001</v>
      </c>
      <c r="I78" s="301">
        <f t="shared" si="19"/>
        <v>0</v>
      </c>
      <c r="J78" s="301">
        <f>J105*0.1</f>
        <v>0</v>
      </c>
      <c r="K78" s="301">
        <f t="shared" si="20"/>
        <v>6813652.5417307708</v>
      </c>
      <c r="L78" s="301">
        <f>K78*0.25</f>
        <v>1703413.1354326927</v>
      </c>
      <c r="M78" s="315">
        <f t="shared" si="21"/>
        <v>8517065.6771634631</v>
      </c>
      <c r="N78" s="301">
        <f>M78+M82</f>
        <v>9032481.1623893175</v>
      </c>
      <c r="O78" s="301">
        <f t="shared" si="22"/>
        <v>125478.26923076925</v>
      </c>
    </row>
    <row r="79" spans="1:15" s="308" customFormat="1" ht="13.5" customHeight="1">
      <c r="A79" s="1036"/>
      <c r="B79" s="1035" t="s">
        <v>192</v>
      </c>
      <c r="C79" s="1036" t="s">
        <v>21</v>
      </c>
      <c r="D79" s="298">
        <v>1</v>
      </c>
      <c r="E79" s="301">
        <f t="shared" si="18"/>
        <v>308299.34850000008</v>
      </c>
      <c r="F79" s="301">
        <f t="shared" si="18"/>
        <v>0</v>
      </c>
      <c r="G79" s="301">
        <f t="shared" ref="G79:H82" si="23">G115*0.1</f>
        <v>732.69277606837613</v>
      </c>
      <c r="H79" s="301">
        <f t="shared" si="23"/>
        <v>35469.5</v>
      </c>
      <c r="I79" s="301"/>
      <c r="J79" s="301"/>
      <c r="K79" s="301">
        <f t="shared" si="20"/>
        <v>344501.54127606848</v>
      </c>
      <c r="L79" s="301">
        <f>K79*0.15</f>
        <v>51675.231191410268</v>
      </c>
      <c r="M79" s="315">
        <f t="shared" si="21"/>
        <v>396176.77246747876</v>
      </c>
      <c r="N79" s="301"/>
      <c r="O79" s="301">
        <f t="shared" si="22"/>
        <v>8728.5</v>
      </c>
    </row>
    <row r="80" spans="1:15" s="308" customFormat="1" ht="15" customHeight="1">
      <c r="A80" s="1036"/>
      <c r="B80" s="1035"/>
      <c r="C80" s="1036"/>
      <c r="D80" s="298">
        <v>2</v>
      </c>
      <c r="E80" s="301">
        <f t="shared" si="18"/>
        <v>337857.5915000001</v>
      </c>
      <c r="F80" s="301">
        <f t="shared" si="18"/>
        <v>0</v>
      </c>
      <c r="G80" s="301">
        <f t="shared" si="23"/>
        <v>889.698370940171</v>
      </c>
      <c r="H80" s="301">
        <f t="shared" si="23"/>
        <v>35469.5</v>
      </c>
      <c r="I80" s="301"/>
      <c r="J80" s="301"/>
      <c r="K80" s="301">
        <f t="shared" si="20"/>
        <v>374216.78987094027</v>
      </c>
      <c r="L80" s="301">
        <f>K80*0.15</f>
        <v>56132.51848064104</v>
      </c>
      <c r="M80" s="315">
        <f t="shared" si="21"/>
        <v>430349.30835158133</v>
      </c>
      <c r="N80" s="301"/>
      <c r="O80" s="301">
        <f t="shared" si="22"/>
        <v>9565.3461538461543</v>
      </c>
    </row>
    <row r="81" spans="1:15" s="308" customFormat="1" ht="15" customHeight="1">
      <c r="A81" s="1036"/>
      <c r="B81" s="1035"/>
      <c r="C81" s="1036"/>
      <c r="D81" s="298">
        <v>3</v>
      </c>
      <c r="E81" s="301">
        <f t="shared" si="18"/>
        <v>364666.23050000006</v>
      </c>
      <c r="F81" s="301">
        <f t="shared" si="18"/>
        <v>0</v>
      </c>
      <c r="G81" s="301">
        <f t="shared" si="23"/>
        <v>1046.7039658119659</v>
      </c>
      <c r="H81" s="301">
        <f t="shared" si="23"/>
        <v>35469.5</v>
      </c>
      <c r="I81" s="301"/>
      <c r="J81" s="301"/>
      <c r="K81" s="301">
        <f t="shared" si="20"/>
        <v>401182.43446581205</v>
      </c>
      <c r="L81" s="301">
        <f>K81*0.15</f>
        <v>60177.365169871802</v>
      </c>
      <c r="M81" s="315">
        <f t="shared" si="21"/>
        <v>461359.79963568388</v>
      </c>
      <c r="N81" s="301"/>
      <c r="O81" s="301">
        <f t="shared" si="22"/>
        <v>10324.346153846154</v>
      </c>
    </row>
    <row r="82" spans="1:15" s="308" customFormat="1" ht="15" customHeight="1">
      <c r="A82" s="1036"/>
      <c r="B82" s="1035"/>
      <c r="C82" s="1036"/>
      <c r="D82" s="298">
        <v>4</v>
      </c>
      <c r="E82" s="301">
        <f t="shared" si="18"/>
        <v>411409.49850000016</v>
      </c>
      <c r="F82" s="301">
        <f t="shared" si="18"/>
        <v>0</v>
      </c>
      <c r="G82" s="301">
        <f t="shared" si="23"/>
        <v>1308.3799572649573</v>
      </c>
      <c r="H82" s="301">
        <f t="shared" si="23"/>
        <v>35469.5</v>
      </c>
      <c r="I82" s="301"/>
      <c r="J82" s="301"/>
      <c r="K82" s="301">
        <f t="shared" si="20"/>
        <v>448187.37845726509</v>
      </c>
      <c r="L82" s="301">
        <f>K82*0.15</f>
        <v>67228.106768589758</v>
      </c>
      <c r="M82" s="315">
        <f t="shared" si="21"/>
        <v>515415.48522585485</v>
      </c>
      <c r="N82" s="301"/>
      <c r="O82" s="301">
        <f t="shared" si="22"/>
        <v>11647.73076923077</v>
      </c>
    </row>
    <row r="83" spans="1:15">
      <c r="A83" s="298" t="s">
        <v>323</v>
      </c>
      <c r="B83" s="314" t="s">
        <v>326</v>
      </c>
      <c r="C83" s="300"/>
      <c r="D83" s="300"/>
      <c r="E83" s="301"/>
      <c r="F83" s="301"/>
      <c r="G83" s="301"/>
      <c r="H83" s="301"/>
      <c r="I83" s="301"/>
      <c r="J83" s="301"/>
      <c r="K83" s="301"/>
      <c r="L83" s="301"/>
      <c r="M83" s="315"/>
      <c r="N83" s="301"/>
      <c r="O83" s="301"/>
    </row>
    <row r="84" spans="1:15" s="308" customFormat="1" ht="13.5" customHeight="1">
      <c r="A84" s="1036"/>
      <c r="B84" s="1035" t="s">
        <v>190</v>
      </c>
      <c r="C84" s="1036" t="s">
        <v>21</v>
      </c>
      <c r="D84" s="298">
        <v>1</v>
      </c>
      <c r="E84" s="301">
        <f t="shared" ref="E84:F87" si="24">E65*1.15</f>
        <v>31355997.908125006</v>
      </c>
      <c r="F84" s="301">
        <f t="shared" si="24"/>
        <v>3587977.8846153845</v>
      </c>
      <c r="G84" s="301">
        <f t="shared" ref="G84:J91" si="25">G65</f>
        <v>216115.38408119656</v>
      </c>
      <c r="H84" s="301">
        <f t="shared" si="25"/>
        <v>18546529</v>
      </c>
      <c r="I84" s="301">
        <f t="shared" si="25"/>
        <v>0</v>
      </c>
      <c r="J84" s="301">
        <f t="shared" si="25"/>
        <v>712.32</v>
      </c>
      <c r="K84" s="301">
        <f t="shared" ref="K84:K91" si="26">SUM(E84:J84)</f>
        <v>53707332.49682159</v>
      </c>
      <c r="L84" s="301">
        <f>K84*0.25</f>
        <v>13426833.124205397</v>
      </c>
      <c r="M84" s="315">
        <f t="shared" ref="M84:M91" si="27">K84+L84</f>
        <v>67134165.621026993</v>
      </c>
      <c r="N84" s="301">
        <f>M84+M88</f>
        <v>72576122.938085645</v>
      </c>
      <c r="O84" s="301">
        <f>O65*1.15</f>
        <v>887117.74038461514</v>
      </c>
    </row>
    <row r="85" spans="1:15" s="308" customFormat="1" ht="15" customHeight="1">
      <c r="A85" s="1036"/>
      <c r="B85" s="1035"/>
      <c r="C85" s="1036"/>
      <c r="D85" s="298">
        <v>2</v>
      </c>
      <c r="E85" s="301">
        <f t="shared" si="24"/>
        <v>37176136.250000007</v>
      </c>
      <c r="F85" s="301">
        <f t="shared" si="24"/>
        <v>4297205</v>
      </c>
      <c r="G85" s="301">
        <f t="shared" si="25"/>
        <v>251773.2716346154</v>
      </c>
      <c r="H85" s="301">
        <f t="shared" si="25"/>
        <v>18546529</v>
      </c>
      <c r="I85" s="301">
        <f t="shared" si="25"/>
        <v>0</v>
      </c>
      <c r="J85" s="301">
        <f t="shared" si="25"/>
        <v>712.32</v>
      </c>
      <c r="K85" s="301">
        <f t="shared" si="26"/>
        <v>60272355.841634624</v>
      </c>
      <c r="L85" s="301">
        <f>K85*0.25</f>
        <v>15068088.960408656</v>
      </c>
      <c r="M85" s="315">
        <f t="shared" si="27"/>
        <v>75340444.802043274</v>
      </c>
      <c r="N85" s="301">
        <f>M85+M89</f>
        <v>81170637.368392959</v>
      </c>
      <c r="O85" s="301">
        <f>O66*1.15</f>
        <v>1051896.1538461538</v>
      </c>
    </row>
    <row r="86" spans="1:15" s="308" customFormat="1" ht="15" customHeight="1">
      <c r="A86" s="1036"/>
      <c r="B86" s="1035"/>
      <c r="C86" s="1036"/>
      <c r="D86" s="298">
        <v>3</v>
      </c>
      <c r="E86" s="301">
        <f t="shared" si="24"/>
        <v>43594098.649062507</v>
      </c>
      <c r="F86" s="301">
        <f t="shared" si="24"/>
        <v>5067103.461538462</v>
      </c>
      <c r="G86" s="301">
        <f t="shared" si="25"/>
        <v>287431.15918803425</v>
      </c>
      <c r="H86" s="301">
        <f t="shared" si="25"/>
        <v>18546529</v>
      </c>
      <c r="I86" s="301">
        <f t="shared" si="25"/>
        <v>0</v>
      </c>
      <c r="J86" s="301">
        <f t="shared" si="25"/>
        <v>712.32</v>
      </c>
      <c r="K86" s="301">
        <f t="shared" si="26"/>
        <v>67495874.589789003</v>
      </c>
      <c r="L86" s="301">
        <f>K86*0.25</f>
        <v>16873968.647447251</v>
      </c>
      <c r="M86" s="315">
        <f t="shared" si="27"/>
        <v>84369843.237236261</v>
      </c>
      <c r="N86" s="301">
        <f>M86+M90</f>
        <v>90552311.008276969</v>
      </c>
      <c r="O86" s="301">
        <f>O67*1.15</f>
        <v>1233600.0240384617</v>
      </c>
    </row>
    <row r="87" spans="1:15" s="308" customFormat="1" ht="15" customHeight="1">
      <c r="A87" s="1036"/>
      <c r="B87" s="1035"/>
      <c r="C87" s="1036"/>
      <c r="D87" s="298">
        <v>4</v>
      </c>
      <c r="E87" s="301">
        <f t="shared" si="24"/>
        <v>50990318.596250005</v>
      </c>
      <c r="F87" s="301">
        <f t="shared" si="24"/>
        <v>5901857.5</v>
      </c>
      <c r="G87" s="301">
        <f t="shared" si="25"/>
        <v>335484.95566239319</v>
      </c>
      <c r="H87" s="301">
        <f t="shared" si="25"/>
        <v>18546529</v>
      </c>
      <c r="I87" s="301">
        <f t="shared" si="25"/>
        <v>0</v>
      </c>
      <c r="J87" s="301">
        <f t="shared" si="25"/>
        <v>712.32</v>
      </c>
      <c r="K87" s="301">
        <f t="shared" si="26"/>
        <v>75774902.37191239</v>
      </c>
      <c r="L87" s="301">
        <f>K87*0.25</f>
        <v>18943725.592978097</v>
      </c>
      <c r="M87" s="315">
        <f t="shared" si="27"/>
        <v>94718627.96489048</v>
      </c>
      <c r="N87" s="301">
        <f>M87+M91</f>
        <v>101515041.78303289</v>
      </c>
      <c r="O87" s="301">
        <f>O68*1.15</f>
        <v>1443000.0961538462</v>
      </c>
    </row>
    <row r="88" spans="1:15" s="308" customFormat="1" ht="13.5" customHeight="1">
      <c r="A88" s="1036"/>
      <c r="B88" s="1035" t="s">
        <v>192</v>
      </c>
      <c r="C88" s="1036" t="s">
        <v>21</v>
      </c>
      <c r="D88" s="298">
        <v>1</v>
      </c>
      <c r="E88" s="301">
        <f t="shared" ref="E88:F91" si="28">E69*1.1</f>
        <v>3391292.8335000011</v>
      </c>
      <c r="F88" s="301">
        <f t="shared" si="28"/>
        <v>0</v>
      </c>
      <c r="G88" s="301">
        <f t="shared" si="25"/>
        <v>23929.943942307695</v>
      </c>
      <c r="H88" s="301">
        <f t="shared" si="25"/>
        <v>1226160</v>
      </c>
      <c r="I88" s="301">
        <f t="shared" si="25"/>
        <v>0</v>
      </c>
      <c r="J88" s="301">
        <f t="shared" si="25"/>
        <v>90754.01999999999</v>
      </c>
      <c r="K88" s="301">
        <f t="shared" si="26"/>
        <v>4732136.7974423077</v>
      </c>
      <c r="L88" s="301">
        <f>K88*0.15</f>
        <v>709820.51961634611</v>
      </c>
      <c r="M88" s="315">
        <f t="shared" si="27"/>
        <v>5441957.3170586536</v>
      </c>
      <c r="N88" s="301"/>
      <c r="O88" s="301">
        <f>O69*1.1</f>
        <v>96013.500000000015</v>
      </c>
    </row>
    <row r="89" spans="1:15" s="308" customFormat="1" ht="15" customHeight="1">
      <c r="A89" s="1036"/>
      <c r="B89" s="1035"/>
      <c r="C89" s="1036"/>
      <c r="D89" s="298">
        <v>2</v>
      </c>
      <c r="E89" s="301">
        <f t="shared" si="28"/>
        <v>3716433.5065000015</v>
      </c>
      <c r="F89" s="301">
        <f t="shared" si="28"/>
        <v>0</v>
      </c>
      <c r="G89" s="301">
        <f t="shared" si="25"/>
        <v>25499.999891025644</v>
      </c>
      <c r="H89" s="301">
        <f t="shared" si="25"/>
        <v>1226160</v>
      </c>
      <c r="I89" s="301">
        <f t="shared" si="25"/>
        <v>0</v>
      </c>
      <c r="J89" s="301">
        <f t="shared" si="25"/>
        <v>101639.16</v>
      </c>
      <c r="K89" s="301">
        <f t="shared" si="26"/>
        <v>5069732.6663910272</v>
      </c>
      <c r="L89" s="301">
        <f>K89*0.15</f>
        <v>760459.89995865407</v>
      </c>
      <c r="M89" s="315">
        <f t="shared" si="27"/>
        <v>5830192.5663496815</v>
      </c>
      <c r="N89" s="301"/>
      <c r="O89" s="301">
        <f>O70*1.1</f>
        <v>105218.80769230769</v>
      </c>
    </row>
    <row r="90" spans="1:15" s="308" customFormat="1" ht="15" customHeight="1">
      <c r="A90" s="1036"/>
      <c r="B90" s="1035"/>
      <c r="C90" s="1036"/>
      <c r="D90" s="298">
        <v>3</v>
      </c>
      <c r="E90" s="301">
        <f t="shared" si="28"/>
        <v>4011328.5355000012</v>
      </c>
      <c r="F90" s="301">
        <f t="shared" si="28"/>
        <v>0</v>
      </c>
      <c r="G90" s="301">
        <f t="shared" si="25"/>
        <v>27070.055839743593</v>
      </c>
      <c r="H90" s="301">
        <f t="shared" si="25"/>
        <v>1226160</v>
      </c>
      <c r="I90" s="301">
        <f t="shared" si="25"/>
        <v>0</v>
      </c>
      <c r="J90" s="301">
        <f t="shared" si="25"/>
        <v>111500.34</v>
      </c>
      <c r="K90" s="301">
        <f t="shared" si="26"/>
        <v>5376058.9313397445</v>
      </c>
      <c r="L90" s="301">
        <f>K90*0.15</f>
        <v>806408.8397009616</v>
      </c>
      <c r="M90" s="315">
        <f t="shared" si="27"/>
        <v>6182467.771040706</v>
      </c>
      <c r="N90" s="301"/>
      <c r="O90" s="301">
        <f>O71*1.1</f>
        <v>113567.80769230769</v>
      </c>
    </row>
    <row r="91" spans="1:15" s="308" customFormat="1" ht="15" customHeight="1">
      <c r="A91" s="1036"/>
      <c r="B91" s="1035"/>
      <c r="C91" s="1036"/>
      <c r="D91" s="298">
        <v>4</v>
      </c>
      <c r="E91" s="301">
        <f t="shared" si="28"/>
        <v>4525504.483500002</v>
      </c>
      <c r="F91" s="301">
        <f t="shared" si="28"/>
        <v>0</v>
      </c>
      <c r="G91" s="301">
        <f t="shared" si="25"/>
        <v>29686.815754273506</v>
      </c>
      <c r="H91" s="301">
        <f t="shared" si="25"/>
        <v>1226160</v>
      </c>
      <c r="I91" s="301">
        <f t="shared" si="25"/>
        <v>0</v>
      </c>
      <c r="J91" s="301">
        <f t="shared" si="25"/>
        <v>128573.76000000001</v>
      </c>
      <c r="K91" s="301">
        <f t="shared" si="26"/>
        <v>5909925.0592542756</v>
      </c>
      <c r="L91" s="301">
        <f>K91*0.15</f>
        <v>886488.75888814137</v>
      </c>
      <c r="M91" s="315">
        <f t="shared" si="27"/>
        <v>6796413.8181424169</v>
      </c>
      <c r="N91" s="301"/>
      <c r="O91" s="301">
        <f>O72*1.1</f>
        <v>128125.03846153847</v>
      </c>
    </row>
    <row r="92" spans="1:15">
      <c r="A92" s="298">
        <v>1</v>
      </c>
      <c r="B92" s="316" t="s">
        <v>57</v>
      </c>
      <c r="C92" s="300"/>
      <c r="D92" s="300"/>
      <c r="E92" s="301"/>
      <c r="F92" s="301"/>
      <c r="G92" s="301"/>
      <c r="H92" s="301"/>
      <c r="I92" s="301"/>
      <c r="J92" s="301"/>
      <c r="K92" s="301"/>
      <c r="L92" s="301"/>
      <c r="M92" s="315">
        <v>1</v>
      </c>
      <c r="N92" s="315" t="s">
        <v>21</v>
      </c>
      <c r="O92" s="301"/>
    </row>
    <row r="93" spans="1:15">
      <c r="A93" s="323" t="s">
        <v>359</v>
      </c>
      <c r="B93" s="324" t="str">
        <f>NhanCong!B$61</f>
        <v>Công tác chuẩn bị</v>
      </c>
      <c r="C93" s="319" t="s">
        <v>317</v>
      </c>
      <c r="D93" s="319" t="s">
        <v>622</v>
      </c>
      <c r="E93" s="301">
        <f>NhanCong!I$61</f>
        <v>569148.80000000016</v>
      </c>
      <c r="F93" s="301">
        <f>NhanCong!I$62</f>
        <v>36384.61538461539</v>
      </c>
      <c r="G93" s="320">
        <f>Dcu!M$102*0.4</f>
        <v>39512.98076923078</v>
      </c>
      <c r="H93" s="320">
        <f>VLieu!K$66</f>
        <v>2754435</v>
      </c>
      <c r="I93" s="320"/>
      <c r="J93" s="320"/>
      <c r="K93" s="320">
        <f>SUM(E93:J93)</f>
        <v>3399481.3961538463</v>
      </c>
      <c r="L93" s="320">
        <f>K93*0.25</f>
        <v>849870.34903846157</v>
      </c>
      <c r="M93" s="321">
        <f>K93+L93</f>
        <v>4249351.745192308</v>
      </c>
      <c r="N93" s="321"/>
      <c r="O93" s="320">
        <f>NhanCong!J$61</f>
        <v>15569.23076923077</v>
      </c>
    </row>
    <row r="94" spans="1:15">
      <c r="A94" s="1041" t="s">
        <v>269</v>
      </c>
      <c r="B94" s="1038" t="str">
        <f>NhanCong!B$63</f>
        <v>Lập lưới khống chế đo vẽ</v>
      </c>
      <c r="C94" s="1039" t="s">
        <v>317</v>
      </c>
      <c r="D94" s="319">
        <v>1</v>
      </c>
      <c r="E94" s="301">
        <f>NhanCong!I$63</f>
        <v>3780705.5000000009</v>
      </c>
      <c r="F94" s="301"/>
      <c r="G94" s="320">
        <f>Dcu!M$82</f>
        <v>24477.427350427348</v>
      </c>
      <c r="H94" s="320">
        <f>VLieu!K$67</f>
        <v>1836290</v>
      </c>
      <c r="I94" s="320"/>
      <c r="J94" s="320">
        <f>TBi!N$34</f>
        <v>712.32</v>
      </c>
      <c r="K94" s="320">
        <f t="shared" ref="K94:K113" si="29">SUM(E94:J94)</f>
        <v>5642185.2473504283</v>
      </c>
      <c r="L94" s="320">
        <f t="shared" ref="L94:L113" si="30">K94*0.25</f>
        <v>1410546.3118376071</v>
      </c>
      <c r="M94" s="321">
        <f t="shared" ref="M94:M113" si="31">K94+L94</f>
        <v>7052731.5591880353</v>
      </c>
      <c r="N94" s="320"/>
      <c r="O94" s="320">
        <f>NhanCong!J$63</f>
        <v>107038.46153846155</v>
      </c>
    </row>
    <row r="95" spans="1:15">
      <c r="A95" s="1041"/>
      <c r="B95" s="1038"/>
      <c r="C95" s="1039"/>
      <c r="D95" s="319">
        <v>2</v>
      </c>
      <c r="E95" s="301">
        <f>NhanCong!I$64</f>
        <v>4231812.4062500009</v>
      </c>
      <c r="F95" s="301"/>
      <c r="G95" s="320">
        <f>Dcu!M$83</f>
        <v>27537.105769230766</v>
      </c>
      <c r="H95" s="320">
        <f>VLieu!K$67</f>
        <v>1836290</v>
      </c>
      <c r="I95" s="320"/>
      <c r="J95" s="320">
        <f>TBi!O$34</f>
        <v>712.32</v>
      </c>
      <c r="K95" s="320">
        <f t="shared" si="29"/>
        <v>6096351.8320192322</v>
      </c>
      <c r="L95" s="320">
        <f t="shared" si="30"/>
        <v>1524087.9580048081</v>
      </c>
      <c r="M95" s="321">
        <f t="shared" si="31"/>
        <v>7620439.7900240403</v>
      </c>
      <c r="N95" s="320"/>
      <c r="O95" s="320">
        <f>NhanCong!J$64</f>
        <v>119810.09615384616</v>
      </c>
    </row>
    <row r="96" spans="1:15">
      <c r="A96" s="1041"/>
      <c r="B96" s="1038"/>
      <c r="C96" s="1039"/>
      <c r="D96" s="319">
        <v>3</v>
      </c>
      <c r="E96" s="301">
        <f>NhanCong!I$65</f>
        <v>4661438.0312500009</v>
      </c>
      <c r="F96" s="301"/>
      <c r="G96" s="320">
        <f>Dcu!M$84</f>
        <v>30596.784188034184</v>
      </c>
      <c r="H96" s="320">
        <f>VLieu!K$67</f>
        <v>1836290</v>
      </c>
      <c r="I96" s="320"/>
      <c r="J96" s="320">
        <f>TBi!P$34</f>
        <v>712.32</v>
      </c>
      <c r="K96" s="320">
        <f t="shared" si="29"/>
        <v>6529037.1354380352</v>
      </c>
      <c r="L96" s="320">
        <f t="shared" si="30"/>
        <v>1632259.2838595088</v>
      </c>
      <c r="M96" s="321">
        <f t="shared" si="31"/>
        <v>8161296.4192975443</v>
      </c>
      <c r="N96" s="320"/>
      <c r="O96" s="320">
        <f>NhanCong!J$65</f>
        <v>131973.55769230769</v>
      </c>
    </row>
    <row r="97" spans="1:15">
      <c r="A97" s="1041"/>
      <c r="B97" s="1038"/>
      <c r="C97" s="1039"/>
      <c r="D97" s="319">
        <v>4</v>
      </c>
      <c r="E97" s="301">
        <f>NhanCong!I$66</f>
        <v>5219951.3437500019</v>
      </c>
      <c r="F97" s="301"/>
      <c r="G97" s="320">
        <f>Dcu!M$85</f>
        <v>35186.301816239305</v>
      </c>
      <c r="H97" s="320">
        <f>VLieu!K$67</f>
        <v>1836290</v>
      </c>
      <c r="I97" s="320"/>
      <c r="J97" s="320">
        <f>TBi!Q$34</f>
        <v>712.32</v>
      </c>
      <c r="K97" s="320">
        <f t="shared" si="29"/>
        <v>7092139.9655662412</v>
      </c>
      <c r="L97" s="320">
        <f t="shared" si="30"/>
        <v>1773034.9913915603</v>
      </c>
      <c r="M97" s="321">
        <f t="shared" si="31"/>
        <v>8865174.9569578022</v>
      </c>
      <c r="N97" s="320"/>
      <c r="O97" s="320">
        <f>NhanCong!J$66</f>
        <v>147786.05769230769</v>
      </c>
    </row>
    <row r="98" spans="1:15">
      <c r="A98" s="1041" t="s">
        <v>36</v>
      </c>
      <c r="B98" s="1038" t="str">
        <f>NhanCong!B$68</f>
        <v>Xác định ranh giới thửa đất trên thực địa</v>
      </c>
      <c r="C98" s="1039" t="s">
        <v>317</v>
      </c>
      <c r="D98" s="319">
        <v>1</v>
      </c>
      <c r="E98" s="301">
        <f>NhanCong!I$68</f>
        <v>7956666.5750000011</v>
      </c>
      <c r="F98" s="301">
        <f>NhanCong!I$69</f>
        <v>1684607.6923076925</v>
      </c>
      <c r="G98" s="320">
        <f>Dcu!M$103*0.4</f>
        <v>27659.086538461539</v>
      </c>
      <c r="H98" s="320">
        <f>VLieu!K$68</f>
        <v>4590725</v>
      </c>
      <c r="I98" s="320"/>
      <c r="J98" s="320"/>
      <c r="K98" s="320">
        <f>SUM(E98:J98)</f>
        <v>14259658.353846155</v>
      </c>
      <c r="L98" s="320">
        <f t="shared" si="30"/>
        <v>3564914.5884615388</v>
      </c>
      <c r="M98" s="321">
        <f t="shared" si="31"/>
        <v>17824572.942307696</v>
      </c>
      <c r="N98" s="320"/>
      <c r="O98" s="320">
        <f>NhanCong!J$68</f>
        <v>225267.30769230769</v>
      </c>
    </row>
    <row r="99" spans="1:15">
      <c r="A99" s="1041"/>
      <c r="B99" s="1038"/>
      <c r="C99" s="1039"/>
      <c r="D99" s="319">
        <v>2</v>
      </c>
      <c r="E99" s="301">
        <f>NhanCong!I$70</f>
        <v>9546281.3875000011</v>
      </c>
      <c r="F99" s="301">
        <f>NhanCong!I$71</f>
        <v>2021165.3846153847</v>
      </c>
      <c r="G99" s="320">
        <f>Dcu!M$104*0.4</f>
        <v>33586.033653846156</v>
      </c>
      <c r="H99" s="320">
        <f>VLieu!K$68</f>
        <v>4590725</v>
      </c>
      <c r="I99" s="320"/>
      <c r="J99" s="320"/>
      <c r="K99" s="320">
        <f t="shared" si="29"/>
        <v>16191757.805769231</v>
      </c>
      <c r="L99" s="320">
        <f t="shared" si="30"/>
        <v>4047939.4514423078</v>
      </c>
      <c r="M99" s="321">
        <f t="shared" si="31"/>
        <v>20239697.25721154</v>
      </c>
      <c r="N99" s="320"/>
      <c r="O99" s="320">
        <f>NhanCong!J$70</f>
        <v>270272.11538461538</v>
      </c>
    </row>
    <row r="100" spans="1:15">
      <c r="A100" s="1041"/>
      <c r="B100" s="1038"/>
      <c r="C100" s="1039"/>
      <c r="D100" s="319">
        <v>3</v>
      </c>
      <c r="E100" s="301">
        <f>NhanCong!I$72</f>
        <v>11092933.637500003</v>
      </c>
      <c r="F100" s="301">
        <f>NhanCong!I$73</f>
        <v>2348626.9230769235</v>
      </c>
      <c r="G100" s="320">
        <f>Dcu!M$105*0.4</f>
        <v>39512.98076923078</v>
      </c>
      <c r="H100" s="320">
        <f>VLieu!K$68</f>
        <v>4590725</v>
      </c>
      <c r="I100" s="320"/>
      <c r="J100" s="320"/>
      <c r="K100" s="320">
        <f t="shared" si="29"/>
        <v>18071798.541346155</v>
      </c>
      <c r="L100" s="320">
        <f t="shared" si="30"/>
        <v>4517949.6353365388</v>
      </c>
      <c r="M100" s="321">
        <f t="shared" si="31"/>
        <v>22589748.176682696</v>
      </c>
      <c r="N100" s="320"/>
      <c r="O100" s="320">
        <f>NhanCong!J$72</f>
        <v>314060.57692307694</v>
      </c>
    </row>
    <row r="101" spans="1:15">
      <c r="A101" s="1041"/>
      <c r="B101" s="1038"/>
      <c r="C101" s="1039"/>
      <c r="D101" s="319">
        <v>4</v>
      </c>
      <c r="E101" s="301">
        <f>NhanCong!I$74</f>
        <v>12605215.837500002</v>
      </c>
      <c r="F101" s="301">
        <f>NhanCong!I$75</f>
        <v>2668811.5384615385</v>
      </c>
      <c r="G101" s="320">
        <f>Dcu!M$106*0.4</f>
        <v>47415.576923076929</v>
      </c>
      <c r="H101" s="320">
        <f>VLieu!K$68</f>
        <v>4590725</v>
      </c>
      <c r="I101" s="320"/>
      <c r="J101" s="320"/>
      <c r="K101" s="320">
        <f t="shared" si="29"/>
        <v>19912167.952884614</v>
      </c>
      <c r="L101" s="320">
        <f t="shared" si="30"/>
        <v>4978041.9882211536</v>
      </c>
      <c r="M101" s="321">
        <f t="shared" si="31"/>
        <v>24890209.941105768</v>
      </c>
      <c r="N101" s="320"/>
      <c r="O101" s="320">
        <f>NhanCong!J$74</f>
        <v>356875.96153846156</v>
      </c>
    </row>
    <row r="102" spans="1:15">
      <c r="A102" s="1041" t="s">
        <v>270</v>
      </c>
      <c r="B102" s="1038" t="str">
        <f>NhanCong!B$78</f>
        <v>Đo đạc ranh giới thửa đất và các đối tượng địa lý có liên quan</v>
      </c>
      <c r="C102" s="1039" t="s">
        <v>317</v>
      </c>
      <c r="D102" s="319" t="s">
        <v>18</v>
      </c>
      <c r="E102" s="301">
        <f>NhanCong!I$78</f>
        <v>12802843.625000004</v>
      </c>
      <c r="F102" s="301">
        <f>NhanCong!I$79</f>
        <v>542130.76923076925</v>
      </c>
      <c r="G102" s="320">
        <f>Dcu!M$103</f>
        <v>69147.716346153844</v>
      </c>
      <c r="H102" s="320">
        <f>VLieu!K$69</f>
        <v>4590725</v>
      </c>
      <c r="I102" s="320"/>
      <c r="J102" s="320"/>
      <c r="K102" s="320">
        <f t="shared" si="29"/>
        <v>18004847.110576928</v>
      </c>
      <c r="L102" s="320">
        <f t="shared" si="30"/>
        <v>4501211.7776442319</v>
      </c>
      <c r="M102" s="321">
        <f t="shared" si="31"/>
        <v>22506058.88822116</v>
      </c>
      <c r="N102" s="320"/>
      <c r="O102" s="320">
        <f>NhanCong!J$78</f>
        <v>362471.15384615381</v>
      </c>
    </row>
    <row r="103" spans="1:15">
      <c r="A103" s="1041"/>
      <c r="B103" s="1038"/>
      <c r="C103" s="1039"/>
      <c r="D103" s="319" t="s">
        <v>20</v>
      </c>
      <c r="E103" s="301">
        <f>NhanCong!I$80</f>
        <v>15380597.375000006</v>
      </c>
      <c r="F103" s="301">
        <f>NhanCong!I$81</f>
        <v>649465.38461538462</v>
      </c>
      <c r="G103" s="320">
        <f>Dcu!M$104</f>
        <v>83965.08413461539</v>
      </c>
      <c r="H103" s="320">
        <f>VLieu!K$69</f>
        <v>4590725</v>
      </c>
      <c r="I103" s="320"/>
      <c r="J103" s="320"/>
      <c r="K103" s="320">
        <f t="shared" si="29"/>
        <v>20704752.843750007</v>
      </c>
      <c r="L103" s="320">
        <f t="shared" si="30"/>
        <v>5176188.2109375019</v>
      </c>
      <c r="M103" s="321">
        <f t="shared" si="31"/>
        <v>25880941.054687507</v>
      </c>
      <c r="N103" s="320"/>
      <c r="O103" s="320">
        <f>NhanCong!J$80</f>
        <v>435451.92307692306</v>
      </c>
    </row>
    <row r="104" spans="1:15">
      <c r="A104" s="1041"/>
      <c r="B104" s="1038"/>
      <c r="C104" s="1039"/>
      <c r="D104" s="319" t="s">
        <v>35</v>
      </c>
      <c r="E104" s="301">
        <f>NhanCong!I$82</f>
        <v>18452420.593750004</v>
      </c>
      <c r="F104" s="301">
        <f>NhanCong!I$83</f>
        <v>780450.00000000012</v>
      </c>
      <c r="G104" s="320">
        <f>Dcu!M$105</f>
        <v>98782.451923076937</v>
      </c>
      <c r="H104" s="320">
        <f>VLieu!K$69</f>
        <v>4590725</v>
      </c>
      <c r="I104" s="320"/>
      <c r="J104" s="320"/>
      <c r="K104" s="320">
        <f t="shared" si="29"/>
        <v>23922378.04567308</v>
      </c>
      <c r="L104" s="320">
        <f t="shared" si="30"/>
        <v>5980594.5114182699</v>
      </c>
      <c r="M104" s="321">
        <f t="shared" si="31"/>
        <v>29902972.557091348</v>
      </c>
      <c r="N104" s="320"/>
      <c r="O104" s="320">
        <f>NhanCong!J$82</f>
        <v>522420.67307692312</v>
      </c>
    </row>
    <row r="105" spans="1:15">
      <c r="A105" s="1041"/>
      <c r="B105" s="1038"/>
      <c r="C105" s="1039"/>
      <c r="D105" s="319" t="s">
        <v>33</v>
      </c>
      <c r="E105" s="301">
        <f>NhanCong!I$84</f>
        <v>22147200.968750007</v>
      </c>
      <c r="F105" s="301">
        <f>NhanCong!I$85</f>
        <v>936903.84615384624</v>
      </c>
      <c r="G105" s="320">
        <f>Dcu!M$106</f>
        <v>118538.94230769231</v>
      </c>
      <c r="H105" s="320">
        <f>VLieu!K$69</f>
        <v>4590725</v>
      </c>
      <c r="I105" s="320"/>
      <c r="J105" s="320"/>
      <c r="K105" s="320">
        <f t="shared" si="29"/>
        <v>27793368.757211547</v>
      </c>
      <c r="L105" s="320">
        <f t="shared" si="30"/>
        <v>6948342.1893028868</v>
      </c>
      <c r="M105" s="321">
        <f t="shared" si="31"/>
        <v>34741710.946514435</v>
      </c>
      <c r="N105" s="320"/>
      <c r="O105" s="320">
        <f>NhanCong!J$84</f>
        <v>627026.44230769237</v>
      </c>
    </row>
    <row r="106" spans="1:15">
      <c r="A106" s="1041" t="s">
        <v>363</v>
      </c>
      <c r="B106" s="1038" t="str">
        <f>NhanCong!B$88</f>
        <v>Đối soát, kiểm tra</v>
      </c>
      <c r="C106" s="1039" t="s">
        <v>317</v>
      </c>
      <c r="D106" s="319" t="s">
        <v>18</v>
      </c>
      <c r="E106" s="301">
        <f>NhanCong!I$88</f>
        <v>386663.06250000012</v>
      </c>
      <c r="F106" s="301">
        <f>NhanCong!I$89</f>
        <v>107334.61538461539</v>
      </c>
      <c r="G106" s="320">
        <f>Dcu!M$103*0.4</f>
        <v>27659.086538461539</v>
      </c>
      <c r="H106" s="320">
        <f>VLieu!K$70</f>
        <v>2387177</v>
      </c>
      <c r="I106" s="320"/>
      <c r="J106" s="320"/>
      <c r="K106" s="320">
        <f t="shared" si="29"/>
        <v>2908833.764423077</v>
      </c>
      <c r="L106" s="320">
        <f t="shared" si="30"/>
        <v>727208.44110576925</v>
      </c>
      <c r="M106" s="321">
        <f t="shared" si="31"/>
        <v>3636042.205528846</v>
      </c>
      <c r="N106" s="320"/>
      <c r="O106" s="320">
        <f>NhanCong!J$88</f>
        <v>10947.115384615387</v>
      </c>
    </row>
    <row r="107" spans="1:15">
      <c r="A107" s="1041"/>
      <c r="B107" s="1038"/>
      <c r="C107" s="1039"/>
      <c r="D107" s="319" t="s">
        <v>20</v>
      </c>
      <c r="E107" s="301">
        <f>NhanCong!I$90</f>
        <v>472588.18750000012</v>
      </c>
      <c r="F107" s="301">
        <f>NhanCong!I$91</f>
        <v>129165.38461538462</v>
      </c>
      <c r="G107" s="320">
        <f>Dcu!M$104*0.4</f>
        <v>33586.033653846156</v>
      </c>
      <c r="H107" s="320">
        <f>VLieu!K$70</f>
        <v>2387177</v>
      </c>
      <c r="I107" s="320"/>
      <c r="J107" s="320"/>
      <c r="K107" s="320">
        <f t="shared" si="29"/>
        <v>3022516.605769231</v>
      </c>
      <c r="L107" s="320">
        <f t="shared" si="30"/>
        <v>755629.15144230775</v>
      </c>
      <c r="M107" s="321">
        <f t="shared" si="31"/>
        <v>3778145.757211539</v>
      </c>
      <c r="N107" s="320"/>
      <c r="O107" s="320">
        <f>NhanCong!J$90</f>
        <v>13379.807692307693</v>
      </c>
    </row>
    <row r="108" spans="1:15">
      <c r="A108" s="1041"/>
      <c r="B108" s="1038"/>
      <c r="C108" s="1039"/>
      <c r="D108" s="319" t="s">
        <v>35</v>
      </c>
      <c r="E108" s="301">
        <f>NhanCong!I$92</f>
        <v>579994.59375000012</v>
      </c>
      <c r="F108" s="301">
        <f>NhanCong!I$93</f>
        <v>160092.30769230772</v>
      </c>
      <c r="G108" s="320">
        <f>Dcu!M$105*0.4</f>
        <v>39512.98076923078</v>
      </c>
      <c r="H108" s="320">
        <f>VLieu!K$70</f>
        <v>2387177</v>
      </c>
      <c r="I108" s="320"/>
      <c r="J108" s="320"/>
      <c r="K108" s="320">
        <f t="shared" si="29"/>
        <v>3166776.8822115385</v>
      </c>
      <c r="L108" s="320">
        <f t="shared" si="30"/>
        <v>791694.22055288462</v>
      </c>
      <c r="M108" s="321">
        <f t="shared" si="31"/>
        <v>3958471.102764423</v>
      </c>
      <c r="N108" s="320"/>
      <c r="O108" s="320">
        <f>NhanCong!J$92</f>
        <v>16420.673076923078</v>
      </c>
    </row>
    <row r="109" spans="1:15">
      <c r="A109" s="1041"/>
      <c r="B109" s="1038"/>
      <c r="C109" s="1039"/>
      <c r="D109" s="319" t="s">
        <v>33</v>
      </c>
      <c r="E109" s="301">
        <f>NhanCong!I$94</f>
        <v>734659.81875000009</v>
      </c>
      <c r="F109" s="301">
        <f>NhanCong!I$95</f>
        <v>192838.46153846156</v>
      </c>
      <c r="G109" s="320">
        <f>Dcu!M$106*0.4</f>
        <v>47415.576923076929</v>
      </c>
      <c r="H109" s="320">
        <f>VLieu!K$70</f>
        <v>2387177</v>
      </c>
      <c r="I109" s="320"/>
      <c r="J109" s="320"/>
      <c r="K109" s="320">
        <f t="shared" si="29"/>
        <v>3362090.8572115386</v>
      </c>
      <c r="L109" s="320">
        <f t="shared" si="30"/>
        <v>840522.71430288465</v>
      </c>
      <c r="M109" s="321">
        <f t="shared" si="31"/>
        <v>4202613.571514423</v>
      </c>
      <c r="N109" s="320"/>
      <c r="O109" s="320">
        <f>NhanCong!J$94</f>
        <v>20799.519230769227</v>
      </c>
    </row>
    <row r="110" spans="1:15">
      <c r="A110" s="1041" t="s">
        <v>364</v>
      </c>
      <c r="B110" s="1038" t="str">
        <f>NhanCong!B$98</f>
        <v>Giao nhận Phiếu kết quả đo đạc hiện trạng thửa đất</v>
      </c>
      <c r="C110" s="1039" t="s">
        <v>317</v>
      </c>
      <c r="D110" s="319" t="s">
        <v>18</v>
      </c>
      <c r="E110" s="301">
        <f>NhanCong!I$98</f>
        <v>1770057.5750000004</v>
      </c>
      <c r="F110" s="301">
        <f>NhanCong!I$99</f>
        <v>749523.07692307699</v>
      </c>
      <c r="G110" s="320">
        <f>Dcu!M$103*0.4</f>
        <v>27659.086538461539</v>
      </c>
      <c r="H110" s="320">
        <f>VLieu!K$71</f>
        <v>2387177</v>
      </c>
      <c r="I110" s="320"/>
      <c r="J110" s="320"/>
      <c r="K110" s="320">
        <f t="shared" si="29"/>
        <v>4934416.7384615391</v>
      </c>
      <c r="L110" s="320">
        <f t="shared" si="30"/>
        <v>1233604.1846153848</v>
      </c>
      <c r="M110" s="321">
        <f t="shared" si="31"/>
        <v>6168020.9230769239</v>
      </c>
      <c r="N110" s="320"/>
      <c r="O110" s="320">
        <f>NhanCong!J$98</f>
        <v>50113.461538461546</v>
      </c>
    </row>
    <row r="111" spans="1:15">
      <c r="A111" s="1041"/>
      <c r="B111" s="1038"/>
      <c r="C111" s="1039"/>
      <c r="D111" s="319" t="s">
        <v>20</v>
      </c>
      <c r="E111" s="301">
        <f>NhanCong!I$100</f>
        <v>2126646.8437500005</v>
      </c>
      <c r="F111" s="301">
        <f>NhanCong!I$101</f>
        <v>900519.23076923087</v>
      </c>
      <c r="G111" s="320">
        <f>Dcu!M$104*0.4</f>
        <v>33586.033653846156</v>
      </c>
      <c r="H111" s="320">
        <f>VLieu!K$71</f>
        <v>2387177</v>
      </c>
      <c r="I111" s="320"/>
      <c r="J111" s="320"/>
      <c r="K111" s="320">
        <f t="shared" si="29"/>
        <v>5447929.1081730779</v>
      </c>
      <c r="L111" s="320">
        <f t="shared" si="30"/>
        <v>1361982.2770432695</v>
      </c>
      <c r="M111" s="321">
        <f t="shared" si="31"/>
        <v>6809911.3852163479</v>
      </c>
      <c r="N111" s="320"/>
      <c r="O111" s="320">
        <f>NhanCong!J$100</f>
        <v>60209.134615384617</v>
      </c>
    </row>
    <row r="112" spans="1:15">
      <c r="A112" s="1041"/>
      <c r="B112" s="1038"/>
      <c r="C112" s="1039"/>
      <c r="D112" s="319" t="s">
        <v>35</v>
      </c>
      <c r="E112" s="301">
        <f>NhanCong!I$102</f>
        <v>2551976.2125000004</v>
      </c>
      <c r="F112" s="301">
        <f>NhanCong!I$103</f>
        <v>1080623.076923077</v>
      </c>
      <c r="G112" s="320">
        <f>Dcu!M$105*0.4</f>
        <v>39512.98076923078</v>
      </c>
      <c r="H112" s="320">
        <f>VLieu!K$71</f>
        <v>2387177</v>
      </c>
      <c r="I112" s="320"/>
      <c r="J112" s="320"/>
      <c r="K112" s="320">
        <f t="shared" si="29"/>
        <v>6059289.2701923084</v>
      </c>
      <c r="L112" s="320">
        <f t="shared" si="30"/>
        <v>1514822.3175480771</v>
      </c>
      <c r="M112" s="321">
        <f t="shared" si="31"/>
        <v>7574111.5877403859</v>
      </c>
      <c r="N112" s="320"/>
      <c r="O112" s="320">
        <f>NhanCong!J$102</f>
        <v>72250.961538461546</v>
      </c>
    </row>
    <row r="113" spans="1:15">
      <c r="A113" s="1041"/>
      <c r="B113" s="1038"/>
      <c r="C113" s="1039"/>
      <c r="D113" s="319" t="s">
        <v>33</v>
      </c>
      <c r="E113" s="301">
        <f>NhanCong!I$104</f>
        <v>3063230.7062500007</v>
      </c>
      <c r="F113" s="301">
        <f>NhanCong!I$105</f>
        <v>1297111.5384615385</v>
      </c>
      <c r="G113" s="320">
        <f>Dcu!M$106*0.4</f>
        <v>47415.576923076929</v>
      </c>
      <c r="H113" s="320">
        <f>VLieu!K$71</f>
        <v>2387177</v>
      </c>
      <c r="I113" s="320"/>
      <c r="J113" s="320"/>
      <c r="K113" s="320">
        <f t="shared" si="29"/>
        <v>6794934.8216346158</v>
      </c>
      <c r="L113" s="320">
        <f t="shared" si="30"/>
        <v>1698733.7054086539</v>
      </c>
      <c r="M113" s="321">
        <f t="shared" si="31"/>
        <v>8493668.5270432699</v>
      </c>
      <c r="N113" s="320"/>
      <c r="O113" s="320">
        <f>NhanCong!J$104</f>
        <v>86725.480769230766</v>
      </c>
    </row>
    <row r="114" spans="1:15" ht="13.5" customHeight="1">
      <c r="A114" s="298">
        <v>2</v>
      </c>
      <c r="B114" s="316" t="s">
        <v>58</v>
      </c>
      <c r="C114" s="319" t="s">
        <v>43</v>
      </c>
      <c r="D114" s="319"/>
      <c r="E114" s="301">
        <f>NhanCong!I$108</f>
        <v>0</v>
      </c>
      <c r="F114" s="301"/>
      <c r="G114" s="320"/>
      <c r="H114" s="320"/>
      <c r="I114" s="320"/>
      <c r="J114" s="320"/>
      <c r="K114" s="320">
        <f>E114+F114+G114+I114+J114</f>
        <v>0</v>
      </c>
      <c r="L114" s="320"/>
      <c r="M114" s="321"/>
      <c r="N114" s="320"/>
      <c r="O114" s="320"/>
    </row>
    <row r="115" spans="1:15">
      <c r="A115" s="1041" t="s">
        <v>268</v>
      </c>
      <c r="B115" s="1038" t="str">
        <f>NhanCong!B$109</f>
        <v>Biên tập bản đồ địa chính</v>
      </c>
      <c r="C115" s="1039" t="s">
        <v>317</v>
      </c>
      <c r="D115" s="319" t="s">
        <v>18</v>
      </c>
      <c r="E115" s="301">
        <f>NhanCong!I$109</f>
        <v>1402298.0400000003</v>
      </c>
      <c r="F115" s="301"/>
      <c r="G115" s="320">
        <f>Dcu!M$123</f>
        <v>7326.9277606837604</v>
      </c>
      <c r="H115" s="320">
        <f>VLieu!K$90</f>
        <v>354695</v>
      </c>
      <c r="I115" s="320"/>
      <c r="J115" s="320">
        <f>TBi!N$93</f>
        <v>49773.36</v>
      </c>
      <c r="K115" s="320">
        <f>SUM(E115:J115)</f>
        <v>1814093.3277606841</v>
      </c>
      <c r="L115" s="320">
        <f>K115*0.15</f>
        <v>272113.9991641026</v>
      </c>
      <c r="M115" s="321">
        <f>K115+L115</f>
        <v>2086207.3269247867</v>
      </c>
      <c r="N115" s="320"/>
      <c r="O115" s="320">
        <f>NhanCong!J$109</f>
        <v>39701.538461538461</v>
      </c>
    </row>
    <row r="116" spans="1:15">
      <c r="A116" s="1041"/>
      <c r="B116" s="1038"/>
      <c r="C116" s="1039"/>
      <c r="D116" s="319" t="s">
        <v>20</v>
      </c>
      <c r="E116" s="301">
        <f>NhanCong!I$110</f>
        <v>1697880.4700000004</v>
      </c>
      <c r="F116" s="301"/>
      <c r="G116" s="320">
        <f>Dcu!M$124</f>
        <v>8896.9837094017093</v>
      </c>
      <c r="H116" s="320">
        <f>VLieu!K$90</f>
        <v>354695</v>
      </c>
      <c r="I116" s="320"/>
      <c r="J116" s="320">
        <f>TBi!O$93</f>
        <v>60658.5</v>
      </c>
      <c r="K116" s="320">
        <f t="shared" ref="K116:K124" si="32">SUM(E116:J116)</f>
        <v>2122130.9537094021</v>
      </c>
      <c r="L116" s="320">
        <f>K116*0.15</f>
        <v>318319.64305641031</v>
      </c>
      <c r="M116" s="321">
        <f t="shared" ref="M116:M124" si="33">K116+L116</f>
        <v>2440450.5967658125</v>
      </c>
      <c r="N116" s="320"/>
      <c r="O116" s="320">
        <f>NhanCong!J$110</f>
        <v>48070</v>
      </c>
    </row>
    <row r="117" spans="1:15">
      <c r="A117" s="1041"/>
      <c r="B117" s="1038"/>
      <c r="C117" s="1039"/>
      <c r="D117" s="319" t="s">
        <v>35</v>
      </c>
      <c r="E117" s="301">
        <f>NhanCong!I$111</f>
        <v>1965966.8600000003</v>
      </c>
      <c r="F117" s="301"/>
      <c r="G117" s="320">
        <f>Dcu!M$125</f>
        <v>10467.039658119658</v>
      </c>
      <c r="H117" s="320">
        <f>VLieu!K$90</f>
        <v>354695</v>
      </c>
      <c r="I117" s="320"/>
      <c r="J117" s="320">
        <f>TBi!P$93</f>
        <v>70519.679999999993</v>
      </c>
      <c r="K117" s="320">
        <f t="shared" si="32"/>
        <v>2401648.5796581204</v>
      </c>
      <c r="L117" s="320">
        <f>K117*0.15</f>
        <v>360247.28694871807</v>
      </c>
      <c r="M117" s="321">
        <f t="shared" si="33"/>
        <v>2761895.8666068385</v>
      </c>
      <c r="N117" s="320"/>
      <c r="O117" s="320">
        <f>NhanCong!J$111</f>
        <v>55659.999999999993</v>
      </c>
    </row>
    <row r="118" spans="1:15">
      <c r="A118" s="1041"/>
      <c r="B118" s="1038"/>
      <c r="C118" s="1039"/>
      <c r="D118" s="319" t="s">
        <v>33</v>
      </c>
      <c r="E118" s="301">
        <f>NhanCong!I$112</f>
        <v>2433399.5400000005</v>
      </c>
      <c r="F118" s="301"/>
      <c r="G118" s="320">
        <f>Dcu!M$126</f>
        <v>13083.799572649572</v>
      </c>
      <c r="H118" s="320">
        <f>VLieu!K$90</f>
        <v>354695</v>
      </c>
      <c r="I118" s="320"/>
      <c r="J118" s="320">
        <f>TBi!Q$93</f>
        <v>87593.1</v>
      </c>
      <c r="K118" s="320">
        <f t="shared" si="32"/>
        <v>2888771.43957265</v>
      </c>
      <c r="L118" s="320">
        <f>K118*0.15</f>
        <v>433315.71593589749</v>
      </c>
      <c r="M118" s="321">
        <f t="shared" si="33"/>
        <v>3322087.1555085476</v>
      </c>
      <c r="N118" s="320"/>
      <c r="O118" s="320">
        <f>NhanCong!J$112</f>
        <v>68893.846153846156</v>
      </c>
    </row>
    <row r="119" spans="1:15" ht="26">
      <c r="A119" s="323">
        <v>2.2000000000000002</v>
      </c>
      <c r="B119" s="324" t="str">
        <f>NhanCong!B$114</f>
        <v>Lập Phiếu xác nhận kết quả đo đạc hiện trạng thửa đất</v>
      </c>
      <c r="C119" s="319" t="s">
        <v>317</v>
      </c>
      <c r="D119" s="319" t="s">
        <v>679</v>
      </c>
      <c r="E119" s="301">
        <f>NhanCong!I$114</f>
        <v>591164.8600000001</v>
      </c>
      <c r="F119" s="301"/>
      <c r="G119" s="320">
        <f>Dcu!M$138</f>
        <v>2531.6133333333332</v>
      </c>
      <c r="H119" s="320">
        <f>VLieu!K$91</f>
        <v>290205</v>
      </c>
      <c r="I119" s="320"/>
      <c r="J119" s="320">
        <f>TBi!N$133</f>
        <v>13578.599999999999</v>
      </c>
      <c r="K119" s="320">
        <f>SUM(E119:J119)</f>
        <v>897480.07333333336</v>
      </c>
      <c r="L119" s="320">
        <f t="shared" ref="L119:L124" si="34">K119*0.15</f>
        <v>134622.011</v>
      </c>
      <c r="M119" s="321">
        <f>K119+L119</f>
        <v>1032102.0843333334</v>
      </c>
      <c r="N119" s="320"/>
      <c r="O119" s="320">
        <f>NhanCong!J$114</f>
        <v>16736.923076923074</v>
      </c>
    </row>
    <row r="120" spans="1:15" ht="30" customHeight="1">
      <c r="A120" s="323">
        <v>2.2999999999999998</v>
      </c>
      <c r="B120" s="324" t="str">
        <f>NhanCong!B$115</f>
        <v>Công khai bản đồ địa chính, Hoàn thiện bản đồ địa chính</v>
      </c>
      <c r="C120" s="319" t="s">
        <v>317</v>
      </c>
      <c r="D120" s="319" t="s">
        <v>679</v>
      </c>
      <c r="E120" s="301">
        <f>NhanCong!I$115</f>
        <v>673652.9800000001</v>
      </c>
      <c r="F120" s="301"/>
      <c r="G120" s="320">
        <f>Dcu!M$130</f>
        <v>3663.4638803418802</v>
      </c>
      <c r="H120" s="320">
        <f>VLieu!K$94</f>
        <v>128980</v>
      </c>
      <c r="I120" s="320"/>
      <c r="J120" s="320">
        <f>TBi!N$159</f>
        <v>20590.5</v>
      </c>
      <c r="K120" s="320">
        <f>SUM(E120:J120)</f>
        <v>826886.94388034195</v>
      </c>
      <c r="L120" s="320">
        <f t="shared" si="34"/>
        <v>124033.04158205129</v>
      </c>
      <c r="M120" s="321">
        <f t="shared" ref="M120" si="35">K120+L120</f>
        <v>950919.98546239326</v>
      </c>
      <c r="N120" s="320"/>
      <c r="O120" s="320">
        <f>NhanCong!J$115</f>
        <v>19072.307692307691</v>
      </c>
    </row>
    <row r="121" spans="1:15">
      <c r="A121" s="323">
        <v>2.4</v>
      </c>
      <c r="B121" s="324" t="str">
        <f>NhanCong!B$116</f>
        <v>Lập sổ mục kê đất đai phạm vi khu đo</v>
      </c>
      <c r="C121" s="319" t="s">
        <v>317</v>
      </c>
      <c r="D121" s="319" t="s">
        <v>679</v>
      </c>
      <c r="E121" s="301">
        <f>NhanCong!I$116</f>
        <v>34370.05000000001</v>
      </c>
      <c r="F121" s="301"/>
      <c r="G121" s="320">
        <f>Dcu!M$140</f>
        <v>3140.1118974358974</v>
      </c>
      <c r="H121" s="320">
        <f>VLieu!K$94</f>
        <v>128980</v>
      </c>
      <c r="I121" s="320"/>
      <c r="J121" s="320"/>
      <c r="K121" s="320">
        <f t="shared" si="32"/>
        <v>166490.1618974359</v>
      </c>
      <c r="L121" s="320">
        <f t="shared" si="34"/>
        <v>24973.524284615385</v>
      </c>
      <c r="M121" s="321">
        <f t="shared" si="33"/>
        <v>191463.68618205129</v>
      </c>
      <c r="N121" s="320"/>
      <c r="O121" s="320">
        <f>NhanCong!J$116</f>
        <v>973.07692307692309</v>
      </c>
    </row>
    <row r="122" spans="1:15" ht="39">
      <c r="A122" s="323">
        <v>2.5</v>
      </c>
      <c r="B122" s="324" t="str">
        <f>NhanCong!B$117</f>
        <v>In sản phẩm đo đạc lập bản đồ địa chính gồm sản phẩm chính và sản phẩm trung gian</v>
      </c>
      <c r="C122" s="319" t="s">
        <v>317</v>
      </c>
      <c r="D122" s="319" t="s">
        <v>679</v>
      </c>
      <c r="E122" s="301">
        <f>NhanCong!I$117</f>
        <v>175287.25500000003</v>
      </c>
      <c r="F122" s="301"/>
      <c r="G122" s="320">
        <f>Dcu!M$152</f>
        <v>3931.1573076923078</v>
      </c>
      <c r="H122" s="320">
        <f>VLieu!K$102</f>
        <v>65340</v>
      </c>
      <c r="I122" s="320"/>
      <c r="J122" s="320">
        <f>TBi!N$186</f>
        <v>6811.56</v>
      </c>
      <c r="K122" s="320">
        <f t="shared" si="32"/>
        <v>251369.97230769234</v>
      </c>
      <c r="L122" s="320">
        <f t="shared" si="34"/>
        <v>37705.495846153848</v>
      </c>
      <c r="M122" s="321">
        <f t="shared" si="33"/>
        <v>289075.46815384622</v>
      </c>
      <c r="N122" s="320"/>
      <c r="O122" s="320">
        <f>NhanCong!J$117</f>
        <v>4962.6923076923076</v>
      </c>
    </row>
    <row r="123" spans="1:15">
      <c r="A123" s="300">
        <v>2.6</v>
      </c>
      <c r="B123" s="324" t="str">
        <f>NhanCong!B$118</f>
        <v>Trình ký xác nhận hồ sơ</v>
      </c>
      <c r="C123" s="319" t="s">
        <v>317</v>
      </c>
      <c r="D123" s="319" t="s">
        <v>679</v>
      </c>
      <c r="E123" s="301">
        <f>NhanCong!I$118</f>
        <v>137480.20000000004</v>
      </c>
      <c r="F123" s="301"/>
      <c r="G123" s="320">
        <f>Dcu!M$140</f>
        <v>3140.1118974358974</v>
      </c>
      <c r="H123" s="320">
        <f>VLieu!K$94</f>
        <v>128980</v>
      </c>
      <c r="I123" s="320"/>
      <c r="J123" s="320"/>
      <c r="K123" s="320">
        <f t="shared" si="32"/>
        <v>269600.31189743592</v>
      </c>
      <c r="L123" s="320">
        <f t="shared" si="34"/>
        <v>40440.046784615384</v>
      </c>
      <c r="M123" s="321">
        <f t="shared" si="33"/>
        <v>310040.3586820513</v>
      </c>
      <c r="N123" s="320"/>
      <c r="O123" s="320">
        <f>NhanCong!J$118</f>
        <v>3892.3076923076924</v>
      </c>
    </row>
    <row r="124" spans="1:15" ht="26">
      <c r="A124" s="300">
        <v>2.7</v>
      </c>
      <c r="B124" s="324" t="str">
        <f>NhanCong!B$119</f>
        <v>Giao nộp sản phẩm đo đạc lập bản đồ địa chính</v>
      </c>
      <c r="C124" s="319" t="s">
        <v>317</v>
      </c>
      <c r="D124" s="319" t="s">
        <v>679</v>
      </c>
      <c r="E124" s="301">
        <f>NhanCong!I$119</f>
        <v>68740.10000000002</v>
      </c>
      <c r="F124" s="301"/>
      <c r="G124" s="320">
        <f>Dcu!M$154</f>
        <v>196.55786538461541</v>
      </c>
      <c r="H124" s="320">
        <f>VLieu!K$94</f>
        <v>128980</v>
      </c>
      <c r="I124" s="320"/>
      <c r="J124" s="320"/>
      <c r="K124" s="320">
        <f t="shared" si="32"/>
        <v>197916.65786538465</v>
      </c>
      <c r="L124" s="320">
        <f t="shared" si="34"/>
        <v>29687.498679807697</v>
      </c>
      <c r="M124" s="321">
        <f t="shared" si="33"/>
        <v>227604.15654519235</v>
      </c>
      <c r="N124" s="320"/>
      <c r="O124" s="320">
        <f>NhanCong!J$119</f>
        <v>1946.1538461538462</v>
      </c>
    </row>
    <row r="125" spans="1:15">
      <c r="A125" s="300"/>
      <c r="B125" s="299"/>
      <c r="C125" s="300"/>
      <c r="D125" s="319" t="s">
        <v>43</v>
      </c>
      <c r="E125" s="301"/>
      <c r="F125" s="301"/>
      <c r="G125" s="320"/>
      <c r="H125" s="320"/>
      <c r="I125" s="320"/>
      <c r="J125" s="320"/>
      <c r="K125" s="320"/>
      <c r="L125" s="320"/>
      <c r="M125" s="321"/>
      <c r="N125" s="320"/>
      <c r="O125" s="320"/>
    </row>
    <row r="126" spans="1:15">
      <c r="A126" s="298" t="s">
        <v>28</v>
      </c>
      <c r="B126" s="316" t="s">
        <v>45</v>
      </c>
      <c r="C126" s="300"/>
      <c r="D126" s="300"/>
      <c r="E126" s="301"/>
      <c r="F126" s="301"/>
      <c r="G126" s="301"/>
      <c r="H126" s="301"/>
      <c r="I126" s="301"/>
      <c r="J126" s="301"/>
      <c r="K126" s="301"/>
      <c r="L126" s="301"/>
      <c r="M126" s="302">
        <v>6.25</v>
      </c>
      <c r="N126" s="325" t="s">
        <v>21</v>
      </c>
      <c r="O126" s="301"/>
    </row>
    <row r="127" spans="1:15" s="308" customFormat="1" ht="13.5" customHeight="1">
      <c r="A127" s="1036"/>
      <c r="B127" s="1035" t="s">
        <v>190</v>
      </c>
      <c r="C127" s="1036" t="s">
        <v>21</v>
      </c>
      <c r="D127" s="298">
        <v>1</v>
      </c>
      <c r="E127" s="301">
        <f t="shared" ref="E127:H131" si="36">SUM(E$161,E162,E167,E172,E177,E182)</f>
        <v>7093473.585</v>
      </c>
      <c r="F127" s="301">
        <f t="shared" si="36"/>
        <v>944544.61538461549</v>
      </c>
      <c r="G127" s="301">
        <f t="shared" si="36"/>
        <v>40718.232820512829</v>
      </c>
      <c r="H127" s="301">
        <f t="shared" si="36"/>
        <v>3030735.2800000003</v>
      </c>
      <c r="I127" s="301"/>
      <c r="J127" s="301">
        <f>SUM(J$161:J162,J167:J172,J177:J182)</f>
        <v>113.97120000000001</v>
      </c>
      <c r="K127" s="301">
        <f t="shared" ref="K127:K136" si="37">SUM(E127:J127)</f>
        <v>11109585.684405129</v>
      </c>
      <c r="L127" s="301">
        <f>K127*0.25</f>
        <v>2777396.4211012824</v>
      </c>
      <c r="M127" s="315">
        <f t="shared" ref="M127:M136" si="38">K127+L127</f>
        <v>13886982.105506413</v>
      </c>
      <c r="N127" s="301">
        <f>M127+M132</f>
        <v>16065681.462287815</v>
      </c>
      <c r="O127" s="301">
        <f>SUM(O$161,O162,O167,O172,O177,O182)</f>
        <v>200551.15384615384</v>
      </c>
    </row>
    <row r="128" spans="1:15" s="308" customFormat="1" ht="15" customHeight="1">
      <c r="A128" s="1036"/>
      <c r="B128" s="1035"/>
      <c r="C128" s="1036"/>
      <c r="D128" s="298">
        <v>2</v>
      </c>
      <c r="E128" s="301">
        <f t="shared" si="36"/>
        <v>8462776.3770000022</v>
      </c>
      <c r="F128" s="301">
        <f t="shared" si="36"/>
        <v>1137528.6153846155</v>
      </c>
      <c r="G128" s="301">
        <f t="shared" si="36"/>
        <v>49158.871196581211</v>
      </c>
      <c r="H128" s="301">
        <f t="shared" si="36"/>
        <v>3030735.2800000003</v>
      </c>
      <c r="I128" s="301"/>
      <c r="J128" s="301">
        <f>SUM(J$161,J163,J168,J173,J178,J183)</f>
        <v>113.97120000000001</v>
      </c>
      <c r="K128" s="301">
        <f t="shared" si="37"/>
        <v>12680313.114781201</v>
      </c>
      <c r="L128" s="301">
        <f>K128*0.25</f>
        <v>3170078.2786953002</v>
      </c>
      <c r="M128" s="315">
        <f t="shared" si="38"/>
        <v>15850391.393476501</v>
      </c>
      <c r="N128" s="301">
        <f>M128+M133</f>
        <v>18170224.871218417</v>
      </c>
      <c r="O128" s="301">
        <f>SUM(O$161,O163,O168,O173,O178,O183)</f>
        <v>239318.53846153847</v>
      </c>
    </row>
    <row r="129" spans="1:15" s="308" customFormat="1" ht="15" customHeight="1">
      <c r="A129" s="1036"/>
      <c r="B129" s="1035"/>
      <c r="C129" s="1036"/>
      <c r="D129" s="298">
        <v>3</v>
      </c>
      <c r="E129" s="301">
        <f t="shared" si="36"/>
        <v>10126974.198000003</v>
      </c>
      <c r="F129" s="301">
        <f t="shared" si="36"/>
        <v>1369516.923076923</v>
      </c>
      <c r="G129" s="301">
        <f t="shared" si="36"/>
        <v>62239.495726495734</v>
      </c>
      <c r="H129" s="301">
        <f t="shared" si="36"/>
        <v>3030735.2800000003</v>
      </c>
      <c r="I129" s="301"/>
      <c r="J129" s="301">
        <f>SUM(J$161,J164,J169,J174,J179,J184)</f>
        <v>113.97120000000001</v>
      </c>
      <c r="K129" s="301">
        <f t="shared" si="37"/>
        <v>14589579.868003424</v>
      </c>
      <c r="L129" s="301">
        <f>K129*0.25</f>
        <v>3647394.9670008561</v>
      </c>
      <c r="M129" s="315">
        <f t="shared" si="38"/>
        <v>18236974.835004281</v>
      </c>
      <c r="N129" s="301">
        <f>M129+M134</f>
        <v>20692716.14186671</v>
      </c>
      <c r="O129" s="301">
        <f>SUM(O$161,O164,O169,O174,O179,O184)</f>
        <v>286434.92307692301</v>
      </c>
    </row>
    <row r="130" spans="1:15" s="308" customFormat="1" ht="15" customHeight="1">
      <c r="A130" s="1036"/>
      <c r="B130" s="1035"/>
      <c r="C130" s="1036"/>
      <c r="D130" s="298">
        <v>4</v>
      </c>
      <c r="E130" s="301">
        <f t="shared" si="36"/>
        <v>12133497.717000004</v>
      </c>
      <c r="F130" s="301">
        <f t="shared" si="36"/>
        <v>1651279.3846153847</v>
      </c>
      <c r="G130" s="301">
        <f t="shared" si="36"/>
        <v>77269.948547008578</v>
      </c>
      <c r="H130" s="301">
        <f t="shared" si="36"/>
        <v>3030735.2800000003</v>
      </c>
      <c r="I130" s="301"/>
      <c r="J130" s="301">
        <f>SUM(J$161,J165,J170,J175,J180,J185)</f>
        <v>113.97120000000001</v>
      </c>
      <c r="K130" s="301">
        <f t="shared" si="37"/>
        <v>16892896.301362399</v>
      </c>
      <c r="L130" s="301">
        <f>K130*0.25</f>
        <v>4223224.0753405998</v>
      </c>
      <c r="M130" s="315">
        <f t="shared" si="38"/>
        <v>21116120.376702998</v>
      </c>
      <c r="N130" s="301">
        <f>M130+M135</f>
        <v>23749403.615032777</v>
      </c>
      <c r="O130" s="301">
        <f>SUM(O$161,O165,O170,O175,O180,O185)</f>
        <v>343243.15384615381</v>
      </c>
    </row>
    <row r="131" spans="1:15" s="308" customFormat="1" ht="15" customHeight="1">
      <c r="A131" s="1036"/>
      <c r="B131" s="1035"/>
      <c r="C131" s="1036"/>
      <c r="D131" s="298">
        <v>5</v>
      </c>
      <c r="E131" s="301">
        <f t="shared" si="36"/>
        <v>14522216.192</v>
      </c>
      <c r="F131" s="301">
        <f t="shared" si="36"/>
        <v>1983980.307692308</v>
      </c>
      <c r="G131" s="301">
        <f t="shared" si="36"/>
        <v>96940.387521367549</v>
      </c>
      <c r="H131" s="301">
        <f t="shared" si="36"/>
        <v>3030735.2800000003</v>
      </c>
      <c r="I131" s="301"/>
      <c r="J131" s="301">
        <f>SUM(J$161,J166,J171,J176,J181,J186)</f>
        <v>113.97120000000001</v>
      </c>
      <c r="K131" s="301">
        <f t="shared" si="37"/>
        <v>19633986.138413675</v>
      </c>
      <c r="L131" s="301">
        <f>K131*0.25</f>
        <v>4908496.5346034188</v>
      </c>
      <c r="M131" s="315">
        <f t="shared" si="38"/>
        <v>24542482.673017092</v>
      </c>
      <c r="N131" s="301">
        <f>M131+M136</f>
        <v>27389025.734281059</v>
      </c>
      <c r="O131" s="301">
        <f>SUM(O$161,O166,O171,O176,O181,O186)</f>
        <v>410872.00000000006</v>
      </c>
    </row>
    <row r="132" spans="1:15" s="308" customFormat="1" ht="13.5" customHeight="1">
      <c r="A132" s="1036"/>
      <c r="B132" s="1035" t="s">
        <v>192</v>
      </c>
      <c r="C132" s="1036" t="s">
        <v>21</v>
      </c>
      <c r="D132" s="298">
        <v>1</v>
      </c>
      <c r="E132" s="301">
        <f t="shared" ref="E132:H136" si="39">(E188+SUM(E$193:E$198))</f>
        <v>1414396.2976000004</v>
      </c>
      <c r="F132" s="301">
        <f t="shared" si="39"/>
        <v>0</v>
      </c>
      <c r="G132" s="301">
        <f t="shared" si="39"/>
        <v>10968.808609914528</v>
      </c>
      <c r="H132" s="301">
        <f t="shared" si="39"/>
        <v>420287.36000000004</v>
      </c>
      <c r="I132" s="301"/>
      <c r="J132" s="301">
        <f>(J188+SUM(J$193:J$198))</f>
        <v>48868.713600000003</v>
      </c>
      <c r="K132" s="301">
        <f t="shared" si="37"/>
        <v>1894521.1798099149</v>
      </c>
      <c r="L132" s="301">
        <f>K132*0.15</f>
        <v>284178.17697148724</v>
      </c>
      <c r="M132" s="315">
        <f t="shared" si="38"/>
        <v>2178699.3567814021</v>
      </c>
      <c r="N132" s="301"/>
      <c r="O132" s="301">
        <f>(O188+SUM(O$193:O$198))</f>
        <v>40044.061538461538</v>
      </c>
    </row>
    <row r="133" spans="1:15" s="308" customFormat="1" ht="15" customHeight="1">
      <c r="A133" s="1036"/>
      <c r="B133" s="1035"/>
      <c r="C133" s="1036"/>
      <c r="D133" s="298">
        <v>2</v>
      </c>
      <c r="E133" s="301">
        <f t="shared" si="39"/>
        <v>1526580.1408000004</v>
      </c>
      <c r="F133" s="301">
        <f t="shared" si="39"/>
        <v>0</v>
      </c>
      <c r="G133" s="301">
        <f t="shared" si="39"/>
        <v>11552.054384273502</v>
      </c>
      <c r="H133" s="301">
        <f t="shared" si="39"/>
        <v>420287.36000000004</v>
      </c>
      <c r="I133" s="301"/>
      <c r="J133" s="301">
        <f>(J189+SUM(J$193:J$198))</f>
        <v>58826.947199999995</v>
      </c>
      <c r="K133" s="301">
        <f t="shared" si="37"/>
        <v>2017246.502384274</v>
      </c>
      <c r="L133" s="301">
        <f>K133*0.15</f>
        <v>302586.97535764112</v>
      </c>
      <c r="M133" s="315">
        <f t="shared" si="38"/>
        <v>2319833.4777419153</v>
      </c>
      <c r="N133" s="301"/>
      <c r="O133" s="301">
        <f>(O189+SUM(O$193:O$198))</f>
        <v>43220.18461538462</v>
      </c>
    </row>
    <row r="134" spans="1:15" s="308" customFormat="1" ht="15" customHeight="1">
      <c r="A134" s="1036"/>
      <c r="B134" s="1035"/>
      <c r="C134" s="1036"/>
      <c r="D134" s="298">
        <v>3</v>
      </c>
      <c r="E134" s="301">
        <f t="shared" si="39"/>
        <v>1638763.9840000004</v>
      </c>
      <c r="F134" s="301">
        <f t="shared" si="39"/>
        <v>0</v>
      </c>
      <c r="G134" s="301">
        <f t="shared" si="39"/>
        <v>12135.300158632477</v>
      </c>
      <c r="H134" s="301">
        <f t="shared" si="39"/>
        <v>420287.36000000004</v>
      </c>
      <c r="I134" s="301"/>
      <c r="J134" s="301">
        <f>(J190+SUM(J$193:J$198))</f>
        <v>64240.579199999993</v>
      </c>
      <c r="K134" s="301">
        <f t="shared" si="37"/>
        <v>2135427.223358633</v>
      </c>
      <c r="L134" s="301">
        <f>K134*0.15</f>
        <v>320314.08350379491</v>
      </c>
      <c r="M134" s="315">
        <f t="shared" si="38"/>
        <v>2455741.3068624279</v>
      </c>
      <c r="N134" s="301"/>
      <c r="O134" s="301">
        <f>(O190+SUM(O$193:O$198))</f>
        <v>46396.307692307695</v>
      </c>
    </row>
    <row r="135" spans="1:15" s="308" customFormat="1" ht="15" customHeight="1">
      <c r="A135" s="1036"/>
      <c r="B135" s="1035"/>
      <c r="C135" s="1036"/>
      <c r="D135" s="298">
        <v>4</v>
      </c>
      <c r="E135" s="301">
        <f t="shared" si="39"/>
        <v>1788342.4416000005</v>
      </c>
      <c r="F135" s="301">
        <f t="shared" si="39"/>
        <v>0</v>
      </c>
      <c r="G135" s="301">
        <f t="shared" si="39"/>
        <v>12912.96119111111</v>
      </c>
      <c r="H135" s="301">
        <f t="shared" si="39"/>
        <v>420287.36000000004</v>
      </c>
      <c r="I135" s="301"/>
      <c r="J135" s="301">
        <f>(J191+SUM(J$193:J$198))</f>
        <v>68268.748800000001</v>
      </c>
      <c r="K135" s="301">
        <f t="shared" si="37"/>
        <v>2289811.5115911118</v>
      </c>
      <c r="L135" s="301">
        <f>K135*0.15</f>
        <v>343471.72673866677</v>
      </c>
      <c r="M135" s="315">
        <f t="shared" si="38"/>
        <v>2633283.2383297784</v>
      </c>
      <c r="N135" s="301"/>
      <c r="O135" s="301">
        <f>(O191+SUM(O$193:O$198))</f>
        <v>50631.138461538467</v>
      </c>
    </row>
    <row r="136" spans="1:15" s="308" customFormat="1" ht="15" customHeight="1">
      <c r="A136" s="1036"/>
      <c r="B136" s="1035"/>
      <c r="C136" s="1036"/>
      <c r="D136" s="298">
        <v>5</v>
      </c>
      <c r="E136" s="301">
        <f t="shared" si="39"/>
        <v>1966516.7808000003</v>
      </c>
      <c r="F136" s="301">
        <f t="shared" si="39"/>
        <v>0</v>
      </c>
      <c r="G136" s="301">
        <f t="shared" si="39"/>
        <v>13885.0374817094</v>
      </c>
      <c r="H136" s="301">
        <f t="shared" si="39"/>
        <v>420287.36000000004</v>
      </c>
      <c r="I136" s="301"/>
      <c r="J136" s="301">
        <f>(J192+SUM(J$193:J$198))</f>
        <v>74565.657599999991</v>
      </c>
      <c r="K136" s="301">
        <f t="shared" si="37"/>
        <v>2475254.8358817096</v>
      </c>
      <c r="L136" s="301">
        <f>K136*0.15</f>
        <v>371288.22538225644</v>
      </c>
      <c r="M136" s="315">
        <f t="shared" si="38"/>
        <v>2846543.0612639659</v>
      </c>
      <c r="N136" s="301"/>
      <c r="O136" s="301">
        <f>(O192+SUM(O$193:O$198))</f>
        <v>55675.56923076923</v>
      </c>
    </row>
    <row r="137" spans="1:15">
      <c r="A137" s="298"/>
      <c r="B137" s="314" t="s">
        <v>322</v>
      </c>
      <c r="C137" s="300"/>
      <c r="D137" s="300"/>
      <c r="E137" s="301"/>
      <c r="F137" s="301"/>
      <c r="G137" s="301"/>
      <c r="H137" s="301"/>
      <c r="I137" s="301"/>
      <c r="J137" s="301"/>
      <c r="K137" s="301"/>
      <c r="L137" s="301"/>
      <c r="M137" s="315"/>
      <c r="N137" s="301"/>
      <c r="O137" s="301"/>
    </row>
    <row r="138" spans="1:15">
      <c r="A138" s="298" t="s">
        <v>502</v>
      </c>
      <c r="B138" s="314" t="s">
        <v>324</v>
      </c>
      <c r="C138" s="300"/>
      <c r="D138" s="300"/>
      <c r="E138" s="301"/>
      <c r="F138" s="301"/>
      <c r="G138" s="301"/>
      <c r="H138" s="301"/>
      <c r="I138" s="301"/>
      <c r="J138" s="301"/>
      <c r="K138" s="301"/>
      <c r="L138" s="301"/>
      <c r="M138" s="315"/>
      <c r="N138" s="301"/>
      <c r="O138" s="301"/>
    </row>
    <row r="139" spans="1:15" s="308" customFormat="1" ht="13.5" customHeight="1">
      <c r="A139" s="1036"/>
      <c r="B139" s="1035" t="s">
        <v>190</v>
      </c>
      <c r="C139" s="1036" t="s">
        <v>21</v>
      </c>
      <c r="D139" s="298">
        <v>1</v>
      </c>
      <c r="E139" s="301">
        <f t="shared" ref="E139:F148" si="40">E127*0.1</f>
        <v>709347.35850000009</v>
      </c>
      <c r="F139" s="301">
        <f t="shared" si="40"/>
        <v>94454.461538461561</v>
      </c>
      <c r="G139" s="301">
        <f>G172*0.1/$M$126</f>
        <v>202.47212307692317</v>
      </c>
      <c r="H139" s="301">
        <f>H127*0.1</f>
        <v>303073.52800000005</v>
      </c>
      <c r="I139" s="301"/>
      <c r="J139" s="301">
        <f>J172*0.1/$M$126</f>
        <v>0</v>
      </c>
      <c r="K139" s="301">
        <f t="shared" ref="K139:K148" si="41">SUM(E139:J139)</f>
        <v>1107077.8201615387</v>
      </c>
      <c r="L139" s="301">
        <f>K139*0.25</f>
        <v>276769.45504038467</v>
      </c>
      <c r="M139" s="315">
        <f t="shared" ref="M139:M148" si="42">K139+L139</f>
        <v>1383847.2752019232</v>
      </c>
      <c r="N139" s="301">
        <f>M139+M144</f>
        <v>1548856.922860415</v>
      </c>
      <c r="O139" s="301">
        <f t="shared" ref="O139:O148" si="43">O127*0.1</f>
        <v>20055.115384615387</v>
      </c>
    </row>
    <row r="140" spans="1:15" s="308" customFormat="1" ht="15" customHeight="1">
      <c r="A140" s="1036"/>
      <c r="B140" s="1035"/>
      <c r="C140" s="1036"/>
      <c r="D140" s="298">
        <v>2</v>
      </c>
      <c r="E140" s="301">
        <f t="shared" si="40"/>
        <v>846277.63770000031</v>
      </c>
      <c r="F140" s="301">
        <f t="shared" si="40"/>
        <v>113752.86153846156</v>
      </c>
      <c r="G140" s="301">
        <f>G173*0.1/$M$126</f>
        <v>253.09015384615395</v>
      </c>
      <c r="H140" s="301">
        <f>H128*0.1</f>
        <v>303073.52800000005</v>
      </c>
      <c r="I140" s="301"/>
      <c r="J140" s="301">
        <f>J173*0.1/$M$126</f>
        <v>0</v>
      </c>
      <c r="K140" s="301">
        <f t="shared" si="41"/>
        <v>1263357.1173923081</v>
      </c>
      <c r="L140" s="301">
        <f>K140*0.25</f>
        <v>315839.27934807702</v>
      </c>
      <c r="M140" s="315">
        <f t="shared" si="42"/>
        <v>1579196.3967403851</v>
      </c>
      <c r="N140" s="301">
        <f>M140+M145</f>
        <v>1757117.9180891251</v>
      </c>
      <c r="O140" s="301">
        <f t="shared" si="43"/>
        <v>23931.853846153848</v>
      </c>
    </row>
    <row r="141" spans="1:15" s="308" customFormat="1" ht="15" customHeight="1">
      <c r="A141" s="1036"/>
      <c r="B141" s="1035"/>
      <c r="C141" s="1036"/>
      <c r="D141" s="298">
        <v>3</v>
      </c>
      <c r="E141" s="301">
        <f t="shared" si="40"/>
        <v>1012697.4198000003</v>
      </c>
      <c r="F141" s="301">
        <f t="shared" si="40"/>
        <v>136951.69230769231</v>
      </c>
      <c r="G141" s="301">
        <f>G174*0.1/$M$126</f>
        <v>337.45353846153853</v>
      </c>
      <c r="H141" s="301">
        <f>H129*0.1</f>
        <v>303073.52800000005</v>
      </c>
      <c r="I141" s="301"/>
      <c r="J141" s="301">
        <f>J174*0.1/$M$126</f>
        <v>0</v>
      </c>
      <c r="K141" s="301">
        <f t="shared" si="41"/>
        <v>1453060.0936461543</v>
      </c>
      <c r="L141" s="301">
        <f>K141*0.25</f>
        <v>363265.02341153857</v>
      </c>
      <c r="M141" s="315">
        <f t="shared" si="42"/>
        <v>1816325.1170576927</v>
      </c>
      <c r="N141" s="301">
        <f>M141+M146</f>
        <v>2007158.5120966807</v>
      </c>
      <c r="O141" s="301">
        <f t="shared" si="43"/>
        <v>28643.492307692301</v>
      </c>
    </row>
    <row r="142" spans="1:15" s="308" customFormat="1" ht="15" customHeight="1">
      <c r="A142" s="1036"/>
      <c r="B142" s="1035"/>
      <c r="C142" s="1036"/>
      <c r="D142" s="298">
        <v>4</v>
      </c>
      <c r="E142" s="301">
        <f t="shared" si="40"/>
        <v>1213349.7717000004</v>
      </c>
      <c r="F142" s="301">
        <f t="shared" si="40"/>
        <v>165127.93846153849</v>
      </c>
      <c r="G142" s="301">
        <f>G175*0.1/$M$126</f>
        <v>438.68960000000021</v>
      </c>
      <c r="H142" s="301">
        <f>H130*0.1</f>
        <v>303073.52800000005</v>
      </c>
      <c r="I142" s="301"/>
      <c r="J142" s="301">
        <f>J175*0.1/$M$126</f>
        <v>0</v>
      </c>
      <c r="K142" s="301">
        <f t="shared" si="41"/>
        <v>1681989.9277615389</v>
      </c>
      <c r="L142" s="301">
        <f>K142*0.25</f>
        <v>420497.48194038472</v>
      </c>
      <c r="M142" s="315">
        <f t="shared" si="42"/>
        <v>2102487.4097019238</v>
      </c>
      <c r="N142" s="301">
        <f>M142+M147</f>
        <v>2310536.6363279098</v>
      </c>
      <c r="O142" s="301">
        <f t="shared" si="43"/>
        <v>34324.31538461538</v>
      </c>
    </row>
    <row r="143" spans="1:15" s="308" customFormat="1" ht="15" customHeight="1">
      <c r="A143" s="1036"/>
      <c r="B143" s="1035"/>
      <c r="C143" s="1036"/>
      <c r="D143" s="298">
        <v>5</v>
      </c>
      <c r="E143" s="301">
        <f t="shared" si="40"/>
        <v>1452221.6192000001</v>
      </c>
      <c r="F143" s="301">
        <f t="shared" si="40"/>
        <v>198398.0307692308</v>
      </c>
      <c r="G143" s="301">
        <f>G176*0.1/$M$126</f>
        <v>573.67101538461554</v>
      </c>
      <c r="H143" s="301">
        <f>H131*0.1</f>
        <v>303073.52800000005</v>
      </c>
      <c r="I143" s="301"/>
      <c r="J143" s="301">
        <f>J176*0.1/$M$126</f>
        <v>0</v>
      </c>
      <c r="K143" s="301">
        <f t="shared" si="41"/>
        <v>1954266.8489846154</v>
      </c>
      <c r="L143" s="301">
        <f>K143*0.25</f>
        <v>488566.71224615385</v>
      </c>
      <c r="M143" s="315">
        <f t="shared" si="42"/>
        <v>2442833.5612307694</v>
      </c>
      <c r="N143" s="301">
        <f>M143+M148</f>
        <v>2671390.7230685023</v>
      </c>
      <c r="O143" s="301">
        <f t="shared" si="43"/>
        <v>41087.200000000012</v>
      </c>
    </row>
    <row r="144" spans="1:15" s="308" customFormat="1" ht="13.5" customHeight="1">
      <c r="A144" s="1036"/>
      <c r="B144" s="1035" t="s">
        <v>192</v>
      </c>
      <c r="C144" s="1036" t="s">
        <v>21</v>
      </c>
      <c r="D144" s="298">
        <v>1</v>
      </c>
      <c r="E144" s="301">
        <f t="shared" si="40"/>
        <v>141439.62976000004</v>
      </c>
      <c r="F144" s="301">
        <f t="shared" si="40"/>
        <v>0</v>
      </c>
      <c r="G144" s="301">
        <f t="shared" ref="G144:H148" si="44">G188*0.1/$M$126</f>
        <v>43.549017818803414</v>
      </c>
      <c r="H144" s="301">
        <f t="shared" si="44"/>
        <v>2003.4713600000005</v>
      </c>
      <c r="I144" s="301"/>
      <c r="J144" s="301"/>
      <c r="K144" s="301">
        <f t="shared" si="41"/>
        <v>143486.65013781883</v>
      </c>
      <c r="L144" s="301">
        <f>K144*0.15</f>
        <v>21522.997520672823</v>
      </c>
      <c r="M144" s="315">
        <f t="shared" si="42"/>
        <v>165009.64765849165</v>
      </c>
      <c r="N144" s="301"/>
      <c r="O144" s="301">
        <f t="shared" si="43"/>
        <v>4004.4061538461538</v>
      </c>
    </row>
    <row r="145" spans="1:15" s="308" customFormat="1" ht="15" customHeight="1">
      <c r="A145" s="1036"/>
      <c r="B145" s="1035"/>
      <c r="C145" s="1036"/>
      <c r="D145" s="298">
        <v>2</v>
      </c>
      <c r="E145" s="301">
        <f t="shared" si="40"/>
        <v>152658.01408000005</v>
      </c>
      <c r="F145" s="301">
        <f t="shared" si="40"/>
        <v>0</v>
      </c>
      <c r="G145" s="301">
        <f t="shared" si="44"/>
        <v>52.880950208546999</v>
      </c>
      <c r="H145" s="301">
        <f t="shared" si="44"/>
        <v>2003.4713600000005</v>
      </c>
      <c r="I145" s="301"/>
      <c r="J145" s="301"/>
      <c r="K145" s="301">
        <f t="shared" si="41"/>
        <v>154714.3663902086</v>
      </c>
      <c r="L145" s="301">
        <f>K145*0.15</f>
        <v>23207.15495853129</v>
      </c>
      <c r="M145" s="315">
        <f t="shared" si="42"/>
        <v>177921.52134873989</v>
      </c>
      <c r="N145" s="301"/>
      <c r="O145" s="301">
        <f t="shared" si="43"/>
        <v>4322.0184615384624</v>
      </c>
    </row>
    <row r="146" spans="1:15" s="308" customFormat="1" ht="15" customHeight="1">
      <c r="A146" s="1036"/>
      <c r="B146" s="1035"/>
      <c r="C146" s="1036"/>
      <c r="D146" s="298">
        <v>3</v>
      </c>
      <c r="E146" s="301">
        <f t="shared" si="40"/>
        <v>163876.39840000006</v>
      </c>
      <c r="F146" s="301">
        <f t="shared" si="40"/>
        <v>0</v>
      </c>
      <c r="G146" s="301">
        <f t="shared" si="44"/>
        <v>62.212882598290598</v>
      </c>
      <c r="H146" s="301">
        <f t="shared" si="44"/>
        <v>2003.4713600000005</v>
      </c>
      <c r="I146" s="301"/>
      <c r="J146" s="301"/>
      <c r="K146" s="301">
        <f t="shared" si="41"/>
        <v>165942.08264259834</v>
      </c>
      <c r="L146" s="301">
        <f>K146*0.15</f>
        <v>24891.312396389749</v>
      </c>
      <c r="M146" s="315">
        <f t="shared" si="42"/>
        <v>190833.39503898809</v>
      </c>
      <c r="N146" s="301"/>
      <c r="O146" s="301">
        <f t="shared" si="43"/>
        <v>4639.6307692307701</v>
      </c>
    </row>
    <row r="147" spans="1:15" s="308" customFormat="1" ht="15" customHeight="1">
      <c r="A147" s="1036"/>
      <c r="B147" s="1035"/>
      <c r="C147" s="1036"/>
      <c r="D147" s="298">
        <v>4</v>
      </c>
      <c r="E147" s="301">
        <f t="shared" si="40"/>
        <v>178834.24416000006</v>
      </c>
      <c r="F147" s="301">
        <f t="shared" si="40"/>
        <v>0</v>
      </c>
      <c r="G147" s="301">
        <f t="shared" si="44"/>
        <v>74.655459117948709</v>
      </c>
      <c r="H147" s="301">
        <f t="shared" si="44"/>
        <v>2003.4713600000005</v>
      </c>
      <c r="I147" s="301"/>
      <c r="J147" s="301"/>
      <c r="K147" s="301">
        <f t="shared" si="41"/>
        <v>180912.37097911802</v>
      </c>
      <c r="L147" s="301">
        <f>K147*0.15</f>
        <v>27136.855646867702</v>
      </c>
      <c r="M147" s="315">
        <f t="shared" si="42"/>
        <v>208049.22662598573</v>
      </c>
      <c r="N147" s="301"/>
      <c r="O147" s="301">
        <f t="shared" si="43"/>
        <v>5063.1138461538467</v>
      </c>
    </row>
    <row r="148" spans="1:15" s="308" customFormat="1" ht="15" customHeight="1">
      <c r="A148" s="1036"/>
      <c r="B148" s="1035"/>
      <c r="C148" s="1036"/>
      <c r="D148" s="298">
        <v>5</v>
      </c>
      <c r="E148" s="301">
        <f t="shared" si="40"/>
        <v>196651.67808000004</v>
      </c>
      <c r="F148" s="301">
        <f t="shared" si="40"/>
        <v>0</v>
      </c>
      <c r="G148" s="301">
        <f t="shared" si="44"/>
        <v>90.208679767521375</v>
      </c>
      <c r="H148" s="301">
        <f t="shared" si="44"/>
        <v>2003.4713600000005</v>
      </c>
      <c r="I148" s="301"/>
      <c r="J148" s="301"/>
      <c r="K148" s="301">
        <f t="shared" si="41"/>
        <v>198745.35811976757</v>
      </c>
      <c r="L148" s="301">
        <f>K148*0.15</f>
        <v>29811.803717965133</v>
      </c>
      <c r="M148" s="315">
        <f t="shared" si="42"/>
        <v>228557.16183773271</v>
      </c>
      <c r="N148" s="301"/>
      <c r="O148" s="301">
        <f t="shared" si="43"/>
        <v>5567.5569230769233</v>
      </c>
    </row>
    <row r="149" spans="1:15">
      <c r="A149" s="298" t="s">
        <v>502</v>
      </c>
      <c r="B149" s="314" t="s">
        <v>326</v>
      </c>
      <c r="C149" s="300"/>
      <c r="D149" s="300"/>
      <c r="E149" s="301"/>
      <c r="F149" s="301"/>
      <c r="G149" s="301"/>
      <c r="H149" s="301"/>
      <c r="I149" s="301"/>
      <c r="J149" s="301"/>
      <c r="K149" s="301"/>
      <c r="L149" s="301"/>
      <c r="M149" s="315"/>
      <c r="N149" s="301"/>
      <c r="O149" s="301"/>
    </row>
    <row r="150" spans="1:15" s="308" customFormat="1" ht="13.5" customHeight="1">
      <c r="A150" s="1036"/>
      <c r="B150" s="1035" t="s">
        <v>190</v>
      </c>
      <c r="C150" s="1036" t="s">
        <v>21</v>
      </c>
      <c r="D150" s="298">
        <v>1</v>
      </c>
      <c r="E150" s="301">
        <f t="shared" ref="E150:F154" si="45">E127*1.15</f>
        <v>8157494.6227499992</v>
      </c>
      <c r="F150" s="301">
        <f t="shared" si="45"/>
        <v>1086226.3076923077</v>
      </c>
      <c r="G150" s="301">
        <f t="shared" ref="G150:H159" si="46">G127</f>
        <v>40718.232820512829</v>
      </c>
      <c r="H150" s="301">
        <f t="shared" si="46"/>
        <v>3030735.2800000003</v>
      </c>
      <c r="I150" s="301"/>
      <c r="J150" s="301">
        <f t="shared" ref="J150:J159" si="47">J127</f>
        <v>113.97120000000001</v>
      </c>
      <c r="K150" s="301">
        <f t="shared" ref="K150:K159" si="48">SUM(E150:J150)</f>
        <v>12315288.41446282</v>
      </c>
      <c r="L150" s="301">
        <f>K150*0.25</f>
        <v>3078822.1036157049</v>
      </c>
      <c r="M150" s="315">
        <f t="shared" ref="M150:M159" si="49">K150+L150</f>
        <v>15394110.518078525</v>
      </c>
      <c r="N150" s="301">
        <f>M150+M155</f>
        <v>17735465.449083928</v>
      </c>
      <c r="O150" s="301">
        <f>O127*1.15</f>
        <v>230633.82692307691</v>
      </c>
    </row>
    <row r="151" spans="1:15" s="308" customFormat="1" ht="15" customHeight="1">
      <c r="A151" s="1036"/>
      <c r="B151" s="1035"/>
      <c r="C151" s="1036"/>
      <c r="D151" s="298">
        <v>2</v>
      </c>
      <c r="E151" s="301">
        <f t="shared" si="45"/>
        <v>9732192.8335500024</v>
      </c>
      <c r="F151" s="301">
        <f t="shared" si="45"/>
        <v>1308157.9076923076</v>
      </c>
      <c r="G151" s="301">
        <f t="shared" si="46"/>
        <v>49158.871196581211</v>
      </c>
      <c r="H151" s="301">
        <f t="shared" si="46"/>
        <v>3030735.2800000003</v>
      </c>
      <c r="I151" s="301"/>
      <c r="J151" s="301">
        <f t="shared" si="47"/>
        <v>113.97120000000001</v>
      </c>
      <c r="K151" s="301">
        <f t="shared" si="48"/>
        <v>14120358.863638893</v>
      </c>
      <c r="L151" s="301">
        <f>K151*0.25</f>
        <v>3530089.7159097232</v>
      </c>
      <c r="M151" s="315">
        <f t="shared" si="49"/>
        <v>17650448.579548616</v>
      </c>
      <c r="N151" s="301">
        <f>M151+M156</f>
        <v>20145838.773482531</v>
      </c>
      <c r="O151" s="301">
        <f>O128*1.15</f>
        <v>275216.31923076924</v>
      </c>
    </row>
    <row r="152" spans="1:15" s="308" customFormat="1" ht="15" customHeight="1">
      <c r="A152" s="1036"/>
      <c r="B152" s="1035"/>
      <c r="C152" s="1036"/>
      <c r="D152" s="298">
        <v>3</v>
      </c>
      <c r="E152" s="301">
        <f t="shared" si="45"/>
        <v>11646020.327700002</v>
      </c>
      <c r="F152" s="301">
        <f t="shared" si="45"/>
        <v>1574944.4615384613</v>
      </c>
      <c r="G152" s="301">
        <f t="shared" si="46"/>
        <v>62239.495726495734</v>
      </c>
      <c r="H152" s="301">
        <f t="shared" si="46"/>
        <v>3030735.2800000003</v>
      </c>
      <c r="I152" s="301"/>
      <c r="J152" s="301">
        <f t="shared" si="47"/>
        <v>113.97120000000001</v>
      </c>
      <c r="K152" s="301">
        <f t="shared" si="48"/>
        <v>16314053.536164962</v>
      </c>
      <c r="L152" s="301">
        <f>K152*0.25</f>
        <v>4078513.3840412404</v>
      </c>
      <c r="M152" s="315">
        <f t="shared" si="49"/>
        <v>20392566.920206204</v>
      </c>
      <c r="N152" s="301">
        <f>M152+M157</f>
        <v>23036766.085228633</v>
      </c>
      <c r="O152" s="301">
        <f>O129*1.15</f>
        <v>329400.16153846146</v>
      </c>
    </row>
    <row r="153" spans="1:15" s="308" customFormat="1" ht="15" customHeight="1">
      <c r="A153" s="1036"/>
      <c r="B153" s="1035"/>
      <c r="C153" s="1036"/>
      <c r="D153" s="298">
        <v>4</v>
      </c>
      <c r="E153" s="301">
        <f t="shared" si="45"/>
        <v>13953522.374550004</v>
      </c>
      <c r="F153" s="301">
        <f t="shared" si="45"/>
        <v>1898971.2923076923</v>
      </c>
      <c r="G153" s="301">
        <f t="shared" si="46"/>
        <v>77269.948547008578</v>
      </c>
      <c r="H153" s="301">
        <f t="shared" si="46"/>
        <v>3030735.2800000003</v>
      </c>
      <c r="I153" s="301"/>
      <c r="J153" s="301">
        <f t="shared" si="47"/>
        <v>113.97120000000001</v>
      </c>
      <c r="K153" s="301">
        <f t="shared" si="48"/>
        <v>18960612.866604704</v>
      </c>
      <c r="L153" s="301">
        <f>K153*0.25</f>
        <v>4740153.2166511761</v>
      </c>
      <c r="M153" s="315">
        <f t="shared" si="49"/>
        <v>23700766.08325588</v>
      </c>
      <c r="N153" s="301">
        <f>M153+M158</f>
        <v>26539708.70236966</v>
      </c>
      <c r="O153" s="301">
        <f>O130*1.15</f>
        <v>394729.62692307687</v>
      </c>
    </row>
    <row r="154" spans="1:15" s="308" customFormat="1" ht="15" customHeight="1">
      <c r="A154" s="1036"/>
      <c r="B154" s="1035"/>
      <c r="C154" s="1036"/>
      <c r="D154" s="298">
        <v>5</v>
      </c>
      <c r="E154" s="301">
        <f t="shared" si="45"/>
        <v>16700548.620799998</v>
      </c>
      <c r="F154" s="301">
        <f t="shared" si="45"/>
        <v>2281577.3538461542</v>
      </c>
      <c r="G154" s="301">
        <f t="shared" si="46"/>
        <v>96940.387521367549</v>
      </c>
      <c r="H154" s="301">
        <f t="shared" si="46"/>
        <v>3030735.2800000003</v>
      </c>
      <c r="I154" s="301"/>
      <c r="J154" s="301">
        <f t="shared" si="47"/>
        <v>113.97120000000001</v>
      </c>
      <c r="K154" s="301">
        <f t="shared" si="48"/>
        <v>22109915.61336752</v>
      </c>
      <c r="L154" s="301">
        <f>K154*0.25</f>
        <v>5527478.9033418801</v>
      </c>
      <c r="M154" s="315">
        <f t="shared" si="49"/>
        <v>27637394.516709402</v>
      </c>
      <c r="N154" s="301">
        <f>M154+M159</f>
        <v>30710087.007765368</v>
      </c>
      <c r="O154" s="301">
        <f>O131*1.15</f>
        <v>472502.80000000005</v>
      </c>
    </row>
    <row r="155" spans="1:15" s="308" customFormat="1" ht="13.5" customHeight="1">
      <c r="A155" s="1036"/>
      <c r="B155" s="1035" t="s">
        <v>192</v>
      </c>
      <c r="C155" s="1036" t="s">
        <v>21</v>
      </c>
      <c r="D155" s="298">
        <v>1</v>
      </c>
      <c r="E155" s="301">
        <f t="shared" ref="E155:F159" si="50">E132*1.1</f>
        <v>1555835.9273600006</v>
      </c>
      <c r="F155" s="301">
        <f t="shared" si="50"/>
        <v>0</v>
      </c>
      <c r="G155" s="301">
        <f t="shared" si="46"/>
        <v>10968.808609914528</v>
      </c>
      <c r="H155" s="301">
        <f t="shared" si="46"/>
        <v>420287.36000000004</v>
      </c>
      <c r="I155" s="301"/>
      <c r="J155" s="301">
        <f t="shared" si="47"/>
        <v>48868.713600000003</v>
      </c>
      <c r="K155" s="301">
        <f t="shared" si="48"/>
        <v>2035960.8095699151</v>
      </c>
      <c r="L155" s="301">
        <f>K155*0.15</f>
        <v>305394.12143548724</v>
      </c>
      <c r="M155" s="315">
        <f t="shared" si="49"/>
        <v>2341354.9310054025</v>
      </c>
      <c r="N155" s="301"/>
      <c r="O155" s="301">
        <f>O132*1.1</f>
        <v>44048.467692307691</v>
      </c>
    </row>
    <row r="156" spans="1:15" s="308" customFormat="1" ht="15" customHeight="1">
      <c r="A156" s="1036"/>
      <c r="B156" s="1035"/>
      <c r="C156" s="1036"/>
      <c r="D156" s="298">
        <v>2</v>
      </c>
      <c r="E156" s="301">
        <f t="shared" si="50"/>
        <v>1679238.1548800005</v>
      </c>
      <c r="F156" s="301">
        <f t="shared" si="50"/>
        <v>0</v>
      </c>
      <c r="G156" s="301">
        <f t="shared" si="46"/>
        <v>11552.054384273502</v>
      </c>
      <c r="H156" s="301">
        <f t="shared" si="46"/>
        <v>420287.36000000004</v>
      </c>
      <c r="I156" s="301"/>
      <c r="J156" s="301">
        <f t="shared" si="47"/>
        <v>58826.947199999995</v>
      </c>
      <c r="K156" s="301">
        <f t="shared" si="48"/>
        <v>2169904.5164642739</v>
      </c>
      <c r="L156" s="301">
        <f>K156*0.15</f>
        <v>325485.67746964109</v>
      </c>
      <c r="M156" s="315">
        <f t="shared" si="49"/>
        <v>2495390.1939339149</v>
      </c>
      <c r="N156" s="301"/>
      <c r="O156" s="301">
        <f>O133*1.1</f>
        <v>47542.203076923084</v>
      </c>
    </row>
    <row r="157" spans="1:15" s="308" customFormat="1" ht="15" customHeight="1">
      <c r="A157" s="1036"/>
      <c r="B157" s="1035"/>
      <c r="C157" s="1036"/>
      <c r="D157" s="298">
        <v>3</v>
      </c>
      <c r="E157" s="301">
        <f t="shared" si="50"/>
        <v>1802640.3824000007</v>
      </c>
      <c r="F157" s="301">
        <f t="shared" si="50"/>
        <v>0</v>
      </c>
      <c r="G157" s="301">
        <f t="shared" si="46"/>
        <v>12135.300158632477</v>
      </c>
      <c r="H157" s="301">
        <f t="shared" si="46"/>
        <v>420287.36000000004</v>
      </c>
      <c r="I157" s="301"/>
      <c r="J157" s="301">
        <f t="shared" si="47"/>
        <v>64240.579199999993</v>
      </c>
      <c r="K157" s="301">
        <f t="shared" si="48"/>
        <v>2299303.6217586333</v>
      </c>
      <c r="L157" s="301">
        <f>K157*0.15</f>
        <v>344895.54326379497</v>
      </c>
      <c r="M157" s="315">
        <f t="shared" si="49"/>
        <v>2644199.1650224281</v>
      </c>
      <c r="N157" s="301"/>
      <c r="O157" s="301">
        <f>O134*1.1</f>
        <v>51035.93846153847</v>
      </c>
    </row>
    <row r="158" spans="1:15" s="308" customFormat="1" ht="15" customHeight="1">
      <c r="A158" s="1036"/>
      <c r="B158" s="1035"/>
      <c r="C158" s="1036"/>
      <c r="D158" s="298">
        <v>4</v>
      </c>
      <c r="E158" s="301">
        <f t="shared" si="50"/>
        <v>1967176.6857600007</v>
      </c>
      <c r="F158" s="301">
        <f t="shared" si="50"/>
        <v>0</v>
      </c>
      <c r="G158" s="301">
        <f t="shared" si="46"/>
        <v>12912.96119111111</v>
      </c>
      <c r="H158" s="301">
        <f t="shared" si="46"/>
        <v>420287.36000000004</v>
      </c>
      <c r="I158" s="301"/>
      <c r="J158" s="301">
        <f t="shared" si="47"/>
        <v>68268.748800000001</v>
      </c>
      <c r="K158" s="301">
        <f t="shared" si="48"/>
        <v>2468645.755751112</v>
      </c>
      <c r="L158" s="301">
        <f>K158*0.15</f>
        <v>370296.8633626668</v>
      </c>
      <c r="M158" s="315">
        <f t="shared" si="49"/>
        <v>2838942.6191137787</v>
      </c>
      <c r="N158" s="301"/>
      <c r="O158" s="301">
        <f>O135*1.1</f>
        <v>55694.252307692317</v>
      </c>
    </row>
    <row r="159" spans="1:15" s="308" customFormat="1" ht="15" customHeight="1">
      <c r="A159" s="1036"/>
      <c r="B159" s="1035"/>
      <c r="C159" s="1036"/>
      <c r="D159" s="298">
        <v>5</v>
      </c>
      <c r="E159" s="301">
        <f t="shared" si="50"/>
        <v>2163168.4588800003</v>
      </c>
      <c r="F159" s="301">
        <f t="shared" si="50"/>
        <v>0</v>
      </c>
      <c r="G159" s="301">
        <f t="shared" si="46"/>
        <v>13885.0374817094</v>
      </c>
      <c r="H159" s="301">
        <f t="shared" si="46"/>
        <v>420287.36000000004</v>
      </c>
      <c r="I159" s="301"/>
      <c r="J159" s="301">
        <f t="shared" si="47"/>
        <v>74565.657599999991</v>
      </c>
      <c r="K159" s="301">
        <f t="shared" si="48"/>
        <v>2671906.5139617096</v>
      </c>
      <c r="L159" s="301">
        <f>K159*0.15</f>
        <v>400785.97709425644</v>
      </c>
      <c r="M159" s="315">
        <f t="shared" si="49"/>
        <v>3072692.4910559659</v>
      </c>
      <c r="N159" s="301"/>
      <c r="O159" s="301">
        <f>O136*1.1</f>
        <v>61243.126153846155</v>
      </c>
    </row>
    <row r="160" spans="1:15">
      <c r="A160" s="298">
        <v>1</v>
      </c>
      <c r="B160" s="316" t="s">
        <v>57</v>
      </c>
      <c r="C160" s="300"/>
      <c r="D160" s="300"/>
      <c r="E160" s="301"/>
      <c r="F160" s="301"/>
      <c r="G160" s="301"/>
      <c r="H160" s="301"/>
      <c r="I160" s="301"/>
      <c r="J160" s="301"/>
      <c r="K160" s="301"/>
      <c r="L160" s="301"/>
      <c r="M160" s="326">
        <v>6.25</v>
      </c>
      <c r="N160" s="327" t="s">
        <v>21</v>
      </c>
      <c r="O160" s="301"/>
    </row>
    <row r="161" spans="1:15">
      <c r="A161" s="323" t="s">
        <v>359</v>
      </c>
      <c r="B161" s="324" t="str">
        <f>NhanCong!B$61</f>
        <v>Công tác chuẩn bị</v>
      </c>
      <c r="C161" s="319" t="s">
        <v>317</v>
      </c>
      <c r="D161" s="319" t="s">
        <v>622</v>
      </c>
      <c r="E161" s="301">
        <f>NhanCong!M$61</f>
        <v>290265.88800000009</v>
      </c>
      <c r="F161" s="301">
        <f>NhanCong!M$62</f>
        <v>18046.769230769234</v>
      </c>
      <c r="G161" s="320">
        <f>Dcu!N$102*0.4</f>
        <v>8436.3384615384639</v>
      </c>
      <c r="H161" s="320">
        <f>VLieu!L$66</f>
        <v>450109.2</v>
      </c>
      <c r="I161" s="320"/>
      <c r="J161" s="320"/>
      <c r="K161" s="320">
        <f>SUM(E161:J161)</f>
        <v>766858.19569230778</v>
      </c>
      <c r="L161" s="320">
        <f>K161*0.25</f>
        <v>191714.54892307695</v>
      </c>
      <c r="M161" s="321">
        <f>K161+L161</f>
        <v>958572.74461538473</v>
      </c>
      <c r="N161" s="320"/>
      <c r="O161" s="320">
        <f>NhanCong!N$61</f>
        <v>7940.3076923076924</v>
      </c>
    </row>
    <row r="162" spans="1:15">
      <c r="A162" s="1041" t="s">
        <v>269</v>
      </c>
      <c r="B162" s="1038" t="str">
        <f>NhanCong!B$63</f>
        <v>Lập lưới khống chế đo vẽ</v>
      </c>
      <c r="C162" s="1039" t="s">
        <v>317</v>
      </c>
      <c r="D162" s="319">
        <v>1</v>
      </c>
      <c r="E162" s="301">
        <f>NhanCong!M$63</f>
        <v>804259.17000000016</v>
      </c>
      <c r="F162" s="301"/>
      <c r="G162" s="320">
        <f>Dcu!N$82</f>
        <v>4441.9774358974346</v>
      </c>
      <c r="H162" s="320">
        <f>VLieu!L$67</f>
        <v>300072.8</v>
      </c>
      <c r="I162" s="320"/>
      <c r="J162" s="320">
        <f>TBi!N$39</f>
        <v>113.97120000000001</v>
      </c>
      <c r="K162" s="320">
        <f t="shared" ref="K162:K166" si="51">SUM(E162:J162)</f>
        <v>1108887.9186358976</v>
      </c>
      <c r="L162" s="320">
        <f t="shared" ref="L162:L186" si="52">K162*0.25</f>
        <v>277221.97965897439</v>
      </c>
      <c r="M162" s="321">
        <f t="shared" ref="M162:M186" si="53">K162+L162</f>
        <v>1386109.8982948719</v>
      </c>
      <c r="N162" s="320"/>
      <c r="O162" s="320">
        <f>NhanCong!N$63</f>
        <v>22769.999999999996</v>
      </c>
    </row>
    <row r="163" spans="1:15">
      <c r="A163" s="1041"/>
      <c r="B163" s="1038"/>
      <c r="C163" s="1039"/>
      <c r="D163" s="319">
        <v>2</v>
      </c>
      <c r="E163" s="301">
        <f>NhanCong!M$64</f>
        <v>965798.40500000026</v>
      </c>
      <c r="F163" s="301"/>
      <c r="G163" s="320">
        <f>Dcu!N$83</f>
        <v>5922.6365811965798</v>
      </c>
      <c r="H163" s="320">
        <f>VLieu!L$67</f>
        <v>300072.8</v>
      </c>
      <c r="I163" s="320"/>
      <c r="J163" s="320">
        <f>TBi!O$39</f>
        <v>113.97120000000001</v>
      </c>
      <c r="K163" s="320">
        <f t="shared" si="51"/>
        <v>1271907.8127811968</v>
      </c>
      <c r="L163" s="320">
        <f t="shared" si="52"/>
        <v>317976.9531952992</v>
      </c>
      <c r="M163" s="321">
        <f t="shared" si="53"/>
        <v>1589884.765976496</v>
      </c>
      <c r="N163" s="320"/>
      <c r="O163" s="320">
        <f>NhanCong!N$64</f>
        <v>27343.461538461539</v>
      </c>
    </row>
    <row r="164" spans="1:15">
      <c r="A164" s="1041"/>
      <c r="B164" s="1038"/>
      <c r="C164" s="1039"/>
      <c r="D164" s="319">
        <v>3</v>
      </c>
      <c r="E164" s="301">
        <f>NhanCong!M$65</f>
        <v>1158270.6850000003</v>
      </c>
      <c r="F164" s="301"/>
      <c r="G164" s="320">
        <f>Dcu!N$84</f>
        <v>7403.295726495724</v>
      </c>
      <c r="H164" s="320">
        <f>VLieu!L$67</f>
        <v>300072.8</v>
      </c>
      <c r="I164" s="320"/>
      <c r="J164" s="320">
        <f>TBi!P$39</f>
        <v>113.97120000000001</v>
      </c>
      <c r="K164" s="320">
        <f t="shared" si="51"/>
        <v>1465860.7519264962</v>
      </c>
      <c r="L164" s="320">
        <f t="shared" si="52"/>
        <v>366465.18798162404</v>
      </c>
      <c r="M164" s="321">
        <f t="shared" si="53"/>
        <v>1832325.9399081203</v>
      </c>
      <c r="N164" s="320"/>
      <c r="O164" s="320">
        <f>NhanCong!N$65</f>
        <v>32792.692307692312</v>
      </c>
    </row>
    <row r="165" spans="1:15">
      <c r="A165" s="1041"/>
      <c r="B165" s="1038"/>
      <c r="C165" s="1039"/>
      <c r="D165" s="319">
        <v>4</v>
      </c>
      <c r="E165" s="301">
        <f>NhanCong!M$66</f>
        <v>1388550.0200000003</v>
      </c>
      <c r="F165" s="301"/>
      <c r="G165" s="320">
        <f>Dcu!N$85</f>
        <v>8513.790085470082</v>
      </c>
      <c r="H165" s="320">
        <f>VLieu!L$67</f>
        <v>300072.8</v>
      </c>
      <c r="I165" s="320"/>
      <c r="J165" s="320">
        <f>TBi!Q$39</f>
        <v>113.97120000000001</v>
      </c>
      <c r="K165" s="320">
        <f t="shared" si="51"/>
        <v>1697250.5812854704</v>
      </c>
      <c r="L165" s="320">
        <f t="shared" si="52"/>
        <v>424312.6453213676</v>
      </c>
      <c r="M165" s="321">
        <f t="shared" si="53"/>
        <v>2121563.2266068379</v>
      </c>
      <c r="N165" s="320"/>
      <c r="O165" s="320">
        <f>NhanCong!N$66</f>
        <v>39312.307692307688</v>
      </c>
    </row>
    <row r="166" spans="1:15">
      <c r="A166" s="1041"/>
      <c r="B166" s="1038"/>
      <c r="C166" s="1039"/>
      <c r="D166" s="319">
        <v>5</v>
      </c>
      <c r="E166" s="301">
        <f>NhanCong!M$67</f>
        <v>1663510.4200000006</v>
      </c>
      <c r="F166" s="301"/>
      <c r="G166" s="320">
        <f>Dcu!N$86</f>
        <v>9624.2844444444418</v>
      </c>
      <c r="H166" s="320">
        <f>VLieu!L$67</f>
        <v>300072.8</v>
      </c>
      <c r="I166" s="320"/>
      <c r="J166" s="320">
        <f>TBi!R$39</f>
        <v>113.97120000000001</v>
      </c>
      <c r="K166" s="320">
        <f t="shared" si="51"/>
        <v>1973321.475644445</v>
      </c>
      <c r="L166" s="320">
        <f t="shared" si="52"/>
        <v>493330.36891111126</v>
      </c>
      <c r="M166" s="321">
        <f t="shared" si="53"/>
        <v>2466651.8445555563</v>
      </c>
      <c r="N166" s="320"/>
      <c r="O166" s="320">
        <f>NhanCong!N$67</f>
        <v>47096.923076923078</v>
      </c>
    </row>
    <row r="167" spans="1:15">
      <c r="A167" s="1041" t="s">
        <v>36</v>
      </c>
      <c r="B167" s="1038" t="str">
        <f>NhanCong!B$68</f>
        <v>Xác định ranh giới thửa đất trên thực địa</v>
      </c>
      <c r="C167" s="1039" t="s">
        <v>317</v>
      </c>
      <c r="D167" s="319">
        <v>1</v>
      </c>
      <c r="E167" s="301">
        <f>NhanCong!M$68</f>
        <v>2697361.5240000002</v>
      </c>
      <c r="F167" s="301">
        <f>NhanCong!M$69</f>
        <v>571092.92307692312</v>
      </c>
      <c r="G167" s="320">
        <f>Dcu!N$103*0.4</f>
        <v>5061.8030769230791</v>
      </c>
      <c r="H167" s="320">
        <f>VLieu!L$68</f>
        <v>750182</v>
      </c>
      <c r="I167" s="320"/>
      <c r="J167" s="320"/>
      <c r="K167" s="320">
        <f>SUM(E167:J167)</f>
        <v>4023698.2501538461</v>
      </c>
      <c r="L167" s="320">
        <f t="shared" si="52"/>
        <v>1005924.5625384615</v>
      </c>
      <c r="M167" s="321">
        <f t="shared" si="53"/>
        <v>5029622.8126923079</v>
      </c>
      <c r="N167" s="320"/>
      <c r="O167" s="320">
        <f>NhanCong!N$68</f>
        <v>76367.076923076922</v>
      </c>
    </row>
    <row r="168" spans="1:15">
      <c r="A168" s="1041"/>
      <c r="B168" s="1038"/>
      <c r="C168" s="1039"/>
      <c r="D168" s="319">
        <v>2</v>
      </c>
      <c r="E168" s="301">
        <f>NhanCong!M$70</f>
        <v>3236283.9080000008</v>
      </c>
      <c r="F168" s="301">
        <f>NhanCong!M$71</f>
        <v>685195.07692307699</v>
      </c>
      <c r="G168" s="320">
        <f>Dcu!N$104*0.4</f>
        <v>6327.2538461538488</v>
      </c>
      <c r="H168" s="320">
        <f>VLieu!L$68</f>
        <v>750182</v>
      </c>
      <c r="I168" s="320"/>
      <c r="J168" s="320"/>
      <c r="K168" s="320">
        <f t="shared" ref="K168:K186" si="54">SUM(E168:J168)</f>
        <v>4677988.2387692314</v>
      </c>
      <c r="L168" s="320">
        <f t="shared" si="52"/>
        <v>1169497.0596923078</v>
      </c>
      <c r="M168" s="321">
        <f t="shared" si="53"/>
        <v>5847485.2984615397</v>
      </c>
      <c r="N168" s="320"/>
      <c r="O168" s="320">
        <f>NhanCong!N$70</f>
        <v>91624.923076923078</v>
      </c>
    </row>
    <row r="169" spans="1:15">
      <c r="A169" s="1041"/>
      <c r="B169" s="1038"/>
      <c r="C169" s="1039"/>
      <c r="D169" s="319">
        <v>3</v>
      </c>
      <c r="E169" s="301">
        <f>NhanCong!M$72</f>
        <v>3883815.6500000004</v>
      </c>
      <c r="F169" s="301">
        <f>NhanCong!M$73</f>
        <v>822292.30769230763</v>
      </c>
      <c r="G169" s="320">
        <f>Dcu!N$105*0.4</f>
        <v>8436.3384615384639</v>
      </c>
      <c r="H169" s="320">
        <f>VLieu!L$68</f>
        <v>750182</v>
      </c>
      <c r="I169" s="320"/>
      <c r="J169" s="320"/>
      <c r="K169" s="320">
        <f t="shared" si="54"/>
        <v>5464726.2961538471</v>
      </c>
      <c r="L169" s="320">
        <f t="shared" si="52"/>
        <v>1366181.5740384618</v>
      </c>
      <c r="M169" s="321">
        <f t="shared" si="53"/>
        <v>6830907.8701923089</v>
      </c>
      <c r="N169" s="320"/>
      <c r="O169" s="320">
        <f>NhanCong!N$72</f>
        <v>109957.6923076923</v>
      </c>
    </row>
    <row r="170" spans="1:15">
      <c r="A170" s="1041"/>
      <c r="B170" s="1038"/>
      <c r="C170" s="1039"/>
      <c r="D170" s="319">
        <v>4</v>
      </c>
      <c r="E170" s="301">
        <f>NhanCong!M$74</f>
        <v>4660578.78</v>
      </c>
      <c r="F170" s="301">
        <f>NhanCong!M$75</f>
        <v>986750.76923076925</v>
      </c>
      <c r="G170" s="320">
        <f>Dcu!N$106*0.4</f>
        <v>10967.240000000005</v>
      </c>
      <c r="H170" s="320">
        <f>VLieu!L$68</f>
        <v>750182</v>
      </c>
      <c r="I170" s="320"/>
      <c r="J170" s="320"/>
      <c r="K170" s="320">
        <f t="shared" si="54"/>
        <v>6408478.7892307695</v>
      </c>
      <c r="L170" s="320">
        <f t="shared" si="52"/>
        <v>1602119.6973076924</v>
      </c>
      <c r="M170" s="321">
        <f t="shared" si="53"/>
        <v>8010598.4865384623</v>
      </c>
      <c r="N170" s="320"/>
      <c r="O170" s="320">
        <f>NhanCong!N$74</f>
        <v>131949.23076923075</v>
      </c>
    </row>
    <row r="171" spans="1:15">
      <c r="A171" s="1041"/>
      <c r="B171" s="1038"/>
      <c r="C171" s="1039"/>
      <c r="D171" s="319">
        <v>5</v>
      </c>
      <c r="E171" s="301">
        <f>NhanCong!M$76</f>
        <v>5592694.5360000003</v>
      </c>
      <c r="F171" s="301">
        <f>NhanCong!M$77</f>
        <v>1184100.9230769232</v>
      </c>
      <c r="G171" s="320">
        <f>Dcu!N$107*0.4</f>
        <v>14341.775384615388</v>
      </c>
      <c r="H171" s="320">
        <f>VLieu!L$68</f>
        <v>750182</v>
      </c>
      <c r="I171" s="320"/>
      <c r="J171" s="320"/>
      <c r="K171" s="320">
        <f t="shared" si="54"/>
        <v>7541319.2344615385</v>
      </c>
      <c r="L171" s="320">
        <f t="shared" si="52"/>
        <v>1885329.8086153846</v>
      </c>
      <c r="M171" s="321">
        <f t="shared" si="53"/>
        <v>9426649.0430769231</v>
      </c>
      <c r="N171" s="320"/>
      <c r="O171" s="320">
        <f>NhanCong!N$76</f>
        <v>158339.07692307691</v>
      </c>
    </row>
    <row r="172" spans="1:15">
      <c r="A172" s="1041" t="s">
        <v>270</v>
      </c>
      <c r="B172" s="1038" t="str">
        <f>NhanCong!B$78</f>
        <v>Đo đạc ranh giới thửa đất và các đối tượng địa lý có liên quan</v>
      </c>
      <c r="C172" s="1039" t="s">
        <v>317</v>
      </c>
      <c r="D172" s="319" t="s">
        <v>18</v>
      </c>
      <c r="E172" s="301">
        <f>NhanCong!M$78</f>
        <v>2663678.8750000005</v>
      </c>
      <c r="F172" s="301">
        <f>NhanCong!M$79</f>
        <v>108280.6153846154</v>
      </c>
      <c r="G172" s="320">
        <f>Dcu!N$103</f>
        <v>12654.507692307696</v>
      </c>
      <c r="H172" s="320">
        <f>VLieu!L$69</f>
        <v>750182</v>
      </c>
      <c r="I172" s="320"/>
      <c r="J172" s="320"/>
      <c r="K172" s="320">
        <f t="shared" si="54"/>
        <v>3534795.9980769237</v>
      </c>
      <c r="L172" s="320">
        <f t="shared" si="52"/>
        <v>883698.99951923091</v>
      </c>
      <c r="M172" s="321">
        <f t="shared" si="53"/>
        <v>4418494.9975961549</v>
      </c>
      <c r="N172" s="320"/>
      <c r="O172" s="320">
        <f>NhanCong!N$78</f>
        <v>75413.461538461546</v>
      </c>
    </row>
    <row r="173" spans="1:15">
      <c r="A173" s="1041"/>
      <c r="B173" s="1038"/>
      <c r="C173" s="1039"/>
      <c r="D173" s="319" t="s">
        <v>20</v>
      </c>
      <c r="E173" s="301">
        <f>NhanCong!M$80</f>
        <v>3196414.6500000013</v>
      </c>
      <c r="F173" s="301">
        <f>NhanCong!M$81</f>
        <v>135350.76923076925</v>
      </c>
      <c r="G173" s="320">
        <f>Dcu!N$104</f>
        <v>15818.134615384621</v>
      </c>
      <c r="H173" s="320">
        <f>VLieu!L$69</f>
        <v>750182</v>
      </c>
      <c r="I173" s="320"/>
      <c r="J173" s="320"/>
      <c r="K173" s="320">
        <f t="shared" si="54"/>
        <v>4097765.5538461548</v>
      </c>
      <c r="L173" s="320">
        <f t="shared" si="52"/>
        <v>1024441.3884615387</v>
      </c>
      <c r="M173" s="321">
        <f t="shared" si="53"/>
        <v>5122206.9423076939</v>
      </c>
      <c r="N173" s="320"/>
      <c r="O173" s="320">
        <f>NhanCong!N$80</f>
        <v>90496.153846153844</v>
      </c>
    </row>
    <row r="174" spans="1:15">
      <c r="A174" s="1041"/>
      <c r="B174" s="1038"/>
      <c r="C174" s="1039"/>
      <c r="D174" s="319" t="s">
        <v>35</v>
      </c>
      <c r="E174" s="301">
        <f>NhanCong!M$82</f>
        <v>3835697.580000001</v>
      </c>
      <c r="F174" s="301">
        <f>NhanCong!M$83</f>
        <v>162420.92307692309</v>
      </c>
      <c r="G174" s="320">
        <f>Dcu!N$105</f>
        <v>21090.84615384616</v>
      </c>
      <c r="H174" s="320">
        <f>VLieu!L$69</f>
        <v>750182</v>
      </c>
      <c r="I174" s="320"/>
      <c r="J174" s="320"/>
      <c r="K174" s="320">
        <f t="shared" si="54"/>
        <v>4769391.34923077</v>
      </c>
      <c r="L174" s="320">
        <f t="shared" si="52"/>
        <v>1192347.8373076925</v>
      </c>
      <c r="M174" s="321">
        <f t="shared" si="53"/>
        <v>5961739.1865384625</v>
      </c>
      <c r="N174" s="320"/>
      <c r="O174" s="320">
        <f>NhanCong!N$82</f>
        <v>108595.3846153846</v>
      </c>
    </row>
    <row r="175" spans="1:15">
      <c r="A175" s="1041"/>
      <c r="B175" s="1038"/>
      <c r="C175" s="1039"/>
      <c r="D175" s="319" t="s">
        <v>33</v>
      </c>
      <c r="E175" s="301">
        <f>NhanCong!M$84</f>
        <v>4602149.6950000022</v>
      </c>
      <c r="F175" s="301">
        <f>NhanCong!M$85</f>
        <v>195021.53846153847</v>
      </c>
      <c r="G175" s="320">
        <f>Dcu!N$106</f>
        <v>27418.100000000009</v>
      </c>
      <c r="H175" s="320">
        <f>VLieu!L$69</f>
        <v>750182</v>
      </c>
      <c r="I175" s="320"/>
      <c r="J175" s="320"/>
      <c r="K175" s="320">
        <f t="shared" si="54"/>
        <v>5574771.3334615398</v>
      </c>
      <c r="L175" s="320">
        <f t="shared" si="52"/>
        <v>1393692.833365385</v>
      </c>
      <c r="M175" s="321">
        <f t="shared" si="53"/>
        <v>6968464.1668269243</v>
      </c>
      <c r="N175" s="320"/>
      <c r="O175" s="320">
        <f>NhanCong!N$84</f>
        <v>130295</v>
      </c>
    </row>
    <row r="176" spans="1:15">
      <c r="A176" s="1041"/>
      <c r="B176" s="1038"/>
      <c r="C176" s="1039"/>
      <c r="D176" s="319" t="s">
        <v>13</v>
      </c>
      <c r="E176" s="301">
        <f>NhanCong!M$86</f>
        <v>5523267.0350000011</v>
      </c>
      <c r="F176" s="301">
        <f>NhanCong!M$87</f>
        <v>234025.84615384616</v>
      </c>
      <c r="G176" s="320">
        <f>Dcu!N$107</f>
        <v>35854.43846153847</v>
      </c>
      <c r="H176" s="320">
        <f>VLieu!L$69</f>
        <v>750182</v>
      </c>
      <c r="I176" s="320"/>
      <c r="J176" s="320"/>
      <c r="K176" s="320">
        <f t="shared" si="54"/>
        <v>6543329.3196153855</v>
      </c>
      <c r="L176" s="320">
        <f t="shared" si="52"/>
        <v>1635832.3299038464</v>
      </c>
      <c r="M176" s="321">
        <f t="shared" si="53"/>
        <v>8179161.6495192321</v>
      </c>
      <c r="N176" s="320"/>
      <c r="O176" s="320">
        <f>NhanCong!N$86</f>
        <v>156373.46153846153</v>
      </c>
    </row>
    <row r="177" spans="1:15">
      <c r="A177" s="1041" t="s">
        <v>363</v>
      </c>
      <c r="B177" s="1038" t="str">
        <f>NhanCong!B$88</f>
        <v>Đối soát, kiểm tra</v>
      </c>
      <c r="C177" s="1039" t="s">
        <v>317</v>
      </c>
      <c r="D177" s="319" t="s">
        <v>18</v>
      </c>
      <c r="E177" s="301">
        <f>NhanCong!M$88</f>
        <v>156040.02700000003</v>
      </c>
      <c r="F177" s="301">
        <f>NhanCong!M$89</f>
        <v>43079.384615384617</v>
      </c>
      <c r="G177" s="320">
        <f>Dcu!N$103*0.4</f>
        <v>5061.8030769230791</v>
      </c>
      <c r="H177" s="320">
        <f>VLieu!L$70</f>
        <v>390094.64</v>
      </c>
      <c r="I177" s="320"/>
      <c r="J177" s="320"/>
      <c r="K177" s="320">
        <f t="shared" si="54"/>
        <v>594275.85469230777</v>
      </c>
      <c r="L177" s="320">
        <f t="shared" si="52"/>
        <v>148568.96367307694</v>
      </c>
      <c r="M177" s="321">
        <f t="shared" si="53"/>
        <v>742844.81836538471</v>
      </c>
      <c r="N177" s="320"/>
      <c r="O177" s="320">
        <f>NhanCong!N$88</f>
        <v>4417.7692307692305</v>
      </c>
    </row>
    <row r="178" spans="1:15">
      <c r="A178" s="1041"/>
      <c r="B178" s="1038"/>
      <c r="C178" s="1039"/>
      <c r="D178" s="319" t="s">
        <v>20</v>
      </c>
      <c r="E178" s="301">
        <f>NhanCong!M$90</f>
        <v>195221.88400000002</v>
      </c>
      <c r="F178" s="301">
        <f>NhanCong!M$91</f>
        <v>53849.23076923078</v>
      </c>
      <c r="G178" s="320">
        <f>Dcu!N$104*0.4</f>
        <v>6327.2538461538488</v>
      </c>
      <c r="H178" s="320">
        <f>VLieu!L$70</f>
        <v>390094.64</v>
      </c>
      <c r="I178" s="320"/>
      <c r="J178" s="320"/>
      <c r="K178" s="320">
        <f t="shared" si="54"/>
        <v>645493.00861538469</v>
      </c>
      <c r="L178" s="320">
        <f t="shared" si="52"/>
        <v>161373.25215384617</v>
      </c>
      <c r="M178" s="321">
        <f t="shared" si="53"/>
        <v>806866.2607692309</v>
      </c>
      <c r="N178" s="320"/>
      <c r="O178" s="320">
        <f>NhanCong!N$90</f>
        <v>5527.0769230769229</v>
      </c>
    </row>
    <row r="179" spans="1:15">
      <c r="A179" s="1041"/>
      <c r="B179" s="1038"/>
      <c r="C179" s="1039"/>
      <c r="D179" s="319" t="s">
        <v>35</v>
      </c>
      <c r="E179" s="301">
        <f>NhanCong!M$92</f>
        <v>264649.38500000007</v>
      </c>
      <c r="F179" s="301">
        <f>NhanCong!M$93</f>
        <v>72769.23076923078</v>
      </c>
      <c r="G179" s="320">
        <f>Dcu!N$105*0.4</f>
        <v>8436.3384615384639</v>
      </c>
      <c r="H179" s="320">
        <f>VLieu!L$70</f>
        <v>390094.64</v>
      </c>
      <c r="I179" s="320"/>
      <c r="J179" s="320"/>
      <c r="K179" s="320">
        <f t="shared" si="54"/>
        <v>735949.59423076943</v>
      </c>
      <c r="L179" s="320">
        <f t="shared" si="52"/>
        <v>183987.39855769236</v>
      </c>
      <c r="M179" s="321">
        <f t="shared" si="53"/>
        <v>919936.99278846174</v>
      </c>
      <c r="N179" s="320"/>
      <c r="O179" s="320">
        <f>NhanCong!N$92</f>
        <v>7492.6923076923076</v>
      </c>
    </row>
    <row r="180" spans="1:15">
      <c r="A180" s="1041"/>
      <c r="B180" s="1038"/>
      <c r="C180" s="1039"/>
      <c r="D180" s="319" t="s">
        <v>33</v>
      </c>
      <c r="E180" s="301">
        <f>NhanCong!M$94</f>
        <v>358823.32200000004</v>
      </c>
      <c r="F180" s="301">
        <f>NhanCong!M$95</f>
        <v>98675.076923076937</v>
      </c>
      <c r="G180" s="320">
        <f>Dcu!N$106*0.4</f>
        <v>10967.240000000005</v>
      </c>
      <c r="H180" s="320">
        <f>VLieu!L$70</f>
        <v>390094.64</v>
      </c>
      <c r="I180" s="320"/>
      <c r="J180" s="320"/>
      <c r="K180" s="320">
        <f t="shared" si="54"/>
        <v>858560.27892307704</v>
      </c>
      <c r="L180" s="320">
        <f t="shared" si="52"/>
        <v>214640.06973076926</v>
      </c>
      <c r="M180" s="321">
        <f t="shared" si="53"/>
        <v>1073200.3486538464</v>
      </c>
      <c r="N180" s="320"/>
      <c r="O180" s="320">
        <f>NhanCong!N$94</f>
        <v>10158.923076923076</v>
      </c>
    </row>
    <row r="181" spans="1:15">
      <c r="A181" s="1041"/>
      <c r="B181" s="1038"/>
      <c r="C181" s="1039"/>
      <c r="D181" s="319" t="s">
        <v>13</v>
      </c>
      <c r="E181" s="301">
        <f>NhanCong!M$96</f>
        <v>452997.25900000008</v>
      </c>
      <c r="F181" s="301">
        <f>NhanCong!M$97</f>
        <v>124580.92307692309</v>
      </c>
      <c r="G181" s="320">
        <f>Dcu!N$107*0.4</f>
        <v>14341.775384615388</v>
      </c>
      <c r="H181" s="320">
        <f>VLieu!L$70</f>
        <v>390094.64</v>
      </c>
      <c r="I181" s="320"/>
      <c r="J181" s="320"/>
      <c r="K181" s="320">
        <f t="shared" si="54"/>
        <v>982014.59746153862</v>
      </c>
      <c r="L181" s="320">
        <f t="shared" si="52"/>
        <v>245503.64936538466</v>
      </c>
      <c r="M181" s="321">
        <f t="shared" si="53"/>
        <v>1227518.2468269232</v>
      </c>
      <c r="N181" s="320"/>
      <c r="O181" s="320">
        <f>NhanCong!N$96</f>
        <v>12825.153846153846</v>
      </c>
    </row>
    <row r="182" spans="1:15" ht="12.75" customHeight="1">
      <c r="A182" s="1041" t="s">
        <v>364</v>
      </c>
      <c r="B182" s="1038" t="str">
        <f>NhanCong!B$98</f>
        <v>Giao nhận Phiếu kết quả đo đạc hiện trạng thửa đất</v>
      </c>
      <c r="C182" s="1039" t="s">
        <v>317</v>
      </c>
      <c r="D182" s="319" t="s">
        <v>18</v>
      </c>
      <c r="E182" s="301">
        <f>NhanCong!M$98</f>
        <v>481868.10100000008</v>
      </c>
      <c r="F182" s="301">
        <f>NhanCong!M$99</f>
        <v>204044.92307692309</v>
      </c>
      <c r="G182" s="320">
        <f>Dcu!N$103*0.4</f>
        <v>5061.8030769230791</v>
      </c>
      <c r="H182" s="320">
        <f>VLieu!L$71</f>
        <v>390094.64</v>
      </c>
      <c r="I182" s="320"/>
      <c r="J182" s="320"/>
      <c r="K182" s="320">
        <f t="shared" si="54"/>
        <v>1081069.4671538463</v>
      </c>
      <c r="L182" s="320">
        <f t="shared" si="52"/>
        <v>270267.36678846157</v>
      </c>
      <c r="M182" s="321">
        <f t="shared" si="53"/>
        <v>1351336.8339423079</v>
      </c>
      <c r="N182" s="320"/>
      <c r="O182" s="320">
        <f>NhanCong!N$98</f>
        <v>13642.538461538461</v>
      </c>
    </row>
    <row r="183" spans="1:15">
      <c r="A183" s="1041"/>
      <c r="B183" s="1038"/>
      <c r="C183" s="1039"/>
      <c r="D183" s="319" t="s">
        <v>20</v>
      </c>
      <c r="E183" s="301">
        <f>NhanCong!M$100</f>
        <v>578791.64200000011</v>
      </c>
      <c r="F183" s="301">
        <f>NhanCong!M$101</f>
        <v>245086.76923076925</v>
      </c>
      <c r="G183" s="320">
        <f>Dcu!N$104*0.4</f>
        <v>6327.2538461538488</v>
      </c>
      <c r="H183" s="320">
        <f>VLieu!L$71</f>
        <v>390094.64</v>
      </c>
      <c r="I183" s="320"/>
      <c r="J183" s="320"/>
      <c r="K183" s="320">
        <f t="shared" si="54"/>
        <v>1220300.3050769232</v>
      </c>
      <c r="L183" s="320">
        <f t="shared" si="52"/>
        <v>305075.07626923081</v>
      </c>
      <c r="M183" s="321">
        <f t="shared" si="53"/>
        <v>1525375.381346154</v>
      </c>
      <c r="N183" s="320"/>
      <c r="O183" s="320">
        <f>NhanCong!N$100</f>
        <v>16386.615384615387</v>
      </c>
    </row>
    <row r="184" spans="1:15">
      <c r="A184" s="1041"/>
      <c r="B184" s="1038"/>
      <c r="C184" s="1039"/>
      <c r="D184" s="319" t="s">
        <v>35</v>
      </c>
      <c r="E184" s="301">
        <f>NhanCong!M$102</f>
        <v>694275.01</v>
      </c>
      <c r="F184" s="301">
        <f>NhanCong!M$103</f>
        <v>293987.69230769231</v>
      </c>
      <c r="G184" s="320">
        <f>Dcu!N$105*0.4</f>
        <v>8436.3384615384639</v>
      </c>
      <c r="H184" s="320">
        <f>VLieu!L$71</f>
        <v>390094.64</v>
      </c>
      <c r="I184" s="320"/>
      <c r="J184" s="320"/>
      <c r="K184" s="320">
        <f t="shared" si="54"/>
        <v>1386793.6807692307</v>
      </c>
      <c r="L184" s="320">
        <f t="shared" si="52"/>
        <v>346698.42019230768</v>
      </c>
      <c r="M184" s="321">
        <f t="shared" si="53"/>
        <v>1733492.1009615385</v>
      </c>
      <c r="N184" s="320"/>
      <c r="O184" s="320">
        <f>NhanCong!N$102</f>
        <v>19656.153846153844</v>
      </c>
    </row>
    <row r="185" spans="1:15">
      <c r="A185" s="1041"/>
      <c r="B185" s="1038"/>
      <c r="C185" s="1039"/>
      <c r="D185" s="319" t="s">
        <v>33</v>
      </c>
      <c r="E185" s="301">
        <f>NhanCong!M$104</f>
        <v>833130.01200000022</v>
      </c>
      <c r="F185" s="301">
        <f>NhanCong!M$105</f>
        <v>352785.23076923081</v>
      </c>
      <c r="G185" s="320">
        <f>Dcu!N$106*0.4</f>
        <v>10967.240000000005</v>
      </c>
      <c r="H185" s="320">
        <f>VLieu!L$71</f>
        <v>390094.64</v>
      </c>
      <c r="I185" s="320"/>
      <c r="J185" s="320"/>
      <c r="K185" s="320">
        <f t="shared" si="54"/>
        <v>1586977.122769231</v>
      </c>
      <c r="L185" s="320">
        <f t="shared" si="52"/>
        <v>396744.28069230774</v>
      </c>
      <c r="M185" s="321">
        <f t="shared" si="53"/>
        <v>1983721.4034615387</v>
      </c>
      <c r="N185" s="320"/>
      <c r="O185" s="320">
        <f>NhanCong!N$104</f>
        <v>23587.38461538461</v>
      </c>
    </row>
    <row r="186" spans="1:15">
      <c r="A186" s="1041"/>
      <c r="B186" s="1038"/>
      <c r="C186" s="1039"/>
      <c r="D186" s="319" t="s">
        <v>13</v>
      </c>
      <c r="E186" s="301">
        <f>NhanCong!M$106</f>
        <v>999481.054</v>
      </c>
      <c r="F186" s="301">
        <f>NhanCong!M$107</f>
        <v>423225.84615384619</v>
      </c>
      <c r="G186" s="320">
        <f>Dcu!N$107*0.4</f>
        <v>14341.775384615388</v>
      </c>
      <c r="H186" s="320">
        <f>VLieu!L$71</f>
        <v>390094.64</v>
      </c>
      <c r="I186" s="320"/>
      <c r="J186" s="320"/>
      <c r="K186" s="320">
        <f t="shared" si="54"/>
        <v>1827143.3155384618</v>
      </c>
      <c r="L186" s="320">
        <f t="shared" si="52"/>
        <v>456785.82888461545</v>
      </c>
      <c r="M186" s="321">
        <f t="shared" si="53"/>
        <v>2283929.1444230773</v>
      </c>
      <c r="N186" s="320"/>
      <c r="O186" s="320">
        <f>NhanCong!N$106</f>
        <v>28297.076923076922</v>
      </c>
    </row>
    <row r="187" spans="1:15" ht="13.5" customHeight="1">
      <c r="A187" s="298">
        <v>2</v>
      </c>
      <c r="B187" s="316" t="s">
        <v>58</v>
      </c>
      <c r="C187" s="319" t="s">
        <v>43</v>
      </c>
      <c r="D187" s="319"/>
      <c r="E187" s="301">
        <f>NhanCong!M$108</f>
        <v>0</v>
      </c>
      <c r="F187" s="301"/>
      <c r="G187" s="320"/>
      <c r="H187" s="320"/>
      <c r="I187" s="320"/>
      <c r="J187" s="320"/>
      <c r="K187" s="320">
        <f>E187+F187+G187+I187+J187</f>
        <v>0</v>
      </c>
      <c r="L187" s="320"/>
      <c r="M187" s="321"/>
      <c r="N187" s="320"/>
      <c r="O187" s="320"/>
    </row>
    <row r="188" spans="1:15">
      <c r="A188" s="1041" t="s">
        <v>268</v>
      </c>
      <c r="B188" s="1038" t="str">
        <f>NhanCong!B$109</f>
        <v>Biên tập bản đồ địa chính</v>
      </c>
      <c r="C188" s="1039" t="s">
        <v>317</v>
      </c>
      <c r="D188" s="319" t="s">
        <v>18</v>
      </c>
      <c r="E188" s="301">
        <f>NhanCong!M$109</f>
        <v>504827.29440000007</v>
      </c>
      <c r="F188" s="301"/>
      <c r="G188" s="320">
        <f>Dcu!N$123</f>
        <v>2721.8136136752132</v>
      </c>
      <c r="H188" s="320">
        <f>VLieu!L$90</f>
        <v>125216.96000000002</v>
      </c>
      <c r="I188" s="320"/>
      <c r="J188" s="320">
        <f>TBi!N$100</f>
        <v>12180.672000000002</v>
      </c>
      <c r="K188" s="320">
        <f>SUM(E188:J188)</f>
        <v>644946.7400136753</v>
      </c>
      <c r="L188" s="320">
        <f>K188*0.15</f>
        <v>96742.011002051295</v>
      </c>
      <c r="M188" s="321">
        <f>K188+L188</f>
        <v>741688.75101572659</v>
      </c>
      <c r="N188" s="320"/>
      <c r="O188" s="320">
        <f>NhanCong!N$109</f>
        <v>14292.553846153845</v>
      </c>
    </row>
    <row r="189" spans="1:15">
      <c r="A189" s="1041"/>
      <c r="B189" s="1038"/>
      <c r="C189" s="1039"/>
      <c r="D189" s="319" t="s">
        <v>20</v>
      </c>
      <c r="E189" s="301">
        <f>NhanCong!M$110</f>
        <v>617011.13760000013</v>
      </c>
      <c r="F189" s="301"/>
      <c r="G189" s="320">
        <f>Dcu!N$124</f>
        <v>3305.0593880341876</v>
      </c>
      <c r="H189" s="320">
        <f>VLieu!L$90</f>
        <v>125216.96000000002</v>
      </c>
      <c r="I189" s="320"/>
      <c r="J189" s="320">
        <f>TBi!O$100</f>
        <v>22138.905600000002</v>
      </c>
      <c r="K189" s="320">
        <f>SUM(E189:J189)</f>
        <v>767672.06258803431</v>
      </c>
      <c r="L189" s="320">
        <f>K189*0.15</f>
        <v>115150.80938820515</v>
      </c>
      <c r="M189" s="321">
        <f>K189+L189</f>
        <v>882822.87197623949</v>
      </c>
      <c r="N189" s="320"/>
      <c r="O189" s="320">
        <f>NhanCong!N$110</f>
        <v>17468.676923076924</v>
      </c>
    </row>
    <row r="190" spans="1:15">
      <c r="A190" s="1041"/>
      <c r="B190" s="1038"/>
      <c r="C190" s="1039"/>
      <c r="D190" s="319" t="s">
        <v>35</v>
      </c>
      <c r="E190" s="301">
        <f>NhanCong!M$111</f>
        <v>729194.98080000014</v>
      </c>
      <c r="F190" s="301"/>
      <c r="G190" s="320">
        <f>Dcu!N$125</f>
        <v>3888.3051623931619</v>
      </c>
      <c r="H190" s="320">
        <f>VLieu!L$90</f>
        <v>125216.96000000002</v>
      </c>
      <c r="I190" s="320"/>
      <c r="J190" s="320">
        <f>TBi!P$100</f>
        <v>27552.537599999996</v>
      </c>
      <c r="K190" s="320">
        <f>SUM(E190:J190)</f>
        <v>885852.78356239328</v>
      </c>
      <c r="L190" s="320">
        <f>K190*0.15</f>
        <v>132877.91753435897</v>
      </c>
      <c r="M190" s="321">
        <f>K190+L190</f>
        <v>1018730.7010967522</v>
      </c>
      <c r="N190" s="320"/>
      <c r="O190" s="320">
        <f>NhanCong!N$111</f>
        <v>20644.8</v>
      </c>
    </row>
    <row r="191" spans="1:15">
      <c r="A191" s="1041"/>
      <c r="B191" s="1038"/>
      <c r="C191" s="1039"/>
      <c r="D191" s="319" t="s">
        <v>33</v>
      </c>
      <c r="E191" s="301">
        <f>NhanCong!M$112</f>
        <v>878773.43840000022</v>
      </c>
      <c r="F191" s="301"/>
      <c r="G191" s="320">
        <f>Dcu!N$126</f>
        <v>4665.966194871794</v>
      </c>
      <c r="H191" s="320">
        <f>VLieu!L$90</f>
        <v>125216.96000000002</v>
      </c>
      <c r="I191" s="320"/>
      <c r="J191" s="320">
        <f>TBi!Q$100</f>
        <v>31580.707200000001</v>
      </c>
      <c r="K191" s="320">
        <f>SUM(E191:J191)</f>
        <v>1040237.0717948721</v>
      </c>
      <c r="L191" s="320">
        <f>K191*0.15</f>
        <v>156035.5607692308</v>
      </c>
      <c r="M191" s="321">
        <f>K191+L191</f>
        <v>1196272.6325641028</v>
      </c>
      <c r="N191" s="320"/>
      <c r="O191" s="320">
        <f>NhanCong!N$112</f>
        <v>24879.630769230771</v>
      </c>
    </row>
    <row r="192" spans="1:15">
      <c r="A192" s="1041"/>
      <c r="B192" s="1038"/>
      <c r="C192" s="1039"/>
      <c r="D192" s="319" t="s">
        <v>13</v>
      </c>
      <c r="E192" s="301">
        <f>NhanCong!M$113</f>
        <v>1056947.7776000001</v>
      </c>
      <c r="F192" s="301"/>
      <c r="G192" s="320">
        <f>Dcu!N$127</f>
        <v>5638.042485470085</v>
      </c>
      <c r="H192" s="320">
        <f>VLieu!L$90</f>
        <v>125216.96000000002</v>
      </c>
      <c r="I192" s="320"/>
      <c r="J192" s="320">
        <f>TBi!R$100</f>
        <v>37877.615999999995</v>
      </c>
      <c r="K192" s="320">
        <f>SUM(E192:J192)</f>
        <v>1225680.3960854702</v>
      </c>
      <c r="L192" s="320">
        <f>K192*0.15</f>
        <v>183852.05941282053</v>
      </c>
      <c r="M192" s="321">
        <f>K192+L192</f>
        <v>1409532.4554982907</v>
      </c>
      <c r="N192" s="320"/>
      <c r="O192" s="320">
        <f>NhanCong!N$113</f>
        <v>29924.061538461534</v>
      </c>
    </row>
    <row r="193" spans="1:15" ht="26">
      <c r="A193" s="323">
        <v>2.2000000000000002</v>
      </c>
      <c r="B193" s="324" t="str">
        <f>NhanCong!B$114</f>
        <v>Lập Phiếu xác nhận kết quả đo đạc hiện trạng thửa đất</v>
      </c>
      <c r="C193" s="319" t="s">
        <v>317</v>
      </c>
      <c r="D193" s="319" t="s">
        <v>15</v>
      </c>
      <c r="E193" s="301">
        <f>NhanCong!M$114</f>
        <v>414640.28320000006</v>
      </c>
      <c r="F193" s="301"/>
      <c r="G193" s="320">
        <f>Dcu!N$138</f>
        <v>1863.0833435897437</v>
      </c>
      <c r="H193" s="320">
        <f>VLieu!L$91</f>
        <v>102450.24000000001</v>
      </c>
      <c r="I193" s="320"/>
      <c r="J193" s="320">
        <f>TBi!N$137</f>
        <v>17921.9712</v>
      </c>
      <c r="K193" s="320">
        <f t="shared" ref="K193:K198" si="55">SUM(E193:J193)</f>
        <v>536875.57774358976</v>
      </c>
      <c r="L193" s="320">
        <f t="shared" ref="L193:L198" si="56">K193*0.15</f>
        <v>80531.336661538458</v>
      </c>
      <c r="M193" s="321">
        <f t="shared" ref="M193:M198" si="57">K193+L193</f>
        <v>617406.91440512822</v>
      </c>
      <c r="N193" s="320"/>
      <c r="O193" s="320">
        <f>NhanCong!N$114</f>
        <v>11739.2</v>
      </c>
    </row>
    <row r="194" spans="1:15" ht="26">
      <c r="A194" s="323" t="s">
        <v>246</v>
      </c>
      <c r="B194" s="324" t="str">
        <f>NhanCong!B$115</f>
        <v>Công khai bản đồ địa chính, Hoàn thiện bản đồ địa chính</v>
      </c>
      <c r="C194" s="319" t="s">
        <v>317</v>
      </c>
      <c r="D194" s="319" t="s">
        <v>15</v>
      </c>
      <c r="E194" s="301">
        <f>NhanCong!M$115</f>
        <v>340400.9752000001</v>
      </c>
      <c r="F194" s="301"/>
      <c r="G194" s="320">
        <f>Dcu!N$130</f>
        <v>2721.8136136752132</v>
      </c>
      <c r="H194" s="320">
        <f>VLieu!L$94</f>
        <v>45533.440000000002</v>
      </c>
      <c r="I194" s="320"/>
      <c r="J194" s="320">
        <f>TBi!N$163</f>
        <v>17491.017599999999</v>
      </c>
      <c r="K194" s="320">
        <f t="shared" si="55"/>
        <v>406147.24641367531</v>
      </c>
      <c r="L194" s="320">
        <f t="shared" si="56"/>
        <v>60922.086962051297</v>
      </c>
      <c r="M194" s="321">
        <f t="shared" si="57"/>
        <v>467069.33337572659</v>
      </c>
      <c r="N194" s="320"/>
      <c r="O194" s="320">
        <f>NhanCong!N$115</f>
        <v>9637.3538461538465</v>
      </c>
    </row>
    <row r="195" spans="1:15">
      <c r="A195" s="323">
        <v>2.4</v>
      </c>
      <c r="B195" s="324" t="str">
        <f>NhanCong!B$116</f>
        <v>Lập sổ mục kê đất đai phạm vi khu đo</v>
      </c>
      <c r="C195" s="319" t="s">
        <v>317</v>
      </c>
      <c r="D195" s="319" t="s">
        <v>15</v>
      </c>
      <c r="E195" s="301">
        <f>NhanCong!M$116</f>
        <v>19247.228000000003</v>
      </c>
      <c r="F195" s="301"/>
      <c r="G195" s="320">
        <f>Dcu!N$140</f>
        <v>1166.4915487179485</v>
      </c>
      <c r="H195" s="320">
        <f>VLieu!L$94</f>
        <v>45533.440000000002</v>
      </c>
      <c r="I195" s="320"/>
      <c r="J195" s="320"/>
      <c r="K195" s="320">
        <f t="shared" si="55"/>
        <v>65947.159548717958</v>
      </c>
      <c r="L195" s="320">
        <f t="shared" si="56"/>
        <v>9892.0739323076941</v>
      </c>
      <c r="M195" s="321">
        <f t="shared" si="57"/>
        <v>75839.233481025658</v>
      </c>
      <c r="N195" s="320"/>
      <c r="O195" s="320">
        <f>NhanCong!N$116</f>
        <v>544.92307692307691</v>
      </c>
    </row>
    <row r="196" spans="1:15" ht="39">
      <c r="A196" s="323">
        <v>2.5</v>
      </c>
      <c r="B196" s="324" t="str">
        <f>NhanCong!B$117</f>
        <v>In sản phẩm đo đạc lập bản đồ địa chính gồm sản phẩm chính và sản phẩm trung gian</v>
      </c>
      <c r="C196" s="319" t="s">
        <v>317</v>
      </c>
      <c r="D196" s="319" t="s">
        <v>15</v>
      </c>
      <c r="E196" s="301">
        <f>NhanCong!M$117</f>
        <v>32995.248</v>
      </c>
      <c r="F196" s="301"/>
      <c r="G196" s="320">
        <f>Dcu!N$152</f>
        <v>1265.8237538461537</v>
      </c>
      <c r="H196" s="320">
        <f>VLieu!L$102</f>
        <v>10486.4</v>
      </c>
      <c r="I196" s="320"/>
      <c r="J196" s="320">
        <f>TBi!N$191</f>
        <v>1275.0527999999999</v>
      </c>
      <c r="K196" s="320">
        <f t="shared" si="55"/>
        <v>46022.524553846153</v>
      </c>
      <c r="L196" s="320">
        <f t="shared" si="56"/>
        <v>6903.3786830769232</v>
      </c>
      <c r="M196" s="321">
        <f t="shared" si="57"/>
        <v>52925.903236923077</v>
      </c>
      <c r="N196" s="320"/>
      <c r="O196" s="320">
        <f>NhanCong!N$117</f>
        <v>934.15384615384608</v>
      </c>
    </row>
    <row r="197" spans="1:15">
      <c r="A197" s="323">
        <v>2.6</v>
      </c>
      <c r="B197" s="324" t="str">
        <f>NhanCong!B$118</f>
        <v>Trình ký xác nhận hồ sơ</v>
      </c>
      <c r="C197" s="319" t="s">
        <v>317</v>
      </c>
      <c r="D197" s="319" t="s">
        <v>15</v>
      </c>
      <c r="E197" s="301">
        <f>NhanCong!M$118</f>
        <v>32995.248</v>
      </c>
      <c r="F197" s="301"/>
      <c r="G197" s="320">
        <f>Dcu!N$140</f>
        <v>1166.4915487179485</v>
      </c>
      <c r="H197" s="320">
        <f>VLieu!L$94</f>
        <v>45533.440000000002</v>
      </c>
      <c r="I197" s="320"/>
      <c r="J197" s="320"/>
      <c r="K197" s="320">
        <f t="shared" si="55"/>
        <v>79695.179548717948</v>
      </c>
      <c r="L197" s="320">
        <f t="shared" si="56"/>
        <v>11954.276932307692</v>
      </c>
      <c r="M197" s="321">
        <f t="shared" si="57"/>
        <v>91649.456481025642</v>
      </c>
      <c r="N197" s="320"/>
      <c r="O197" s="320">
        <f>NhanCong!N$118</f>
        <v>934.15384615384608</v>
      </c>
    </row>
    <row r="198" spans="1:15" ht="31" customHeight="1">
      <c r="A198" s="323">
        <v>2.7</v>
      </c>
      <c r="B198" s="324" t="str">
        <f>NhanCong!B$119</f>
        <v>Giao nộp sản phẩm đo đạc lập bản đồ địa chính</v>
      </c>
      <c r="C198" s="319" t="s">
        <v>317</v>
      </c>
      <c r="D198" s="319" t="s">
        <v>15</v>
      </c>
      <c r="E198" s="301">
        <f>NhanCong!M$119</f>
        <v>69290.020800000013</v>
      </c>
      <c r="F198" s="301"/>
      <c r="G198" s="320">
        <f>Dcu!N$154</f>
        <v>63.291187692307687</v>
      </c>
      <c r="H198" s="320">
        <f>VLieu!L$94</f>
        <v>45533.440000000002</v>
      </c>
      <c r="I198" s="320"/>
      <c r="J198" s="320"/>
      <c r="K198" s="320">
        <f t="shared" si="55"/>
        <v>114886.75198769232</v>
      </c>
      <c r="L198" s="320">
        <f t="shared" si="56"/>
        <v>17233.012798153846</v>
      </c>
      <c r="M198" s="321">
        <f t="shared" si="57"/>
        <v>132119.76478584617</v>
      </c>
      <c r="N198" s="320"/>
      <c r="O198" s="320">
        <f>NhanCong!N$119</f>
        <v>1961.7230769230769</v>
      </c>
    </row>
    <row r="199" spans="1:15">
      <c r="A199" s="298" t="s">
        <v>29</v>
      </c>
      <c r="B199" s="316" t="s">
        <v>46</v>
      </c>
      <c r="C199" s="300"/>
      <c r="D199" s="300"/>
      <c r="E199" s="301"/>
      <c r="F199" s="301"/>
      <c r="G199" s="301"/>
      <c r="H199" s="301"/>
      <c r="I199" s="301"/>
      <c r="J199" s="301"/>
      <c r="K199" s="301"/>
      <c r="L199" s="301"/>
      <c r="M199" s="315">
        <v>25</v>
      </c>
      <c r="N199" s="325" t="s">
        <v>21</v>
      </c>
      <c r="O199" s="301"/>
    </row>
    <row r="200" spans="1:15" s="308" customFormat="1" ht="13.5" customHeight="1">
      <c r="A200" s="1036"/>
      <c r="B200" s="1035" t="s">
        <v>190</v>
      </c>
      <c r="C200" s="1036" t="s">
        <v>21</v>
      </c>
      <c r="D200" s="298">
        <v>1</v>
      </c>
      <c r="E200" s="301">
        <f t="shared" ref="E200:H202" si="58">SUM(E$234,E235,E240,E245,E250,E255)</f>
        <v>2310422.0590000004</v>
      </c>
      <c r="F200" s="301">
        <f t="shared" si="58"/>
        <v>254619.5384615385</v>
      </c>
      <c r="G200" s="301">
        <f t="shared" si="58"/>
        <v>19229.625641025639</v>
      </c>
      <c r="H200" s="301">
        <f t="shared" si="58"/>
        <v>588480.54</v>
      </c>
      <c r="I200" s="301"/>
      <c r="J200" s="301">
        <f>SUM(J$234,J235,J240,J245,J250,J255)</f>
        <v>58.766400000000004</v>
      </c>
      <c r="K200" s="301">
        <f t="shared" ref="K200:K209" si="59">SUM(E200:J200)</f>
        <v>3172810.5295025646</v>
      </c>
      <c r="L200" s="301">
        <f>K200*0.25</f>
        <v>793202.63237564114</v>
      </c>
      <c r="M200" s="315">
        <f t="shared" ref="M200:M209" si="60">K200+L200</f>
        <v>3966013.1618782058</v>
      </c>
      <c r="N200" s="301">
        <f>M200+M205</f>
        <v>5001721.0906933649</v>
      </c>
      <c r="O200" s="301">
        <f>SUM(O$234,O235,O240,O245,O250,O255)</f>
        <v>65273.999999999993</v>
      </c>
    </row>
    <row r="201" spans="1:15" s="308" customFormat="1" ht="15" customHeight="1">
      <c r="A201" s="1036"/>
      <c r="B201" s="1035"/>
      <c r="C201" s="1036"/>
      <c r="D201" s="298">
        <v>2</v>
      </c>
      <c r="E201" s="301">
        <f t="shared" si="58"/>
        <v>2739875.8337500007</v>
      </c>
      <c r="F201" s="301">
        <f t="shared" si="58"/>
        <v>302428.92307692312</v>
      </c>
      <c r="G201" s="301">
        <f t="shared" si="58"/>
        <v>22437.169294871794</v>
      </c>
      <c r="H201" s="301">
        <f t="shared" si="58"/>
        <v>588480.54</v>
      </c>
      <c r="I201" s="301"/>
      <c r="J201" s="301">
        <f>SUM(J$234,J236,J241,J246,J251,J256)</f>
        <v>58.766400000000004</v>
      </c>
      <c r="K201" s="301">
        <f t="shared" si="59"/>
        <v>3653281.2325217957</v>
      </c>
      <c r="L201" s="301">
        <f>K201*0.25</f>
        <v>913320.30813044892</v>
      </c>
      <c r="M201" s="315">
        <f t="shared" si="60"/>
        <v>4566601.5406522444</v>
      </c>
      <c r="N201" s="301">
        <f>M201+M206</f>
        <v>5667354.6676595192</v>
      </c>
      <c r="O201" s="301">
        <f t="shared" ref="O201:O204" si="61">SUM(O$234,O236,O241,O246,O251,O256)</f>
        <v>77432.596153846156</v>
      </c>
    </row>
    <row r="202" spans="1:15" s="308" customFormat="1" ht="15" customHeight="1">
      <c r="A202" s="1036"/>
      <c r="B202" s="1035"/>
      <c r="C202" s="1036"/>
      <c r="D202" s="298">
        <v>3</v>
      </c>
      <c r="E202" s="301">
        <f t="shared" si="58"/>
        <v>3517498.2150000003</v>
      </c>
      <c r="F202" s="301">
        <f t="shared" si="58"/>
        <v>415803.38461538462</v>
      </c>
      <c r="G202" s="301">
        <f t="shared" si="58"/>
        <v>25759.798717948717</v>
      </c>
      <c r="H202" s="301">
        <f t="shared" si="58"/>
        <v>588480.54</v>
      </c>
      <c r="I202" s="301"/>
      <c r="J202" s="301">
        <f>SUM(J$234,J237,J242,J247,J252,J257)</f>
        <v>58.766400000000004</v>
      </c>
      <c r="K202" s="301">
        <f t="shared" si="59"/>
        <v>4547600.7047333336</v>
      </c>
      <c r="L202" s="301">
        <f>K202*0.25</f>
        <v>1136900.1761833334</v>
      </c>
      <c r="M202" s="315">
        <f t="shared" si="60"/>
        <v>5684500.8809166672</v>
      </c>
      <c r="N202" s="301">
        <f>M202+M207</f>
        <v>6867760.2809990877</v>
      </c>
      <c r="O202" s="301">
        <f t="shared" si="61"/>
        <v>99448.461538461517</v>
      </c>
    </row>
    <row r="203" spans="1:15" s="308" customFormat="1" ht="15" customHeight="1">
      <c r="A203" s="1036"/>
      <c r="B203" s="1035"/>
      <c r="C203" s="1036"/>
      <c r="D203" s="298">
        <v>4</v>
      </c>
      <c r="E203" s="301">
        <f t="shared" ref="E203:E204" si="62">SUM(E$234,E238,E243,E248,E253,E258)</f>
        <v>4841088.8405000009</v>
      </c>
      <c r="F203" s="301">
        <f t="shared" ref="F203:H204" si="63">SUM(F$234,F238,F243,F248,F253,F258)</f>
        <v>663728.15384615387</v>
      </c>
      <c r="G203" s="301">
        <f t="shared" si="63"/>
        <v>31297.514423076918</v>
      </c>
      <c r="H203" s="301">
        <f t="shared" si="63"/>
        <v>588480.54</v>
      </c>
      <c r="I203" s="301"/>
      <c r="J203" s="301">
        <f>SUM(J$234,J238,J243,J248,J253,J258)</f>
        <v>58.766400000000004</v>
      </c>
      <c r="K203" s="301">
        <f t="shared" si="59"/>
        <v>6124653.815169232</v>
      </c>
      <c r="L203" s="301">
        <f>K203*0.25</f>
        <v>1531163.453792308</v>
      </c>
      <c r="M203" s="315">
        <f t="shared" si="60"/>
        <v>7655817.2689615395</v>
      </c>
      <c r="N203" s="301">
        <f>M203+M208</f>
        <v>8941494.0681328923</v>
      </c>
      <c r="O203" s="301">
        <f t="shared" si="61"/>
        <v>136921.65384615384</v>
      </c>
    </row>
    <row r="204" spans="1:15" s="308" customFormat="1" ht="15" customHeight="1">
      <c r="A204" s="1036"/>
      <c r="B204" s="1035"/>
      <c r="C204" s="1036"/>
      <c r="D204" s="298">
        <v>5</v>
      </c>
      <c r="E204" s="301">
        <f t="shared" si="62"/>
        <v>6050055.3492500018</v>
      </c>
      <c r="F204" s="301">
        <f t="shared" si="63"/>
        <v>851763.84615384624</v>
      </c>
      <c r="G204" s="301">
        <f t="shared" si="63"/>
        <v>38164.281897435896</v>
      </c>
      <c r="H204" s="301">
        <f t="shared" si="63"/>
        <v>588480.54</v>
      </c>
      <c r="I204" s="301"/>
      <c r="J204" s="301">
        <f>SUM(J$234,J239,J244,J249,J254,J259)</f>
        <v>58.766400000000004</v>
      </c>
      <c r="K204" s="301">
        <f t="shared" si="59"/>
        <v>7528522.7837012839</v>
      </c>
      <c r="L204" s="301">
        <f>K204*0.25</f>
        <v>1882130.695925321</v>
      </c>
      <c r="M204" s="315">
        <f t="shared" si="60"/>
        <v>9410653.4796266053</v>
      </c>
      <c r="N204" s="301">
        <f>M204+M209</f>
        <v>10824389.850111432</v>
      </c>
      <c r="O204" s="301">
        <f t="shared" si="61"/>
        <v>171149.6346153846</v>
      </c>
    </row>
    <row r="205" spans="1:15" s="308" customFormat="1" ht="13.5" customHeight="1">
      <c r="A205" s="1036"/>
      <c r="B205" s="1035" t="s">
        <v>192</v>
      </c>
      <c r="C205" s="1036" t="s">
        <v>21</v>
      </c>
      <c r="D205" s="298">
        <v>1</v>
      </c>
      <c r="E205" s="301">
        <f t="shared" ref="E205:H209" si="64">(E262+SUM(E$267:E$272))</f>
        <v>683963.99500000011</v>
      </c>
      <c r="F205" s="301">
        <f t="shared" si="64"/>
        <v>0</v>
      </c>
      <c r="G205" s="301">
        <f t="shared" si="64"/>
        <v>4891.1160740512823</v>
      </c>
      <c r="H205" s="301">
        <f t="shared" si="64"/>
        <v>189480</v>
      </c>
      <c r="I205" s="301"/>
      <c r="J205" s="301">
        <f>(J262+SUM(J$267:J$272))</f>
        <v>22280.479200000002</v>
      </c>
      <c r="K205" s="301">
        <f t="shared" si="59"/>
        <v>900615.5902740513</v>
      </c>
      <c r="L205" s="301">
        <f>K205*0.15</f>
        <v>135092.33854110769</v>
      </c>
      <c r="M205" s="315">
        <f t="shared" si="60"/>
        <v>1035707.928815159</v>
      </c>
      <c r="N205" s="301"/>
      <c r="O205" s="301">
        <f>(O262+SUM(O$267:O$272))</f>
        <v>19364.23076923077</v>
      </c>
    </row>
    <row r="206" spans="1:15" s="308" customFormat="1" ht="15" customHeight="1">
      <c r="A206" s="1036"/>
      <c r="B206" s="1035"/>
      <c r="C206" s="1036"/>
      <c r="D206" s="298">
        <v>2</v>
      </c>
      <c r="E206" s="301">
        <f t="shared" si="64"/>
        <v>738681.1146000002</v>
      </c>
      <c r="F206" s="301">
        <f t="shared" si="64"/>
        <v>0</v>
      </c>
      <c r="G206" s="301">
        <f t="shared" si="64"/>
        <v>5176.8383802393164</v>
      </c>
      <c r="H206" s="301">
        <f t="shared" si="64"/>
        <v>189480</v>
      </c>
      <c r="I206" s="301"/>
      <c r="J206" s="301">
        <f>(J263+SUM(J$267:J$272))</f>
        <v>23838.679199999999</v>
      </c>
      <c r="K206" s="301">
        <f t="shared" si="59"/>
        <v>957176.63218023954</v>
      </c>
      <c r="L206" s="301">
        <f>K206*0.15</f>
        <v>143576.49482703593</v>
      </c>
      <c r="M206" s="315">
        <f t="shared" si="60"/>
        <v>1100753.1270072754</v>
      </c>
      <c r="N206" s="301"/>
      <c r="O206" s="301">
        <f>(O263+SUM(O$267:O$272))</f>
        <v>20913.369230769233</v>
      </c>
    </row>
    <row r="207" spans="1:15" s="308" customFormat="1" ht="15" customHeight="1">
      <c r="A207" s="1036"/>
      <c r="B207" s="1035"/>
      <c r="C207" s="1036"/>
      <c r="D207" s="298">
        <v>3</v>
      </c>
      <c r="E207" s="301">
        <f t="shared" si="64"/>
        <v>807146.2542000002</v>
      </c>
      <c r="F207" s="301">
        <f t="shared" si="64"/>
        <v>0</v>
      </c>
      <c r="G207" s="301">
        <f t="shared" si="64"/>
        <v>5533.9912629743585</v>
      </c>
      <c r="H207" s="301">
        <f t="shared" si="64"/>
        <v>189480</v>
      </c>
      <c r="I207" s="301"/>
      <c r="J207" s="301">
        <f>(J264+SUM(J$267:J$272))</f>
        <v>26760.972000000002</v>
      </c>
      <c r="K207" s="301">
        <f t="shared" si="59"/>
        <v>1028921.2174629745</v>
      </c>
      <c r="L207" s="301">
        <f>K207*0.15</f>
        <v>154338.18261944616</v>
      </c>
      <c r="M207" s="315">
        <f t="shared" si="60"/>
        <v>1183259.4000824206</v>
      </c>
      <c r="N207" s="301"/>
      <c r="O207" s="301">
        <f>(O264+SUM(O$267:O$272))</f>
        <v>22851.738461538462</v>
      </c>
    </row>
    <row r="208" spans="1:15" s="308" customFormat="1" ht="15" customHeight="1">
      <c r="A208" s="1036"/>
      <c r="B208" s="1035"/>
      <c r="C208" s="1036"/>
      <c r="D208" s="298">
        <v>4</v>
      </c>
      <c r="E208" s="301">
        <f t="shared" si="64"/>
        <v>892658.93860000023</v>
      </c>
      <c r="F208" s="301">
        <f t="shared" si="64"/>
        <v>0</v>
      </c>
      <c r="G208" s="301">
        <f t="shared" si="64"/>
        <v>5980.4323663931627</v>
      </c>
      <c r="H208" s="301">
        <f t="shared" si="64"/>
        <v>189480</v>
      </c>
      <c r="I208" s="301"/>
      <c r="J208" s="301">
        <f>(J265+SUM(J$267:J$272))</f>
        <v>29860.454400000002</v>
      </c>
      <c r="K208" s="301">
        <f t="shared" si="59"/>
        <v>1117979.8253663934</v>
      </c>
      <c r="L208" s="301">
        <f>K208*0.15</f>
        <v>167696.97380495901</v>
      </c>
      <c r="M208" s="315">
        <f t="shared" si="60"/>
        <v>1285676.7991713525</v>
      </c>
      <c r="N208" s="301"/>
      <c r="O208" s="301">
        <f>(O265+SUM(O$267:O$272))</f>
        <v>25272.753846153846</v>
      </c>
    </row>
    <row r="209" spans="1:15" s="308" customFormat="1" ht="15" customHeight="1">
      <c r="A209" s="1036"/>
      <c r="B209" s="1035"/>
      <c r="C209" s="1036"/>
      <c r="D209" s="298">
        <v>5</v>
      </c>
      <c r="E209" s="301">
        <f t="shared" si="64"/>
        <v>999618.53420000034</v>
      </c>
      <c r="F209" s="301">
        <f t="shared" si="64"/>
        <v>0</v>
      </c>
      <c r="G209" s="301">
        <f t="shared" si="64"/>
        <v>6534.0193346324786</v>
      </c>
      <c r="H209" s="301">
        <f t="shared" si="64"/>
        <v>189480</v>
      </c>
      <c r="I209" s="301"/>
      <c r="J209" s="301">
        <f>(J266+SUM(J$267:J$272))</f>
        <v>33703.4208</v>
      </c>
      <c r="K209" s="301">
        <f t="shared" si="59"/>
        <v>1229335.9743346327</v>
      </c>
      <c r="L209" s="301">
        <f>K209*0.15</f>
        <v>184400.39615019489</v>
      </c>
      <c r="M209" s="315">
        <f t="shared" si="60"/>
        <v>1413736.3704848276</v>
      </c>
      <c r="N209" s="301"/>
      <c r="O209" s="301">
        <f>(O266+SUM(O$267:O$272))</f>
        <v>28300.969230769231</v>
      </c>
    </row>
    <row r="210" spans="1:15">
      <c r="A210" s="298"/>
      <c r="B210" s="314" t="s">
        <v>322</v>
      </c>
      <c r="C210" s="300"/>
      <c r="D210" s="300"/>
      <c r="E210" s="301"/>
      <c r="F210" s="301"/>
      <c r="G210" s="301"/>
      <c r="H210" s="301"/>
      <c r="I210" s="301"/>
      <c r="J210" s="301"/>
      <c r="K210" s="301"/>
      <c r="L210" s="301"/>
      <c r="M210" s="315"/>
      <c r="N210" s="301"/>
      <c r="O210" s="301"/>
    </row>
    <row r="211" spans="1:15">
      <c r="A211" s="298" t="s">
        <v>323</v>
      </c>
      <c r="B211" s="314" t="s">
        <v>324</v>
      </c>
      <c r="C211" s="300"/>
      <c r="D211" s="300"/>
      <c r="E211" s="301"/>
      <c r="F211" s="301"/>
      <c r="G211" s="301"/>
      <c r="H211" s="301"/>
      <c r="I211" s="301"/>
      <c r="J211" s="301"/>
      <c r="K211" s="301"/>
      <c r="L211" s="301"/>
      <c r="M211" s="315"/>
      <c r="N211" s="301"/>
      <c r="O211" s="301"/>
    </row>
    <row r="212" spans="1:15" s="308" customFormat="1" ht="13.5" customHeight="1">
      <c r="A212" s="1036"/>
      <c r="B212" s="1035" t="s">
        <v>190</v>
      </c>
      <c r="C212" s="1036" t="s">
        <v>21</v>
      </c>
      <c r="D212" s="298">
        <v>1</v>
      </c>
      <c r="E212" s="301">
        <f t="shared" ref="E212:F221" si="65">E200*0.1</f>
        <v>231042.20590000006</v>
      </c>
      <c r="F212" s="301">
        <f t="shared" si="65"/>
        <v>25461.95384615385</v>
      </c>
      <c r="G212" s="301">
        <f>G245*0.1/$M$199</f>
        <v>25.26255128205128</v>
      </c>
      <c r="H212" s="301">
        <f>H200*0.1</f>
        <v>58848.054000000004</v>
      </c>
      <c r="I212" s="301"/>
      <c r="J212" s="301">
        <f>J245*0.1/$M$199</f>
        <v>0</v>
      </c>
      <c r="K212" s="301">
        <f t="shared" ref="K212:K221" si="66">SUM(E212:J212)</f>
        <v>315377.47629743593</v>
      </c>
      <c r="L212" s="301">
        <f>K212*0.25</f>
        <v>78844.369074358983</v>
      </c>
      <c r="M212" s="315">
        <f t="shared" ref="M212:M221" si="67">K212+L212</f>
        <v>394221.84537179489</v>
      </c>
      <c r="N212" s="301">
        <f>M212+M217</f>
        <v>473145.56596722879</v>
      </c>
      <c r="O212" s="301">
        <f t="shared" ref="O212:O221" si="68">O200*0.1</f>
        <v>6527.4</v>
      </c>
    </row>
    <row r="213" spans="1:15" s="308" customFormat="1" ht="15" customHeight="1">
      <c r="A213" s="1036"/>
      <c r="B213" s="1035"/>
      <c r="C213" s="1036"/>
      <c r="D213" s="298">
        <v>2</v>
      </c>
      <c r="E213" s="301">
        <f t="shared" si="65"/>
        <v>273987.5833750001</v>
      </c>
      <c r="F213" s="301">
        <f t="shared" si="65"/>
        <v>30242.892307692313</v>
      </c>
      <c r="G213" s="301">
        <f>G246*0.1/$M$199</f>
        <v>30.675955128205125</v>
      </c>
      <c r="H213" s="301">
        <f>H201*0.1</f>
        <v>58848.054000000004</v>
      </c>
      <c r="I213" s="301"/>
      <c r="J213" s="301">
        <f>J246*0.1/$M$199</f>
        <v>0</v>
      </c>
      <c r="K213" s="301">
        <f t="shared" si="66"/>
        <v>363109.20563782065</v>
      </c>
      <c r="L213" s="301">
        <f>K213*0.25</f>
        <v>90777.301409455162</v>
      </c>
      <c r="M213" s="315">
        <f t="shared" si="67"/>
        <v>453886.50704727578</v>
      </c>
      <c r="N213" s="301">
        <f>M213+M218</f>
        <v>539104.01071931818</v>
      </c>
      <c r="O213" s="301">
        <f t="shared" si="68"/>
        <v>7743.2596153846162</v>
      </c>
    </row>
    <row r="214" spans="1:15" s="308" customFormat="1" ht="15" customHeight="1">
      <c r="A214" s="1036"/>
      <c r="B214" s="1035"/>
      <c r="C214" s="1036"/>
      <c r="D214" s="298">
        <v>3</v>
      </c>
      <c r="E214" s="301">
        <f t="shared" si="65"/>
        <v>351749.82150000008</v>
      </c>
      <c r="F214" s="301">
        <f t="shared" si="65"/>
        <v>41580.338461538464</v>
      </c>
      <c r="G214" s="301">
        <f>G247*0.1/$M$199</f>
        <v>36.089358974358973</v>
      </c>
      <c r="H214" s="301">
        <f>H202*0.1</f>
        <v>58848.054000000004</v>
      </c>
      <c r="I214" s="301"/>
      <c r="J214" s="301">
        <f>J247*0.1/$M$199</f>
        <v>0</v>
      </c>
      <c r="K214" s="301">
        <f t="shared" si="66"/>
        <v>452214.30332051293</v>
      </c>
      <c r="L214" s="301">
        <f>K214*0.25</f>
        <v>113053.57583012823</v>
      </c>
      <c r="M214" s="315">
        <f t="shared" si="67"/>
        <v>565267.87915064115</v>
      </c>
      <c r="N214" s="301">
        <f>M214+M219</f>
        <v>658360.51677994407</v>
      </c>
      <c r="O214" s="301">
        <f t="shared" si="68"/>
        <v>9944.8461538461524</v>
      </c>
    </row>
    <row r="215" spans="1:15" s="308" customFormat="1" ht="15" customHeight="1">
      <c r="A215" s="1036"/>
      <c r="B215" s="1035"/>
      <c r="C215" s="1036"/>
      <c r="D215" s="298">
        <v>4</v>
      </c>
      <c r="E215" s="301">
        <f t="shared" si="65"/>
        <v>484108.88405000011</v>
      </c>
      <c r="F215" s="301">
        <f t="shared" si="65"/>
        <v>66372.815384615387</v>
      </c>
      <c r="G215" s="301">
        <f>G248*0.1/$M$199</f>
        <v>45.111698717948713</v>
      </c>
      <c r="H215" s="301">
        <f>H203*0.1</f>
        <v>58848.054000000004</v>
      </c>
      <c r="I215" s="301"/>
      <c r="J215" s="301">
        <f>J248*0.1/$M$199</f>
        <v>0</v>
      </c>
      <c r="K215" s="301">
        <f t="shared" si="66"/>
        <v>609374.86513333337</v>
      </c>
      <c r="L215" s="301">
        <f>K215*0.25</f>
        <v>152343.71628333334</v>
      </c>
      <c r="M215" s="315">
        <f t="shared" si="67"/>
        <v>761718.58141666674</v>
      </c>
      <c r="N215" s="301">
        <f>M215+M220</f>
        <v>864647.23138104542</v>
      </c>
      <c r="O215" s="301">
        <f t="shared" si="68"/>
        <v>13692.165384615386</v>
      </c>
    </row>
    <row r="216" spans="1:15" s="308" customFormat="1" ht="15" customHeight="1">
      <c r="A216" s="1036"/>
      <c r="B216" s="1035"/>
      <c r="C216" s="1036"/>
      <c r="D216" s="298">
        <v>5</v>
      </c>
      <c r="E216" s="301">
        <f t="shared" si="65"/>
        <v>605005.53492500016</v>
      </c>
      <c r="F216" s="301">
        <f t="shared" si="65"/>
        <v>85176.384615384624</v>
      </c>
      <c r="G216" s="301">
        <f>G249*0.1/$M$199</f>
        <v>56.299399999999999</v>
      </c>
      <c r="H216" s="301">
        <f>H204*0.1</f>
        <v>58848.054000000004</v>
      </c>
      <c r="I216" s="301"/>
      <c r="J216" s="301">
        <f>J249*0.1/$M$199</f>
        <v>0</v>
      </c>
      <c r="K216" s="301">
        <f t="shared" si="66"/>
        <v>749086.27294038481</v>
      </c>
      <c r="L216" s="301">
        <f>K216*0.25</f>
        <v>187271.5682350962</v>
      </c>
      <c r="M216" s="315">
        <f t="shared" si="67"/>
        <v>936357.84117548098</v>
      </c>
      <c r="N216" s="301">
        <f>M216+M221</f>
        <v>1051589.3911339135</v>
      </c>
      <c r="O216" s="301">
        <f t="shared" si="68"/>
        <v>17114.96346153846</v>
      </c>
    </row>
    <row r="217" spans="1:15" s="308" customFormat="1" ht="13.5" customHeight="1">
      <c r="A217" s="1036"/>
      <c r="B217" s="1035" t="s">
        <v>192</v>
      </c>
      <c r="C217" s="1036" t="s">
        <v>21</v>
      </c>
      <c r="D217" s="298">
        <v>1</v>
      </c>
      <c r="E217" s="301">
        <f t="shared" si="65"/>
        <v>68396.399500000014</v>
      </c>
      <c r="F217" s="301">
        <f t="shared" si="65"/>
        <v>0</v>
      </c>
      <c r="G217" s="301">
        <f t="shared" ref="G217:H221" si="69">G262*0.1/$M$199</f>
        <v>4.5715568990085469</v>
      </c>
      <c r="H217" s="301">
        <f t="shared" si="69"/>
        <v>228.35120000000003</v>
      </c>
      <c r="I217" s="301"/>
      <c r="J217" s="301"/>
      <c r="K217" s="301">
        <f t="shared" si="66"/>
        <v>68629.322256899031</v>
      </c>
      <c r="L217" s="301">
        <f>K217*0.15</f>
        <v>10294.398338534855</v>
      </c>
      <c r="M217" s="315">
        <f t="shared" si="67"/>
        <v>78923.720595433886</v>
      </c>
      <c r="N217" s="301"/>
      <c r="O217" s="301">
        <f t="shared" si="68"/>
        <v>1936.4230769230771</v>
      </c>
    </row>
    <row r="218" spans="1:15" s="308" customFormat="1" ht="15" customHeight="1">
      <c r="A218" s="1036"/>
      <c r="B218" s="1035"/>
      <c r="C218" s="1036"/>
      <c r="D218" s="298">
        <v>2</v>
      </c>
      <c r="E218" s="301">
        <f t="shared" si="65"/>
        <v>73868.111460000029</v>
      </c>
      <c r="F218" s="301">
        <f t="shared" si="65"/>
        <v>0</v>
      </c>
      <c r="G218" s="301">
        <f t="shared" si="69"/>
        <v>5.7144461237606841</v>
      </c>
      <c r="H218" s="301">
        <f t="shared" si="69"/>
        <v>228.35120000000003</v>
      </c>
      <c r="I218" s="301"/>
      <c r="J218" s="301"/>
      <c r="K218" s="301">
        <f t="shared" si="66"/>
        <v>74102.177106123796</v>
      </c>
      <c r="L218" s="301">
        <f>K218*0.15</f>
        <v>11115.326565918569</v>
      </c>
      <c r="M218" s="315">
        <f t="shared" si="67"/>
        <v>85217.503672042367</v>
      </c>
      <c r="N218" s="301"/>
      <c r="O218" s="301">
        <f t="shared" si="68"/>
        <v>2091.3369230769235</v>
      </c>
    </row>
    <row r="219" spans="1:15" s="308" customFormat="1" ht="15" customHeight="1">
      <c r="A219" s="1036"/>
      <c r="B219" s="1035"/>
      <c r="C219" s="1036"/>
      <c r="D219" s="298">
        <v>3</v>
      </c>
      <c r="E219" s="301">
        <f t="shared" si="65"/>
        <v>80714.625420000026</v>
      </c>
      <c r="F219" s="301">
        <f t="shared" si="65"/>
        <v>0</v>
      </c>
      <c r="G219" s="301">
        <f t="shared" si="69"/>
        <v>7.1430576547008551</v>
      </c>
      <c r="H219" s="301">
        <f t="shared" si="69"/>
        <v>228.35120000000003</v>
      </c>
      <c r="I219" s="301"/>
      <c r="J219" s="301"/>
      <c r="K219" s="301">
        <f t="shared" si="66"/>
        <v>80950.119677654729</v>
      </c>
      <c r="L219" s="301">
        <f>K219*0.15</f>
        <v>12142.517951648209</v>
      </c>
      <c r="M219" s="315">
        <f t="shared" si="67"/>
        <v>93092.637629302946</v>
      </c>
      <c r="N219" s="301"/>
      <c r="O219" s="301">
        <f t="shared" si="68"/>
        <v>2285.1738461538462</v>
      </c>
    </row>
    <row r="220" spans="1:15" s="308" customFormat="1" ht="15" customHeight="1">
      <c r="A220" s="1036"/>
      <c r="B220" s="1035"/>
      <c r="C220" s="1036"/>
      <c r="D220" s="298">
        <v>4</v>
      </c>
      <c r="E220" s="301">
        <f t="shared" si="65"/>
        <v>89265.893860000026</v>
      </c>
      <c r="F220" s="301">
        <f t="shared" si="65"/>
        <v>0</v>
      </c>
      <c r="G220" s="301">
        <f t="shared" si="69"/>
        <v>8.9288220683760695</v>
      </c>
      <c r="H220" s="301">
        <f t="shared" si="69"/>
        <v>228.35120000000003</v>
      </c>
      <c r="I220" s="301"/>
      <c r="J220" s="301"/>
      <c r="K220" s="301">
        <f t="shared" si="66"/>
        <v>89503.173882068411</v>
      </c>
      <c r="L220" s="301">
        <f>K220*0.15</f>
        <v>13425.476082310261</v>
      </c>
      <c r="M220" s="315">
        <f t="shared" si="67"/>
        <v>102928.64996437867</v>
      </c>
      <c r="N220" s="301"/>
      <c r="O220" s="301">
        <f t="shared" si="68"/>
        <v>2527.2753846153846</v>
      </c>
    </row>
    <row r="221" spans="1:15" s="308" customFormat="1" ht="15" customHeight="1">
      <c r="A221" s="1036"/>
      <c r="B221" s="1035"/>
      <c r="C221" s="1036"/>
      <c r="D221" s="298">
        <v>5</v>
      </c>
      <c r="E221" s="301">
        <f t="shared" si="65"/>
        <v>99961.853420000043</v>
      </c>
      <c r="F221" s="301">
        <f t="shared" si="65"/>
        <v>0</v>
      </c>
      <c r="G221" s="301">
        <f t="shared" si="69"/>
        <v>11.143169941333333</v>
      </c>
      <c r="H221" s="301">
        <f t="shared" si="69"/>
        <v>228.35120000000003</v>
      </c>
      <c r="I221" s="301"/>
      <c r="J221" s="301"/>
      <c r="K221" s="301">
        <f t="shared" si="66"/>
        <v>100201.34778994138</v>
      </c>
      <c r="L221" s="301">
        <f>K221*0.15</f>
        <v>15030.202168491207</v>
      </c>
      <c r="M221" s="315">
        <f t="shared" si="67"/>
        <v>115231.54995843259</v>
      </c>
      <c r="N221" s="301"/>
      <c r="O221" s="301">
        <f t="shared" si="68"/>
        <v>2830.0969230769233</v>
      </c>
    </row>
    <row r="222" spans="1:15" ht="24" customHeight="1">
      <c r="A222" s="298" t="s">
        <v>505</v>
      </c>
      <c r="B222" s="314" t="s">
        <v>326</v>
      </c>
      <c r="C222" s="300"/>
      <c r="D222" s="300"/>
      <c r="E222" s="301"/>
      <c r="F222" s="301"/>
      <c r="G222" s="301"/>
      <c r="H222" s="301"/>
      <c r="I222" s="301"/>
      <c r="J222" s="301"/>
      <c r="K222" s="301"/>
      <c r="L222" s="301"/>
      <c r="M222" s="315"/>
      <c r="N222" s="301"/>
      <c r="O222" s="301"/>
    </row>
    <row r="223" spans="1:15" s="308" customFormat="1" ht="13.5" customHeight="1">
      <c r="A223" s="1036"/>
      <c r="B223" s="1035" t="s">
        <v>190</v>
      </c>
      <c r="C223" s="1036" t="s">
        <v>21</v>
      </c>
      <c r="D223" s="298">
        <v>1</v>
      </c>
      <c r="E223" s="301">
        <f t="shared" ref="E223:F227" si="70">E200*1.15</f>
        <v>2656985.36785</v>
      </c>
      <c r="F223" s="301">
        <f t="shared" si="70"/>
        <v>292812.46923076926</v>
      </c>
      <c r="G223" s="301">
        <f t="shared" ref="G223:H232" si="71">G200</f>
        <v>19229.625641025639</v>
      </c>
      <c r="H223" s="301">
        <f t="shared" si="71"/>
        <v>588480.54</v>
      </c>
      <c r="I223" s="301"/>
      <c r="J223" s="301">
        <f t="shared" ref="J223:J232" si="72">J200</f>
        <v>58.766400000000004</v>
      </c>
      <c r="K223" s="301">
        <f t="shared" ref="K223:K232" si="73">SUM(E223:J223)</f>
        <v>3557566.769121795</v>
      </c>
      <c r="L223" s="301">
        <f>K223*0.25</f>
        <v>889391.69228044874</v>
      </c>
      <c r="M223" s="315">
        <f t="shared" ref="M223:M232" si="74">K223+L223</f>
        <v>4446958.4614022439</v>
      </c>
      <c r="N223" s="301">
        <f>M223+M228</f>
        <v>5561322.2496424029</v>
      </c>
      <c r="O223" s="301">
        <f>O200*1.15</f>
        <v>75065.099999999991</v>
      </c>
    </row>
    <row r="224" spans="1:15" s="308" customFormat="1" ht="15" customHeight="1">
      <c r="A224" s="1036"/>
      <c r="B224" s="1035"/>
      <c r="C224" s="1036"/>
      <c r="D224" s="298">
        <v>2</v>
      </c>
      <c r="E224" s="301">
        <f t="shared" si="70"/>
        <v>3150857.2088125004</v>
      </c>
      <c r="F224" s="301">
        <f t="shared" si="70"/>
        <v>347793.26153846155</v>
      </c>
      <c r="G224" s="301">
        <f t="shared" si="71"/>
        <v>22437.169294871794</v>
      </c>
      <c r="H224" s="301">
        <f t="shared" si="71"/>
        <v>588480.54</v>
      </c>
      <c r="I224" s="301"/>
      <c r="J224" s="301">
        <f t="shared" si="72"/>
        <v>58.766400000000004</v>
      </c>
      <c r="K224" s="301">
        <f t="shared" si="73"/>
        <v>4109626.9460458341</v>
      </c>
      <c r="L224" s="301">
        <f>K224*0.25</f>
        <v>1027406.7365114585</v>
      </c>
      <c r="M224" s="315">
        <f t="shared" si="74"/>
        <v>5137033.6825572923</v>
      </c>
      <c r="N224" s="301">
        <f>M224+M229</f>
        <v>6322735.137743568</v>
      </c>
      <c r="O224" s="301">
        <f>O201*1.15</f>
        <v>89047.485576923078</v>
      </c>
    </row>
    <row r="225" spans="1:15" s="308" customFormat="1" ht="15" customHeight="1">
      <c r="A225" s="1036"/>
      <c r="B225" s="1035"/>
      <c r="C225" s="1036"/>
      <c r="D225" s="298">
        <v>3</v>
      </c>
      <c r="E225" s="301">
        <f t="shared" si="70"/>
        <v>4045122.9472500002</v>
      </c>
      <c r="F225" s="301">
        <f t="shared" si="70"/>
        <v>478173.89230769227</v>
      </c>
      <c r="G225" s="301">
        <f t="shared" si="71"/>
        <v>25759.798717948717</v>
      </c>
      <c r="H225" s="301">
        <f t="shared" si="71"/>
        <v>588480.54</v>
      </c>
      <c r="I225" s="301"/>
      <c r="J225" s="301">
        <f t="shared" si="72"/>
        <v>58.766400000000004</v>
      </c>
      <c r="K225" s="301">
        <f t="shared" si="73"/>
        <v>5137595.9446756411</v>
      </c>
      <c r="L225" s="301">
        <f>K225*0.25</f>
        <v>1284398.9861689103</v>
      </c>
      <c r="M225" s="315">
        <f t="shared" si="74"/>
        <v>6421994.930844551</v>
      </c>
      <c r="N225" s="301">
        <f>M225+M230</f>
        <v>7698076.1501599718</v>
      </c>
      <c r="O225" s="301">
        <f>O202*1.15</f>
        <v>114365.73076923074</v>
      </c>
    </row>
    <row r="226" spans="1:15" s="308" customFormat="1" ht="15" customHeight="1">
      <c r="A226" s="1036"/>
      <c r="B226" s="1035"/>
      <c r="C226" s="1036"/>
      <c r="D226" s="298">
        <v>4</v>
      </c>
      <c r="E226" s="301">
        <f t="shared" si="70"/>
        <v>5567252.1665750006</v>
      </c>
      <c r="F226" s="301">
        <f t="shared" si="70"/>
        <v>763287.37692307692</v>
      </c>
      <c r="G226" s="301">
        <f t="shared" si="71"/>
        <v>31297.514423076918</v>
      </c>
      <c r="H226" s="301">
        <f t="shared" si="71"/>
        <v>588480.54</v>
      </c>
      <c r="I226" s="301"/>
      <c r="J226" s="301">
        <f t="shared" si="72"/>
        <v>58.766400000000004</v>
      </c>
      <c r="K226" s="301">
        <f t="shared" si="73"/>
        <v>6950376.3643211545</v>
      </c>
      <c r="L226" s="301">
        <f>K226*0.25</f>
        <v>1737594.0910802886</v>
      </c>
      <c r="M226" s="315">
        <f t="shared" si="74"/>
        <v>8687970.4554014429</v>
      </c>
      <c r="N226" s="301">
        <f>M226+M231</f>
        <v>10076303.032511795</v>
      </c>
      <c r="O226" s="301">
        <f>O203*1.15</f>
        <v>157459.90192307692</v>
      </c>
    </row>
    <row r="227" spans="1:15" s="308" customFormat="1" ht="15" customHeight="1">
      <c r="A227" s="1036"/>
      <c r="B227" s="1035"/>
      <c r="C227" s="1036"/>
      <c r="D227" s="298">
        <v>5</v>
      </c>
      <c r="E227" s="301">
        <f t="shared" si="70"/>
        <v>6957563.651637502</v>
      </c>
      <c r="F227" s="301">
        <f t="shared" si="70"/>
        <v>979528.42307692312</v>
      </c>
      <c r="G227" s="301">
        <f t="shared" si="71"/>
        <v>38164.281897435896</v>
      </c>
      <c r="H227" s="301">
        <f t="shared" si="71"/>
        <v>588480.54</v>
      </c>
      <c r="I227" s="301"/>
      <c r="J227" s="301">
        <f t="shared" si="72"/>
        <v>58.766400000000004</v>
      </c>
      <c r="K227" s="301">
        <f t="shared" si="73"/>
        <v>8563795.663011862</v>
      </c>
      <c r="L227" s="301">
        <f>K227*0.25</f>
        <v>2140948.9157529655</v>
      </c>
      <c r="M227" s="315">
        <f t="shared" si="74"/>
        <v>10704744.578764828</v>
      </c>
      <c r="N227" s="301">
        <f>M227+M232</f>
        <v>12233437.080682656</v>
      </c>
      <c r="O227" s="301">
        <f>O204*1.15</f>
        <v>196822.07980769227</v>
      </c>
    </row>
    <row r="228" spans="1:15" s="308" customFormat="1" ht="13.5" customHeight="1">
      <c r="A228" s="1036"/>
      <c r="B228" s="1035" t="s">
        <v>192</v>
      </c>
      <c r="C228" s="1036" t="s">
        <v>21</v>
      </c>
      <c r="D228" s="298">
        <v>1</v>
      </c>
      <c r="E228" s="301">
        <f t="shared" ref="E228:F232" si="75">E205*1.1</f>
        <v>752360.39450000017</v>
      </c>
      <c r="F228" s="301">
        <f t="shared" si="75"/>
        <v>0</v>
      </c>
      <c r="G228" s="301">
        <f t="shared" si="71"/>
        <v>4891.1160740512823</v>
      </c>
      <c r="H228" s="301">
        <f t="shared" si="71"/>
        <v>189480</v>
      </c>
      <c r="I228" s="301"/>
      <c r="J228" s="301">
        <f t="shared" si="72"/>
        <v>22280.479200000002</v>
      </c>
      <c r="K228" s="301">
        <f t="shared" si="73"/>
        <v>969011.98977405136</v>
      </c>
      <c r="L228" s="301">
        <f>K228*0.15</f>
        <v>145351.79846610769</v>
      </c>
      <c r="M228" s="315">
        <f t="shared" si="74"/>
        <v>1114363.7882401589</v>
      </c>
      <c r="N228" s="301"/>
      <c r="O228" s="301">
        <f>O205*1.1</f>
        <v>21300.653846153848</v>
      </c>
    </row>
    <row r="229" spans="1:15" s="308" customFormat="1" ht="15" customHeight="1">
      <c r="A229" s="1036"/>
      <c r="B229" s="1035"/>
      <c r="C229" s="1036"/>
      <c r="D229" s="298">
        <v>2</v>
      </c>
      <c r="E229" s="301">
        <f t="shared" si="75"/>
        <v>812549.22606000025</v>
      </c>
      <c r="F229" s="301">
        <f t="shared" si="75"/>
        <v>0</v>
      </c>
      <c r="G229" s="301">
        <f t="shared" si="71"/>
        <v>5176.8383802393164</v>
      </c>
      <c r="H229" s="301">
        <f t="shared" si="71"/>
        <v>189480</v>
      </c>
      <c r="I229" s="301"/>
      <c r="J229" s="301">
        <f t="shared" si="72"/>
        <v>23838.679199999999</v>
      </c>
      <c r="K229" s="301">
        <f t="shared" si="73"/>
        <v>1031044.7436402396</v>
      </c>
      <c r="L229" s="301">
        <f>K229*0.15</f>
        <v>154656.71154603592</v>
      </c>
      <c r="M229" s="315">
        <f t="shared" si="74"/>
        <v>1185701.4551862755</v>
      </c>
      <c r="N229" s="301"/>
      <c r="O229" s="301">
        <f>O206*1.1</f>
        <v>23004.706153846157</v>
      </c>
    </row>
    <row r="230" spans="1:15" s="308" customFormat="1" ht="15" customHeight="1">
      <c r="A230" s="1036"/>
      <c r="B230" s="1035"/>
      <c r="C230" s="1036"/>
      <c r="D230" s="298">
        <v>3</v>
      </c>
      <c r="E230" s="301">
        <f t="shared" si="75"/>
        <v>887860.87962000025</v>
      </c>
      <c r="F230" s="301">
        <f t="shared" si="75"/>
        <v>0</v>
      </c>
      <c r="G230" s="301">
        <f t="shared" si="71"/>
        <v>5533.9912629743585</v>
      </c>
      <c r="H230" s="301">
        <f t="shared" si="71"/>
        <v>189480</v>
      </c>
      <c r="I230" s="301"/>
      <c r="J230" s="301">
        <f t="shared" si="72"/>
        <v>26760.972000000002</v>
      </c>
      <c r="K230" s="301">
        <f t="shared" si="73"/>
        <v>1109635.8428829745</v>
      </c>
      <c r="L230" s="301">
        <f>K230*0.15</f>
        <v>166445.37643244618</v>
      </c>
      <c r="M230" s="315">
        <f t="shared" si="74"/>
        <v>1276081.2193154208</v>
      </c>
      <c r="N230" s="301"/>
      <c r="O230" s="301">
        <f>O207*1.1</f>
        <v>25136.91230769231</v>
      </c>
    </row>
    <row r="231" spans="1:15" s="308" customFormat="1" ht="15" customHeight="1">
      <c r="A231" s="1036"/>
      <c r="B231" s="1035"/>
      <c r="C231" s="1036"/>
      <c r="D231" s="298">
        <v>4</v>
      </c>
      <c r="E231" s="301">
        <f t="shared" si="75"/>
        <v>981924.8324600003</v>
      </c>
      <c r="F231" s="301">
        <f t="shared" si="75"/>
        <v>0</v>
      </c>
      <c r="G231" s="301">
        <f t="shared" si="71"/>
        <v>5980.4323663931627</v>
      </c>
      <c r="H231" s="301">
        <f t="shared" si="71"/>
        <v>189480</v>
      </c>
      <c r="I231" s="301"/>
      <c r="J231" s="301">
        <f t="shared" si="72"/>
        <v>29860.454400000002</v>
      </c>
      <c r="K231" s="301">
        <f t="shared" si="73"/>
        <v>1207245.7192263934</v>
      </c>
      <c r="L231" s="301">
        <f>K231*0.15</f>
        <v>181086.85788395899</v>
      </c>
      <c r="M231" s="315">
        <f t="shared" si="74"/>
        <v>1388332.5771103525</v>
      </c>
      <c r="N231" s="301"/>
      <c r="O231" s="301">
        <f>O208*1.1</f>
        <v>27800.029230769233</v>
      </c>
    </row>
    <row r="232" spans="1:15" s="308" customFormat="1" ht="15" customHeight="1">
      <c r="A232" s="1036"/>
      <c r="B232" s="1035"/>
      <c r="C232" s="1036"/>
      <c r="D232" s="298">
        <v>5</v>
      </c>
      <c r="E232" s="301">
        <f t="shared" si="75"/>
        <v>1099580.3876200004</v>
      </c>
      <c r="F232" s="301">
        <f t="shared" si="75"/>
        <v>0</v>
      </c>
      <c r="G232" s="301">
        <f t="shared" si="71"/>
        <v>6534.0193346324786</v>
      </c>
      <c r="H232" s="301">
        <f t="shared" si="71"/>
        <v>189480</v>
      </c>
      <c r="I232" s="301"/>
      <c r="J232" s="301">
        <f t="shared" si="72"/>
        <v>33703.4208</v>
      </c>
      <c r="K232" s="301">
        <f t="shared" si="73"/>
        <v>1329297.8277546328</v>
      </c>
      <c r="L232" s="301">
        <f>K232*0.15</f>
        <v>199394.67416319493</v>
      </c>
      <c r="M232" s="315">
        <f t="shared" si="74"/>
        <v>1528692.5019178276</v>
      </c>
      <c r="N232" s="301"/>
      <c r="O232" s="301">
        <f>O209*1.1</f>
        <v>31131.066153846157</v>
      </c>
    </row>
    <row r="233" spans="1:15">
      <c r="A233" s="298">
        <v>1</v>
      </c>
      <c r="B233" s="316" t="s">
        <v>57</v>
      </c>
      <c r="C233" s="300"/>
      <c r="D233" s="300"/>
      <c r="E233" s="301"/>
      <c r="F233" s="301"/>
      <c r="G233" s="301"/>
      <c r="H233" s="301"/>
      <c r="I233" s="301"/>
      <c r="J233" s="301"/>
      <c r="K233" s="301"/>
      <c r="L233" s="301"/>
      <c r="M233" s="315">
        <v>25</v>
      </c>
      <c r="N233" s="327" t="s">
        <v>21</v>
      </c>
      <c r="O233" s="301"/>
    </row>
    <row r="234" spans="1:15">
      <c r="A234" s="323" t="s">
        <v>359</v>
      </c>
      <c r="B234" s="324" t="str">
        <f>NhanCong!B$61</f>
        <v>Công tác chuẩn bị</v>
      </c>
      <c r="C234" s="319" t="s">
        <v>317</v>
      </c>
      <c r="D234" s="319" t="s">
        <v>622</v>
      </c>
      <c r="E234" s="301">
        <f>NhanCong!Q$61</f>
        <v>144421.50800000003</v>
      </c>
      <c r="F234" s="301">
        <f>NhanCong!Q$62</f>
        <v>9023.3846153846171</v>
      </c>
      <c r="G234" s="320">
        <f>Dcu!O$102*0.4</f>
        <v>3608.935897435897</v>
      </c>
      <c r="H234" s="320">
        <f>VLieu!M$66</f>
        <v>87398.099999999991</v>
      </c>
      <c r="I234" s="320"/>
      <c r="J234" s="320"/>
      <c r="K234" s="320">
        <f>SUM(E234:J234)</f>
        <v>244451.92851282057</v>
      </c>
      <c r="L234" s="320">
        <f>K234*0.25</f>
        <v>61112.982128205142</v>
      </c>
      <c r="M234" s="321">
        <f>K234+L234</f>
        <v>305564.91064102569</v>
      </c>
      <c r="N234" s="320"/>
      <c r="O234" s="320">
        <f>NhanCong!R$61</f>
        <v>3950.6923076923067</v>
      </c>
    </row>
    <row r="235" spans="1:15">
      <c r="A235" s="1041" t="s">
        <v>269</v>
      </c>
      <c r="B235" s="1038" t="str">
        <f>NhanCong!B$63</f>
        <v>Lập lưới khống chế đo vẽ</v>
      </c>
      <c r="C235" s="1039" t="s">
        <v>317</v>
      </c>
      <c r="D235" s="319">
        <v>1</v>
      </c>
      <c r="E235" s="301">
        <f>NhanCong!Q$63</f>
        <v>241449.60125000007</v>
      </c>
      <c r="F235" s="301"/>
      <c r="G235" s="320">
        <f>Dcu!O$82</f>
        <v>1726.2865384615382</v>
      </c>
      <c r="H235" s="320">
        <f>VLieu!M$67</f>
        <v>58265.4</v>
      </c>
      <c r="I235" s="320"/>
      <c r="J235" s="320">
        <f>TBi!N$44</f>
        <v>58.766400000000004</v>
      </c>
      <c r="K235" s="320">
        <f t="shared" ref="K235:K239" si="76">SUM(E235:J235)</f>
        <v>301500.05418846163</v>
      </c>
      <c r="L235" s="320">
        <f t="shared" ref="L235:L259" si="77">K235*0.25</f>
        <v>75375.013547115406</v>
      </c>
      <c r="M235" s="321">
        <f t="shared" ref="M235:M259" si="78">K235+L235</f>
        <v>376875.067735577</v>
      </c>
      <c r="N235" s="320"/>
      <c r="O235" s="320">
        <f>NhanCong!R$63</f>
        <v>6835.8653846153848</v>
      </c>
    </row>
    <row r="236" spans="1:15">
      <c r="A236" s="1041"/>
      <c r="B236" s="1038"/>
      <c r="C236" s="1039"/>
      <c r="D236" s="319">
        <v>2</v>
      </c>
      <c r="E236" s="301">
        <f>NhanCong!Q$64</f>
        <v>289567.67125000007</v>
      </c>
      <c r="F236" s="301"/>
      <c r="G236" s="320">
        <f>Dcu!O$83</f>
        <v>1956.4580769230765</v>
      </c>
      <c r="H236" s="320">
        <f>VLieu!M$67</f>
        <v>58265.4</v>
      </c>
      <c r="I236" s="320"/>
      <c r="J236" s="320">
        <f>TBi!O$44</f>
        <v>58.766400000000004</v>
      </c>
      <c r="K236" s="320">
        <f t="shared" si="76"/>
        <v>349848.29572692321</v>
      </c>
      <c r="L236" s="320">
        <f t="shared" si="77"/>
        <v>87462.073931730803</v>
      </c>
      <c r="M236" s="321">
        <f t="shared" si="78"/>
        <v>437310.36965865403</v>
      </c>
      <c r="N236" s="320"/>
      <c r="O236" s="320">
        <f>NhanCong!R$64</f>
        <v>8198.173076923078</v>
      </c>
    </row>
    <row r="237" spans="1:15">
      <c r="A237" s="1041"/>
      <c r="B237" s="1038"/>
      <c r="C237" s="1039"/>
      <c r="D237" s="319">
        <v>3</v>
      </c>
      <c r="E237" s="301">
        <f>NhanCong!Q$65</f>
        <v>347137.50500000006</v>
      </c>
      <c r="F237" s="301"/>
      <c r="G237" s="320">
        <f>Dcu!O$84</f>
        <v>2301.7153846153842</v>
      </c>
      <c r="H237" s="320">
        <f>VLieu!M$67</f>
        <v>58265.4</v>
      </c>
      <c r="I237" s="320"/>
      <c r="J237" s="320">
        <f>TBi!P$44</f>
        <v>58.766400000000004</v>
      </c>
      <c r="K237" s="320">
        <f t="shared" si="76"/>
        <v>407763.38678461552</v>
      </c>
      <c r="L237" s="320">
        <f t="shared" si="77"/>
        <v>101940.84669615388</v>
      </c>
      <c r="M237" s="321">
        <f t="shared" si="78"/>
        <v>509704.23348076938</v>
      </c>
      <c r="N237" s="320"/>
      <c r="O237" s="320">
        <f>NhanCong!R$65</f>
        <v>9828.076923076922</v>
      </c>
    </row>
    <row r="238" spans="1:15">
      <c r="A238" s="1041"/>
      <c r="B238" s="1038"/>
      <c r="C238" s="1039"/>
      <c r="D238" s="319">
        <v>4</v>
      </c>
      <c r="E238" s="301">
        <f>NhanCong!Q$66</f>
        <v>416736.85625000007</v>
      </c>
      <c r="F238" s="301"/>
      <c r="G238" s="320">
        <f>Dcu!O$85</f>
        <v>2877.1442307692305</v>
      </c>
      <c r="H238" s="320">
        <f>VLieu!M$67</f>
        <v>58265.4</v>
      </c>
      <c r="I238" s="320"/>
      <c r="J238" s="320">
        <f>TBi!Q$44</f>
        <v>58.766400000000004</v>
      </c>
      <c r="K238" s="320">
        <f t="shared" si="76"/>
        <v>477938.16688076936</v>
      </c>
      <c r="L238" s="320">
        <f t="shared" si="77"/>
        <v>119484.54172019234</v>
      </c>
      <c r="M238" s="321">
        <f t="shared" si="78"/>
        <v>597422.70860096172</v>
      </c>
      <c r="N238" s="320"/>
      <c r="O238" s="320">
        <f>NhanCong!R$66</f>
        <v>11798.557692307693</v>
      </c>
    </row>
    <row r="239" spans="1:15">
      <c r="A239" s="1041"/>
      <c r="B239" s="1038"/>
      <c r="C239" s="1039"/>
      <c r="D239" s="319">
        <v>5</v>
      </c>
      <c r="E239" s="301">
        <f>NhanCong!Q$67</f>
        <v>499224.97625000012</v>
      </c>
      <c r="F239" s="301"/>
      <c r="G239" s="320">
        <f>Dcu!O$86</f>
        <v>3590.6759999999995</v>
      </c>
      <c r="H239" s="320">
        <f>VLieu!M$67</f>
        <v>58265.4</v>
      </c>
      <c r="I239" s="320"/>
      <c r="J239" s="320">
        <f>TBi!R$44</f>
        <v>58.766400000000004</v>
      </c>
      <c r="K239" s="320">
        <f t="shared" si="76"/>
        <v>561139.81865000003</v>
      </c>
      <c r="L239" s="320">
        <f t="shared" si="77"/>
        <v>140284.95466250001</v>
      </c>
      <c r="M239" s="321">
        <f t="shared" si="78"/>
        <v>701424.77331249998</v>
      </c>
      <c r="N239" s="320"/>
      <c r="O239" s="320">
        <f>NhanCong!R$67</f>
        <v>14133.942307692305</v>
      </c>
    </row>
    <row r="240" spans="1:15">
      <c r="A240" s="1041" t="s">
        <v>36</v>
      </c>
      <c r="B240" s="1038" t="str">
        <f>NhanCong!B$68</f>
        <v>Xác định ranh giới thửa đất trên thực địa</v>
      </c>
      <c r="C240" s="1039" t="s">
        <v>317</v>
      </c>
      <c r="D240" s="319">
        <v>1</v>
      </c>
      <c r="E240" s="301">
        <f>NhanCong!Q$68</f>
        <v>618660.9</v>
      </c>
      <c r="F240" s="301">
        <f>NhanCong!Q$69</f>
        <v>130984.6153846154</v>
      </c>
      <c r="G240" s="320">
        <f>Dcu!O$103*0.4</f>
        <v>2526.2551282051281</v>
      </c>
      <c r="H240" s="320">
        <f>VLieu!M$68</f>
        <v>145663.5</v>
      </c>
      <c r="I240" s="320"/>
      <c r="J240" s="320"/>
      <c r="K240" s="320">
        <f>SUM(E240:J240)</f>
        <v>897835.27051282057</v>
      </c>
      <c r="L240" s="320">
        <f t="shared" si="77"/>
        <v>224458.81762820514</v>
      </c>
      <c r="M240" s="321">
        <f t="shared" si="78"/>
        <v>1122294.0881410257</v>
      </c>
      <c r="N240" s="320"/>
      <c r="O240" s="320">
        <f>NhanCong!R$68</f>
        <v>17515.384615384613</v>
      </c>
    </row>
    <row r="241" spans="1:15">
      <c r="A241" s="1041"/>
      <c r="B241" s="1038"/>
      <c r="C241" s="1039"/>
      <c r="D241" s="319">
        <v>2</v>
      </c>
      <c r="E241" s="301">
        <f>NhanCong!Q$70</f>
        <v>742393.08000000019</v>
      </c>
      <c r="F241" s="301">
        <f>NhanCong!Q$71</f>
        <v>157181.53846153847</v>
      </c>
      <c r="G241" s="320">
        <f>Dcu!O$104*0.4</f>
        <v>3067.5955128205123</v>
      </c>
      <c r="H241" s="320">
        <f>VLieu!M$68</f>
        <v>145663.5</v>
      </c>
      <c r="I241" s="320"/>
      <c r="J241" s="320"/>
      <c r="K241" s="320">
        <f t="shared" ref="K241:K259" si="79">SUM(E241:J241)</f>
        <v>1048305.7139743592</v>
      </c>
      <c r="L241" s="320">
        <f t="shared" si="77"/>
        <v>262076.4284935898</v>
      </c>
      <c r="M241" s="321">
        <f t="shared" si="78"/>
        <v>1310382.1424679491</v>
      </c>
      <c r="N241" s="320"/>
      <c r="O241" s="320">
        <f>NhanCong!R$70</f>
        <v>21018.461538461539</v>
      </c>
    </row>
    <row r="242" spans="1:15">
      <c r="A242" s="1041"/>
      <c r="B242" s="1038"/>
      <c r="C242" s="1039"/>
      <c r="D242" s="319">
        <v>3</v>
      </c>
      <c r="E242" s="301">
        <f>NhanCong!Q$72</f>
        <v>1149334.4720000001</v>
      </c>
      <c r="F242" s="301">
        <f>NhanCong!Q$73</f>
        <v>243340.30769230769</v>
      </c>
      <c r="G242" s="320">
        <f>Dcu!O$105*0.4</f>
        <v>3608.935897435897</v>
      </c>
      <c r="H242" s="320">
        <f>VLieu!M$68</f>
        <v>145663.5</v>
      </c>
      <c r="I242" s="320"/>
      <c r="J242" s="320"/>
      <c r="K242" s="320">
        <f t="shared" si="79"/>
        <v>1541947.2155897438</v>
      </c>
      <c r="L242" s="320">
        <f t="shared" si="77"/>
        <v>385486.80389743595</v>
      </c>
      <c r="M242" s="321">
        <f t="shared" si="78"/>
        <v>1927434.0194871798</v>
      </c>
      <c r="N242" s="320"/>
      <c r="O242" s="320">
        <f>NhanCong!R$72</f>
        <v>32539.692307692305</v>
      </c>
    </row>
    <row r="243" spans="1:15">
      <c r="A243" s="1041"/>
      <c r="B243" s="1038"/>
      <c r="C243" s="1039"/>
      <c r="D243" s="319">
        <v>4</v>
      </c>
      <c r="E243" s="301">
        <f>NhanCong!Q$74</f>
        <v>1797553.6150000002</v>
      </c>
      <c r="F243" s="301">
        <f>NhanCong!Q$75</f>
        <v>380583.07692307694</v>
      </c>
      <c r="G243" s="320">
        <f>Dcu!O$106*0.4</f>
        <v>4511.1698717948711</v>
      </c>
      <c r="H243" s="320">
        <f>VLieu!M$68</f>
        <v>145663.5</v>
      </c>
      <c r="I243" s="320"/>
      <c r="J243" s="320"/>
      <c r="K243" s="320">
        <f t="shared" si="79"/>
        <v>2328311.3617948722</v>
      </c>
      <c r="L243" s="320">
        <f t="shared" si="77"/>
        <v>582077.84044871805</v>
      </c>
      <c r="M243" s="321">
        <f t="shared" si="78"/>
        <v>2910389.2022435903</v>
      </c>
      <c r="N243" s="320"/>
      <c r="O243" s="320">
        <f>NhanCong!R$74</f>
        <v>50891.923076923078</v>
      </c>
    </row>
    <row r="244" spans="1:15">
      <c r="A244" s="1041"/>
      <c r="B244" s="1038"/>
      <c r="C244" s="1039"/>
      <c r="D244" s="319">
        <v>5</v>
      </c>
      <c r="E244" s="301">
        <f>NhanCong!Q$76</f>
        <v>2426869.2305000005</v>
      </c>
      <c r="F244" s="301">
        <f>NhanCong!Q$77</f>
        <v>513823.5384615385</v>
      </c>
      <c r="G244" s="320">
        <f>Dcu!O$107*0.4</f>
        <v>5629.94</v>
      </c>
      <c r="H244" s="320">
        <f>VLieu!M$68</f>
        <v>145663.5</v>
      </c>
      <c r="I244" s="320"/>
      <c r="J244" s="320"/>
      <c r="K244" s="320">
        <f t="shared" si="79"/>
        <v>3091986.208961539</v>
      </c>
      <c r="L244" s="320">
        <f t="shared" si="77"/>
        <v>772996.55224038474</v>
      </c>
      <c r="M244" s="321">
        <f t="shared" si="78"/>
        <v>3864982.7612019237</v>
      </c>
      <c r="N244" s="320"/>
      <c r="O244" s="320">
        <f>NhanCong!R$76</f>
        <v>68708.961538461546</v>
      </c>
    </row>
    <row r="245" spans="1:15">
      <c r="A245" s="1041" t="s">
        <v>270</v>
      </c>
      <c r="B245" s="1038" t="str">
        <f>NhanCong!B$78</f>
        <v>Đo đạc ranh giới thửa đất và các đối tượng địa lý có liên quan</v>
      </c>
      <c r="C245" s="1039" t="s">
        <v>317</v>
      </c>
      <c r="D245" s="319" t="s">
        <v>18</v>
      </c>
      <c r="E245" s="301">
        <f>NhanCong!Q$78</f>
        <v>1061175.2937500002</v>
      </c>
      <c r="F245" s="301">
        <f>NhanCong!Q$79</f>
        <v>35948.000000000007</v>
      </c>
      <c r="G245" s="320">
        <f>Dcu!O$103</f>
        <v>6315.6378205128194</v>
      </c>
      <c r="H245" s="320">
        <f>VLieu!M$69</f>
        <v>145663.5</v>
      </c>
      <c r="I245" s="320"/>
      <c r="J245" s="320"/>
      <c r="K245" s="320">
        <f t="shared" si="79"/>
        <v>1249102.4315705129</v>
      </c>
      <c r="L245" s="320">
        <f t="shared" si="77"/>
        <v>312275.60789262824</v>
      </c>
      <c r="M245" s="321">
        <f t="shared" si="78"/>
        <v>1561378.0394631412</v>
      </c>
      <c r="N245" s="320"/>
      <c r="O245" s="320">
        <f>NhanCong!R$78</f>
        <v>30043.75</v>
      </c>
    </row>
    <row r="246" spans="1:15">
      <c r="A246" s="1041"/>
      <c r="B246" s="1038"/>
      <c r="C246" s="1039"/>
      <c r="D246" s="319" t="s">
        <v>20</v>
      </c>
      <c r="E246" s="301">
        <f>NhanCong!Q$80</f>
        <v>1272551.1012500003</v>
      </c>
      <c r="F246" s="301">
        <f>NhanCong!Q$81</f>
        <v>43152.153846153851</v>
      </c>
      <c r="G246" s="320">
        <f>Dcu!O$104</f>
        <v>7668.9887820512804</v>
      </c>
      <c r="H246" s="320">
        <f>VLieu!M$69</f>
        <v>145663.5</v>
      </c>
      <c r="I246" s="320"/>
      <c r="J246" s="320"/>
      <c r="K246" s="320">
        <f t="shared" si="79"/>
        <v>1469035.7438782053</v>
      </c>
      <c r="L246" s="320">
        <f t="shared" si="77"/>
        <v>367258.93596955133</v>
      </c>
      <c r="M246" s="321">
        <f t="shared" si="78"/>
        <v>1836294.6798477566</v>
      </c>
      <c r="N246" s="320"/>
      <c r="O246" s="320">
        <f>NhanCong!R$80</f>
        <v>36028.173076923078</v>
      </c>
    </row>
    <row r="247" spans="1:15">
      <c r="A247" s="1041"/>
      <c r="B247" s="1038"/>
      <c r="C247" s="1039"/>
      <c r="D247" s="319" t="s">
        <v>35</v>
      </c>
      <c r="E247" s="301">
        <f>NhanCong!Q$82</f>
        <v>1527748.7225000006</v>
      </c>
      <c r="F247" s="301">
        <f>NhanCong!Q$83</f>
        <v>51811.692307692312</v>
      </c>
      <c r="G247" s="320">
        <f>Dcu!O$105</f>
        <v>9022.3397435897423</v>
      </c>
      <c r="H247" s="320">
        <f>VLieu!M$69</f>
        <v>145663.5</v>
      </c>
      <c r="I247" s="320"/>
      <c r="J247" s="320"/>
      <c r="K247" s="320">
        <f t="shared" si="79"/>
        <v>1734246.2545512826</v>
      </c>
      <c r="L247" s="320">
        <f t="shared" si="77"/>
        <v>433561.56363782065</v>
      </c>
      <c r="M247" s="321">
        <f t="shared" si="78"/>
        <v>2167807.8181891032</v>
      </c>
      <c r="N247" s="320"/>
      <c r="O247" s="320">
        <f>NhanCong!R$82</f>
        <v>43253.269230769227</v>
      </c>
    </row>
    <row r="248" spans="1:15">
      <c r="A248" s="1041"/>
      <c r="B248" s="1038"/>
      <c r="C248" s="1039"/>
      <c r="D248" s="319" t="s">
        <v>33</v>
      </c>
      <c r="E248" s="301">
        <f>NhanCong!Q$84</f>
        <v>1955655.8450000007</v>
      </c>
      <c r="F248" s="301">
        <f>NhanCong!Q$85</f>
        <v>82884.153846153858</v>
      </c>
      <c r="G248" s="320">
        <f>Dcu!O$106</f>
        <v>11277.924679487178</v>
      </c>
      <c r="H248" s="320">
        <f>VLieu!M$69</f>
        <v>145663.5</v>
      </c>
      <c r="I248" s="320"/>
      <c r="J248" s="320"/>
      <c r="K248" s="320">
        <f t="shared" si="79"/>
        <v>2195481.4235256417</v>
      </c>
      <c r="L248" s="320">
        <f t="shared" si="77"/>
        <v>548870.35588141042</v>
      </c>
      <c r="M248" s="321">
        <f t="shared" si="78"/>
        <v>2744351.7794070523</v>
      </c>
      <c r="N248" s="320"/>
      <c r="O248" s="320">
        <f>NhanCong!R$84</f>
        <v>55368.076923076922</v>
      </c>
    </row>
    <row r="249" spans="1:15">
      <c r="A249" s="1041"/>
      <c r="B249" s="1038"/>
      <c r="C249" s="1039"/>
      <c r="D249" s="319" t="s">
        <v>13</v>
      </c>
      <c r="E249" s="301">
        <f>NhanCong!Q$86</f>
        <v>2347474.4150000005</v>
      </c>
      <c r="F249" s="301">
        <f>NhanCong!Q$87</f>
        <v>99402.769230769234</v>
      </c>
      <c r="G249" s="320">
        <f>Dcu!O$107</f>
        <v>14074.849999999999</v>
      </c>
      <c r="H249" s="320">
        <f>VLieu!M$69</f>
        <v>145663.5</v>
      </c>
      <c r="I249" s="320"/>
      <c r="J249" s="320"/>
      <c r="K249" s="320">
        <f t="shared" si="79"/>
        <v>2606615.5342307696</v>
      </c>
      <c r="L249" s="320">
        <f t="shared" si="77"/>
        <v>651653.8835576924</v>
      </c>
      <c r="M249" s="321">
        <f t="shared" si="78"/>
        <v>3258269.4177884618</v>
      </c>
      <c r="N249" s="320"/>
      <c r="O249" s="320">
        <f>NhanCong!R$86</f>
        <v>66461.153846153844</v>
      </c>
    </row>
    <row r="250" spans="1:15">
      <c r="A250" s="1041" t="s">
        <v>363</v>
      </c>
      <c r="B250" s="1038" t="str">
        <f>NhanCong!B$88</f>
        <v>Đối soát, kiểm tra</v>
      </c>
      <c r="C250" s="1039" t="s">
        <v>317</v>
      </c>
      <c r="D250" s="319" t="s">
        <v>18</v>
      </c>
      <c r="E250" s="301">
        <f>NhanCong!Q$88</f>
        <v>98470.193250000026</v>
      </c>
      <c r="F250" s="301">
        <f>NhanCong!Q$89</f>
        <v>16736.923076923078</v>
      </c>
      <c r="G250" s="320">
        <f>Dcu!O$103*0.4</f>
        <v>2526.2551282051281</v>
      </c>
      <c r="H250" s="320">
        <f>VLieu!M$70</f>
        <v>75745.02</v>
      </c>
      <c r="I250" s="320"/>
      <c r="J250" s="320"/>
      <c r="K250" s="320">
        <f t="shared" si="79"/>
        <v>193478.39145512824</v>
      </c>
      <c r="L250" s="320">
        <f t="shared" si="77"/>
        <v>48369.597863782059</v>
      </c>
      <c r="M250" s="321">
        <f t="shared" si="78"/>
        <v>241847.98931891029</v>
      </c>
      <c r="N250" s="320"/>
      <c r="O250" s="320">
        <f>NhanCong!R$88</f>
        <v>2787.8653846153848</v>
      </c>
    </row>
    <row r="251" spans="1:15">
      <c r="A251" s="1041"/>
      <c r="B251" s="1038"/>
      <c r="C251" s="1039"/>
      <c r="D251" s="319" t="s">
        <v>20</v>
      </c>
      <c r="E251" s="301">
        <f>NhanCong!Q$90</f>
        <v>118404.82225000001</v>
      </c>
      <c r="F251" s="301">
        <f>NhanCong!Q$91</f>
        <v>20011.538461538461</v>
      </c>
      <c r="G251" s="320">
        <f>Dcu!O$104*0.4</f>
        <v>3067.5955128205123</v>
      </c>
      <c r="H251" s="320">
        <f>VLieu!M$70</f>
        <v>75745.02</v>
      </c>
      <c r="I251" s="320"/>
      <c r="J251" s="320"/>
      <c r="K251" s="320">
        <f t="shared" si="79"/>
        <v>217228.97622435901</v>
      </c>
      <c r="L251" s="320">
        <f t="shared" si="77"/>
        <v>54307.244056089752</v>
      </c>
      <c r="M251" s="321">
        <f t="shared" si="78"/>
        <v>271536.22028044879</v>
      </c>
      <c r="N251" s="320"/>
      <c r="O251" s="320">
        <f>NhanCong!R$90</f>
        <v>3352.25</v>
      </c>
    </row>
    <row r="252" spans="1:15">
      <c r="A252" s="1041"/>
      <c r="B252" s="1038"/>
      <c r="C252" s="1039"/>
      <c r="D252" s="319" t="s">
        <v>35</v>
      </c>
      <c r="E252" s="301">
        <f>NhanCong!Q$92</f>
        <v>141948.30650000004</v>
      </c>
      <c r="F252" s="301">
        <f>NhanCong!Q$93</f>
        <v>24013.846153846156</v>
      </c>
      <c r="G252" s="320">
        <f>Dcu!O$105*0.4</f>
        <v>3608.935897435897</v>
      </c>
      <c r="H252" s="320">
        <f>VLieu!M$70</f>
        <v>75745.02</v>
      </c>
      <c r="I252" s="320"/>
      <c r="J252" s="320"/>
      <c r="K252" s="320">
        <f t="shared" si="79"/>
        <v>245316.10855128209</v>
      </c>
      <c r="L252" s="320">
        <f t="shared" si="77"/>
        <v>61329.027137820522</v>
      </c>
      <c r="M252" s="321">
        <f t="shared" si="78"/>
        <v>306645.13568910258</v>
      </c>
      <c r="N252" s="320"/>
      <c r="O252" s="320">
        <f>NhanCong!R$92</f>
        <v>4018.8076923076924</v>
      </c>
    </row>
    <row r="253" spans="1:15">
      <c r="A253" s="1041"/>
      <c r="B253" s="1038"/>
      <c r="C253" s="1039"/>
      <c r="D253" s="319" t="s">
        <v>33</v>
      </c>
      <c r="E253" s="301">
        <f>NhanCong!Q$94</f>
        <v>214297.26175000003</v>
      </c>
      <c r="F253" s="301">
        <f>NhanCong!Q$95</f>
        <v>58943.076923076922</v>
      </c>
      <c r="G253" s="320">
        <f>Dcu!O$106*0.4</f>
        <v>4511.1698717948711</v>
      </c>
      <c r="H253" s="320">
        <f>VLieu!M$70</f>
        <v>75745.02</v>
      </c>
      <c r="I253" s="320"/>
      <c r="J253" s="320"/>
      <c r="K253" s="320">
        <f t="shared" si="79"/>
        <v>353496.52854487184</v>
      </c>
      <c r="L253" s="320">
        <f t="shared" si="77"/>
        <v>88374.132136217959</v>
      </c>
      <c r="M253" s="321">
        <f t="shared" si="78"/>
        <v>441870.66068108979</v>
      </c>
      <c r="N253" s="320"/>
      <c r="O253" s="320">
        <f>NhanCong!R$94</f>
        <v>6067.1346153846152</v>
      </c>
    </row>
    <row r="254" spans="1:15">
      <c r="A254" s="1041"/>
      <c r="B254" s="1038"/>
      <c r="C254" s="1039"/>
      <c r="D254" s="319" t="s">
        <v>13</v>
      </c>
      <c r="E254" s="301">
        <f>NhanCong!Q$96</f>
        <v>257087.97400000005</v>
      </c>
      <c r="F254" s="301">
        <f>NhanCong!Q$97</f>
        <v>70731.692307692312</v>
      </c>
      <c r="G254" s="320">
        <f>Dcu!O$107*0.4</f>
        <v>5629.94</v>
      </c>
      <c r="H254" s="320">
        <f>VLieu!M$70</f>
        <v>75745.02</v>
      </c>
      <c r="I254" s="320"/>
      <c r="J254" s="320"/>
      <c r="K254" s="320">
        <f t="shared" si="79"/>
        <v>409194.62630769238</v>
      </c>
      <c r="L254" s="320">
        <f t="shared" si="77"/>
        <v>102298.65657692309</v>
      </c>
      <c r="M254" s="321">
        <f t="shared" si="78"/>
        <v>511493.28288461547</v>
      </c>
      <c r="N254" s="320"/>
      <c r="O254" s="320">
        <f>NhanCong!R$96</f>
        <v>7278.6153846153848</v>
      </c>
    </row>
    <row r="255" spans="1:15" ht="12.75" customHeight="1">
      <c r="A255" s="1041" t="s">
        <v>364</v>
      </c>
      <c r="B255" s="1038" t="str">
        <f>NhanCong!B$98</f>
        <v>Giao nhận Phiếu kết quả đo đạc hiện trạng thửa đất</v>
      </c>
      <c r="C255" s="1039" t="s">
        <v>317</v>
      </c>
      <c r="D255" s="319" t="s">
        <v>18</v>
      </c>
      <c r="E255" s="301">
        <f>NhanCong!Q$98</f>
        <v>146244.56275000001</v>
      </c>
      <c r="F255" s="301">
        <f>NhanCong!Q$99</f>
        <v>61926.61538461539</v>
      </c>
      <c r="G255" s="320">
        <f>Dcu!O$103*0.4</f>
        <v>2526.2551282051281</v>
      </c>
      <c r="H255" s="320">
        <f>VLieu!M$71</f>
        <v>75745.02</v>
      </c>
      <c r="I255" s="320"/>
      <c r="J255" s="320"/>
      <c r="K255" s="320">
        <f t="shared" si="79"/>
        <v>286442.45326282055</v>
      </c>
      <c r="L255" s="320">
        <f t="shared" si="77"/>
        <v>71610.613315705137</v>
      </c>
      <c r="M255" s="321">
        <f t="shared" si="78"/>
        <v>358053.0665785257</v>
      </c>
      <c r="N255" s="320"/>
      <c r="O255" s="320">
        <f>NhanCong!R$98</f>
        <v>4140.4423076923076</v>
      </c>
    </row>
    <row r="256" spans="1:15">
      <c r="A256" s="1041"/>
      <c r="B256" s="1038"/>
      <c r="C256" s="1039"/>
      <c r="D256" s="319" t="s">
        <v>20</v>
      </c>
      <c r="E256" s="301">
        <f>NhanCong!Q$100</f>
        <v>172537.65100000001</v>
      </c>
      <c r="F256" s="301">
        <f>NhanCong!Q$101</f>
        <v>73060.307692307688</v>
      </c>
      <c r="G256" s="320">
        <f>Dcu!O$104*0.4</f>
        <v>3067.5955128205123</v>
      </c>
      <c r="H256" s="320">
        <f>VLieu!M$71</f>
        <v>75745.02</v>
      </c>
      <c r="I256" s="320"/>
      <c r="J256" s="320"/>
      <c r="K256" s="320">
        <f t="shared" si="79"/>
        <v>324410.57420512824</v>
      </c>
      <c r="L256" s="320">
        <f t="shared" si="77"/>
        <v>81102.643551282061</v>
      </c>
      <c r="M256" s="321">
        <f t="shared" si="78"/>
        <v>405513.2177564103</v>
      </c>
      <c r="N256" s="320"/>
      <c r="O256" s="320">
        <f>NhanCong!R$100</f>
        <v>4884.8461538461534</v>
      </c>
    </row>
    <row r="257" spans="1:15">
      <c r="A257" s="1041"/>
      <c r="B257" s="1038"/>
      <c r="C257" s="1039"/>
      <c r="D257" s="319" t="s">
        <v>35</v>
      </c>
      <c r="E257" s="301">
        <f>NhanCong!Q$102</f>
        <v>206907.701</v>
      </c>
      <c r="F257" s="301">
        <f>NhanCong!Q$103</f>
        <v>87614.153846153844</v>
      </c>
      <c r="G257" s="320">
        <f>Dcu!O$105*0.4</f>
        <v>3608.935897435897</v>
      </c>
      <c r="H257" s="320">
        <f>VLieu!M$71</f>
        <v>75745.02</v>
      </c>
      <c r="I257" s="320"/>
      <c r="J257" s="320"/>
      <c r="K257" s="320">
        <f t="shared" si="79"/>
        <v>373875.81074358977</v>
      </c>
      <c r="L257" s="320">
        <f t="shared" si="77"/>
        <v>93468.952685897442</v>
      </c>
      <c r="M257" s="321">
        <f t="shared" si="78"/>
        <v>467344.76342948724</v>
      </c>
      <c r="N257" s="320"/>
      <c r="O257" s="320">
        <f>NhanCong!R$102</f>
        <v>5857.9230769230762</v>
      </c>
    </row>
    <row r="258" spans="1:15">
      <c r="A258" s="1041"/>
      <c r="B258" s="1038"/>
      <c r="C258" s="1039"/>
      <c r="D258" s="319" t="s">
        <v>33</v>
      </c>
      <c r="E258" s="301">
        <f>NhanCong!Q$104</f>
        <v>312423.75450000004</v>
      </c>
      <c r="F258" s="301">
        <f>NhanCong!Q$105</f>
        <v>132294.46153846153</v>
      </c>
      <c r="G258" s="320">
        <f>Dcu!O$106*0.4</f>
        <v>4511.1698717948711</v>
      </c>
      <c r="H258" s="320">
        <f>VLieu!M$71</f>
        <v>75745.02</v>
      </c>
      <c r="I258" s="320"/>
      <c r="J258" s="320"/>
      <c r="K258" s="320">
        <f t="shared" si="79"/>
        <v>524974.40591025644</v>
      </c>
      <c r="L258" s="320">
        <f t="shared" si="77"/>
        <v>131243.60147756411</v>
      </c>
      <c r="M258" s="321">
        <f t="shared" si="78"/>
        <v>656218.00738782051</v>
      </c>
      <c r="N258" s="320"/>
      <c r="O258" s="320">
        <f>NhanCong!R$104</f>
        <v>8845.2692307692305</v>
      </c>
    </row>
    <row r="259" spans="1:15">
      <c r="A259" s="1041"/>
      <c r="B259" s="1038"/>
      <c r="C259" s="1039"/>
      <c r="D259" s="319" t="s">
        <v>13</v>
      </c>
      <c r="E259" s="301">
        <f>NhanCong!Q$106</f>
        <v>374977.24550000002</v>
      </c>
      <c r="F259" s="301">
        <f>NhanCong!Q$107</f>
        <v>158782.46153846156</v>
      </c>
      <c r="G259" s="320">
        <f>Dcu!O$107*0.4</f>
        <v>5629.94</v>
      </c>
      <c r="H259" s="320">
        <f>VLieu!M$71</f>
        <v>75745.02</v>
      </c>
      <c r="I259" s="320"/>
      <c r="J259" s="320"/>
      <c r="K259" s="320">
        <f t="shared" si="79"/>
        <v>615134.66703846154</v>
      </c>
      <c r="L259" s="320">
        <f t="shared" si="77"/>
        <v>153783.66675961539</v>
      </c>
      <c r="M259" s="321">
        <f t="shared" si="78"/>
        <v>768918.33379807696</v>
      </c>
      <c r="N259" s="320"/>
      <c r="O259" s="320">
        <f>NhanCong!R$106</f>
        <v>10616.26923076923</v>
      </c>
    </row>
    <row r="260" spans="1:15">
      <c r="A260" s="1041"/>
      <c r="B260" s="1038"/>
      <c r="C260" s="1039"/>
      <c r="D260" s="319"/>
      <c r="E260" s="301"/>
      <c r="F260" s="301"/>
      <c r="G260" s="320"/>
      <c r="H260" s="320"/>
      <c r="I260" s="320"/>
      <c r="J260" s="320"/>
      <c r="K260" s="320"/>
      <c r="L260" s="320"/>
      <c r="M260" s="321"/>
      <c r="N260" s="320"/>
      <c r="O260" s="320"/>
    </row>
    <row r="261" spans="1:15" ht="13.5" customHeight="1">
      <c r="A261" s="298">
        <v>2</v>
      </c>
      <c r="B261" s="316" t="s">
        <v>58</v>
      </c>
      <c r="C261" s="319" t="s">
        <v>43</v>
      </c>
      <c r="D261" s="319"/>
      <c r="E261" s="301">
        <f>NhanCong!Q$108</f>
        <v>0</v>
      </c>
      <c r="F261" s="301"/>
      <c r="G261" s="320"/>
      <c r="H261" s="320"/>
      <c r="I261" s="320"/>
      <c r="J261" s="320"/>
      <c r="K261" s="320">
        <f>E261+F261+G261+I261+J261</f>
        <v>0</v>
      </c>
      <c r="L261" s="320"/>
      <c r="M261" s="321"/>
      <c r="N261" s="320"/>
      <c r="O261" s="320"/>
    </row>
    <row r="262" spans="1:15">
      <c r="A262" s="1041" t="s">
        <v>268</v>
      </c>
      <c r="B262" s="1038" t="str">
        <f>NhanCong!B$109</f>
        <v>Biên tập bản đồ địa chính</v>
      </c>
      <c r="C262" s="1039" t="s">
        <v>317</v>
      </c>
      <c r="D262" s="319" t="s">
        <v>18</v>
      </c>
      <c r="E262" s="301">
        <f>NhanCong!Q$109</f>
        <v>218868.47840000002</v>
      </c>
      <c r="F262" s="301"/>
      <c r="G262" s="320">
        <f>Dcu!O$123</f>
        <v>1142.8892247521367</v>
      </c>
      <c r="H262" s="320">
        <f>VLieu!M$90</f>
        <v>57087.8</v>
      </c>
      <c r="I262" s="320"/>
      <c r="J262" s="320">
        <f>TBi!N$107</f>
        <v>7817.7119999999995</v>
      </c>
      <c r="K262" s="320">
        <f>SUM(E262:J262)</f>
        <v>284916.87962475215</v>
      </c>
      <c r="L262" s="320">
        <f>K262*0.15</f>
        <v>42737.53194371282</v>
      </c>
      <c r="M262" s="321">
        <f>K262+L262</f>
        <v>327654.41156846494</v>
      </c>
      <c r="N262" s="320"/>
      <c r="O262" s="320">
        <f>NhanCong!R$109</f>
        <v>6196.5538461538463</v>
      </c>
    </row>
    <row r="263" spans="1:15">
      <c r="A263" s="1041"/>
      <c r="B263" s="1038"/>
      <c r="C263" s="1039"/>
      <c r="D263" s="319" t="s">
        <v>20</v>
      </c>
      <c r="E263" s="301">
        <f>NhanCong!Q$110</f>
        <v>273585.59800000006</v>
      </c>
      <c r="F263" s="301"/>
      <c r="G263" s="320">
        <f>Dcu!O$124</f>
        <v>1428.611530940171</v>
      </c>
      <c r="H263" s="320">
        <f>VLieu!M$90</f>
        <v>57087.8</v>
      </c>
      <c r="I263" s="320"/>
      <c r="J263" s="320">
        <f>TBi!O$107</f>
        <v>9375.9120000000003</v>
      </c>
      <c r="K263" s="320">
        <f>SUM(E263:J263)</f>
        <v>341477.92153094022</v>
      </c>
      <c r="L263" s="320">
        <f>K263*0.15</f>
        <v>51221.688229641033</v>
      </c>
      <c r="M263" s="321">
        <f>K263+L263</f>
        <v>392699.60976058128</v>
      </c>
      <c r="N263" s="320"/>
      <c r="O263" s="320">
        <f>NhanCong!R$110</f>
        <v>7745.6923076923067</v>
      </c>
    </row>
    <row r="264" spans="1:15">
      <c r="A264" s="1041"/>
      <c r="B264" s="1038"/>
      <c r="C264" s="1039"/>
      <c r="D264" s="319" t="s">
        <v>35</v>
      </c>
      <c r="E264" s="301">
        <f>NhanCong!Q$111</f>
        <v>342050.73760000005</v>
      </c>
      <c r="F264" s="301"/>
      <c r="G264" s="320">
        <f>Dcu!O$125</f>
        <v>1785.7644136752135</v>
      </c>
      <c r="H264" s="320">
        <f>VLieu!M$90</f>
        <v>57087.8</v>
      </c>
      <c r="I264" s="320"/>
      <c r="J264" s="320">
        <f>TBi!P$107</f>
        <v>12298.2048</v>
      </c>
      <c r="K264" s="320">
        <f>SUM(E264:J264)</f>
        <v>413222.50681367528</v>
      </c>
      <c r="L264" s="320">
        <f>K264*0.15</f>
        <v>61983.376022051292</v>
      </c>
      <c r="M264" s="321">
        <f>K264+L264</f>
        <v>475205.8828357266</v>
      </c>
      <c r="N264" s="320"/>
      <c r="O264" s="320">
        <f>NhanCong!R$111</f>
        <v>9684.0615384615376</v>
      </c>
    </row>
    <row r="265" spans="1:15">
      <c r="A265" s="1041"/>
      <c r="B265" s="1038"/>
      <c r="C265" s="1039"/>
      <c r="D265" s="319" t="s">
        <v>33</v>
      </c>
      <c r="E265" s="301">
        <f>NhanCong!Q$112</f>
        <v>427563.42200000008</v>
      </c>
      <c r="F265" s="301"/>
      <c r="G265" s="320">
        <f>Dcu!O$126</f>
        <v>2232.2055170940171</v>
      </c>
      <c r="H265" s="320">
        <f>VLieu!M$90</f>
        <v>57087.8</v>
      </c>
      <c r="I265" s="320"/>
      <c r="J265" s="320">
        <f>TBi!Q$107</f>
        <v>15397.6872</v>
      </c>
      <c r="K265" s="320">
        <f>SUM(E265:J265)</f>
        <v>502281.11471709405</v>
      </c>
      <c r="L265" s="320">
        <f>K265*0.15</f>
        <v>75342.167207564111</v>
      </c>
      <c r="M265" s="321">
        <f>K265+L265</f>
        <v>577623.28192465822</v>
      </c>
      <c r="N265" s="320"/>
      <c r="O265" s="320">
        <f>NhanCong!R$112</f>
        <v>12105.076923076922</v>
      </c>
    </row>
    <row r="266" spans="1:15">
      <c r="A266" s="1041"/>
      <c r="B266" s="1038"/>
      <c r="C266" s="1039"/>
      <c r="D266" s="319" t="s">
        <v>13</v>
      </c>
      <c r="E266" s="301">
        <f>NhanCong!Q$113</f>
        <v>534523.01760000014</v>
      </c>
      <c r="F266" s="301"/>
      <c r="G266" s="320">
        <f>Dcu!O$127</f>
        <v>2785.7924853333334</v>
      </c>
      <c r="H266" s="320">
        <f>VLieu!M$90</f>
        <v>57087.8</v>
      </c>
      <c r="I266" s="320"/>
      <c r="J266" s="320">
        <f>TBi!R$107</f>
        <v>19240.653600000001</v>
      </c>
      <c r="K266" s="320">
        <f>SUM(E266:J266)</f>
        <v>613637.26368533343</v>
      </c>
      <c r="L266" s="320">
        <f>K266*0.15</f>
        <v>92045.589552800011</v>
      </c>
      <c r="M266" s="321">
        <f>K266+L266</f>
        <v>705682.85323813348</v>
      </c>
      <c r="N266" s="320"/>
      <c r="O266" s="320">
        <f>NhanCong!R$113</f>
        <v>15133.292307692307</v>
      </c>
    </row>
    <row r="267" spans="1:15" ht="26">
      <c r="A267" s="323">
        <v>2.2000000000000002</v>
      </c>
      <c r="B267" s="324" t="str">
        <f>NhanCong!B$114</f>
        <v>Lập Phiếu xác nhận kết quả đo đạc hiện trạng thửa đất</v>
      </c>
      <c r="C267" s="319" t="s">
        <v>317</v>
      </c>
      <c r="D267" s="319" t="s">
        <v>15</v>
      </c>
      <c r="E267" s="301">
        <f>NhanCong!Q$114</f>
        <v>206220.30000000005</v>
      </c>
      <c r="F267" s="301"/>
      <c r="G267" s="320">
        <f>Dcu!O$138</f>
        <v>1075.2020991452989</v>
      </c>
      <c r="H267" s="320">
        <f>VLieu!M$91</f>
        <v>46708.200000000004</v>
      </c>
      <c r="I267" s="320"/>
      <c r="J267" s="320">
        <f>TBi!N$141</f>
        <v>7292.3760000000011</v>
      </c>
      <c r="K267" s="320">
        <f t="shared" ref="K267:K272" si="80">SUM(E267:J267)</f>
        <v>261296.07809914535</v>
      </c>
      <c r="L267" s="320">
        <f t="shared" ref="L267:L272" si="81">K267*0.15</f>
        <v>39194.4117148718</v>
      </c>
      <c r="M267" s="321">
        <f t="shared" ref="M267:M272" si="82">K267+L267</f>
        <v>300490.48981401714</v>
      </c>
      <c r="N267" s="320"/>
      <c r="O267" s="320">
        <f>NhanCong!R$114</f>
        <v>5838.461538461539</v>
      </c>
    </row>
    <row r="268" spans="1:15" ht="26">
      <c r="A268" s="323" t="s">
        <v>246</v>
      </c>
      <c r="B268" s="324" t="str">
        <f>NhanCong!B$115</f>
        <v>Công khai bản đồ địa chính, Hoàn thiện bản đồ địa chính</v>
      </c>
      <c r="C268" s="319" t="s">
        <v>317</v>
      </c>
      <c r="D268" s="319" t="s">
        <v>15</v>
      </c>
      <c r="E268" s="301">
        <f>NhanCong!Q$115</f>
        <v>192472.28000000003</v>
      </c>
      <c r="F268" s="301"/>
      <c r="G268" s="320">
        <f>Dcu!O$130</f>
        <v>1017.8857157948717</v>
      </c>
      <c r="H268" s="320">
        <f>VLieu!M$94</f>
        <v>20759.2</v>
      </c>
      <c r="I268" s="320"/>
      <c r="J268" s="320">
        <f>TBi!N$167</f>
        <v>6806.2175999999999</v>
      </c>
      <c r="K268" s="320">
        <f t="shared" si="80"/>
        <v>221055.58331579491</v>
      </c>
      <c r="L268" s="320">
        <f t="shared" si="81"/>
        <v>33158.337497369233</v>
      </c>
      <c r="M268" s="321">
        <f t="shared" si="82"/>
        <v>254213.92081316415</v>
      </c>
      <c r="N268" s="320"/>
      <c r="O268" s="320">
        <f>NhanCong!R$115</f>
        <v>5449.2307692307686</v>
      </c>
    </row>
    <row r="269" spans="1:15">
      <c r="A269" s="323">
        <v>2.4</v>
      </c>
      <c r="B269" s="324" t="str">
        <f>NhanCong!B$116</f>
        <v>Lập sổ mục kê đất đai phạm vi khu đo</v>
      </c>
      <c r="C269" s="319" t="s">
        <v>317</v>
      </c>
      <c r="D269" s="319" t="s">
        <v>15</v>
      </c>
      <c r="E269" s="301">
        <f>NhanCong!Q$116</f>
        <v>22684.233000000004</v>
      </c>
      <c r="F269" s="301"/>
      <c r="G269" s="320">
        <f>Dcu!O$140</f>
        <v>535.72932410256408</v>
      </c>
      <c r="H269" s="320">
        <f>VLieu!M$94</f>
        <v>20759.2</v>
      </c>
      <c r="I269" s="320"/>
      <c r="J269" s="320"/>
      <c r="K269" s="320">
        <f t="shared" si="80"/>
        <v>43979.162324102566</v>
      </c>
      <c r="L269" s="320">
        <f t="shared" si="81"/>
        <v>6596.8743486153844</v>
      </c>
      <c r="M269" s="321">
        <f t="shared" si="82"/>
        <v>50576.03667271795</v>
      </c>
      <c r="N269" s="320"/>
      <c r="O269" s="320">
        <f>NhanCong!R$116</f>
        <v>642.23076923076917</v>
      </c>
    </row>
    <row r="270" spans="1:15" ht="39">
      <c r="A270" s="323">
        <v>2.5</v>
      </c>
      <c r="B270" s="324" t="str">
        <f>NhanCong!B$117</f>
        <v>In sản phẩm đo đạc lập bản đồ địa chính gồm sản phẩm chính và sản phẩm trung gian</v>
      </c>
      <c r="C270" s="319" t="s">
        <v>317</v>
      </c>
      <c r="D270" s="319" t="s">
        <v>15</v>
      </c>
      <c r="E270" s="301">
        <f>NhanCong!Q$117</f>
        <v>9348.6536000000015</v>
      </c>
      <c r="F270" s="301"/>
      <c r="G270" s="320">
        <f>Dcu!O$152</f>
        <v>555.88608205128207</v>
      </c>
      <c r="H270" s="320">
        <f>VLieu!M$102</f>
        <v>2647.2</v>
      </c>
      <c r="I270" s="320"/>
      <c r="J270" s="320">
        <f>TBi!N$196</f>
        <v>364.17360000000002</v>
      </c>
      <c r="K270" s="320">
        <f t="shared" si="80"/>
        <v>12915.913282051284</v>
      </c>
      <c r="L270" s="320">
        <f t="shared" si="81"/>
        <v>1937.3869923076925</v>
      </c>
      <c r="M270" s="321">
        <f t="shared" si="82"/>
        <v>14853.300274358977</v>
      </c>
      <c r="N270" s="320"/>
      <c r="O270" s="320">
        <f>NhanCong!R$117</f>
        <v>264.67692307692306</v>
      </c>
    </row>
    <row r="271" spans="1:15">
      <c r="A271" s="300">
        <v>2.6</v>
      </c>
      <c r="B271" s="324" t="str">
        <f>NhanCong!B$118</f>
        <v>Trình ký xác nhận hồ sơ</v>
      </c>
      <c r="C271" s="319" t="s">
        <v>317</v>
      </c>
      <c r="D271" s="319" t="s">
        <v>15</v>
      </c>
      <c r="E271" s="301">
        <f>NhanCong!Q$118</f>
        <v>10998.416000000003</v>
      </c>
      <c r="F271" s="301"/>
      <c r="G271" s="320">
        <f>Dcu!O$140</f>
        <v>535.72932410256408</v>
      </c>
      <c r="H271" s="320">
        <f>VLieu!M$94</f>
        <v>20759.2</v>
      </c>
      <c r="I271" s="320"/>
      <c r="J271" s="320"/>
      <c r="K271" s="320">
        <f t="shared" si="80"/>
        <v>32293.345324102567</v>
      </c>
      <c r="L271" s="320">
        <f t="shared" si="81"/>
        <v>4844.0017986153853</v>
      </c>
      <c r="M271" s="321">
        <f t="shared" si="82"/>
        <v>37137.347122717954</v>
      </c>
      <c r="N271" s="320"/>
      <c r="O271" s="320">
        <f>NhanCong!R$118</f>
        <v>311.38461538461542</v>
      </c>
    </row>
    <row r="272" spans="1:15" ht="26">
      <c r="A272" s="300">
        <v>2.7</v>
      </c>
      <c r="B272" s="324" t="str">
        <f>NhanCong!B$119</f>
        <v>Giao nộp sản phẩm đo đạc lập bản đồ địa chính</v>
      </c>
      <c r="C272" s="319" t="s">
        <v>317</v>
      </c>
      <c r="D272" s="319" t="s">
        <v>15</v>
      </c>
      <c r="E272" s="301">
        <f>NhanCong!Q$119</f>
        <v>23371.634000000005</v>
      </c>
      <c r="F272" s="301"/>
      <c r="G272" s="320">
        <f>Dcu!O$154</f>
        <v>27.794304102564105</v>
      </c>
      <c r="H272" s="320">
        <f>VLieu!M$94</f>
        <v>20759.2</v>
      </c>
      <c r="I272" s="320"/>
      <c r="J272" s="320"/>
      <c r="K272" s="320">
        <f t="shared" si="80"/>
        <v>44158.628304102574</v>
      </c>
      <c r="L272" s="320">
        <f t="shared" si="81"/>
        <v>6623.794245615386</v>
      </c>
      <c r="M272" s="321">
        <f t="shared" si="82"/>
        <v>50782.422549717958</v>
      </c>
      <c r="N272" s="320"/>
      <c r="O272" s="320">
        <f>NhanCong!R$119</f>
        <v>661.69230769230762</v>
      </c>
    </row>
    <row r="273" spans="1:15">
      <c r="A273" s="298" t="s">
        <v>30</v>
      </c>
      <c r="B273" s="316" t="s">
        <v>47</v>
      </c>
      <c r="C273" s="300"/>
      <c r="D273" s="300"/>
      <c r="E273" s="301"/>
      <c r="F273" s="301"/>
      <c r="G273" s="301"/>
      <c r="H273" s="301"/>
      <c r="I273" s="301"/>
      <c r="J273" s="301"/>
      <c r="K273" s="301"/>
      <c r="L273" s="301"/>
      <c r="M273" s="809">
        <v>100</v>
      </c>
      <c r="N273" s="325" t="s">
        <v>21</v>
      </c>
      <c r="O273" s="301"/>
    </row>
    <row r="274" spans="1:15" s="308" customFormat="1" ht="13.5" customHeight="1">
      <c r="A274" s="1036"/>
      <c r="B274" s="1035" t="s">
        <v>190</v>
      </c>
      <c r="C274" s="1036" t="s">
        <v>21</v>
      </c>
      <c r="D274" s="298">
        <v>1</v>
      </c>
      <c r="E274" s="301">
        <f t="shared" ref="E274:H278" si="83">SUM(E$308,E309,E314,E319,E324,E329)</f>
        <v>1030883.9832500002</v>
      </c>
      <c r="F274" s="301">
        <f t="shared" si="83"/>
        <v>109754.1923076923</v>
      </c>
      <c r="G274" s="301">
        <f t="shared" si="83"/>
        <v>8279.0125747863221</v>
      </c>
      <c r="H274" s="301">
        <f t="shared" si="83"/>
        <v>17580.565000000002</v>
      </c>
      <c r="I274" s="301"/>
      <c r="J274" s="301">
        <f>SUM(J$308,J309,J314,J319,J324,J329)</f>
        <v>22.037399999999998</v>
      </c>
      <c r="K274" s="301">
        <f t="shared" ref="K274:K283" si="84">SUM(E274:J274)</f>
        <v>1166519.7905324788</v>
      </c>
      <c r="L274" s="301">
        <f>K274*0.25</f>
        <v>291629.94763311971</v>
      </c>
      <c r="M274" s="315">
        <f t="shared" ref="M274:M283" si="85">K274+L274</f>
        <v>1458149.7381655986</v>
      </c>
      <c r="N274" s="301">
        <f>M274+M279</f>
        <v>1883639.0499317367</v>
      </c>
      <c r="O274" s="301">
        <f>SUM(O$308,O309,O314,O319,O324,O329)</f>
        <v>29109.596153846152</v>
      </c>
    </row>
    <row r="275" spans="1:15" s="308" customFormat="1" ht="15" customHeight="1">
      <c r="A275" s="1036"/>
      <c r="B275" s="1035"/>
      <c r="C275" s="1036"/>
      <c r="D275" s="298">
        <v>2</v>
      </c>
      <c r="E275" s="301">
        <f t="shared" si="83"/>
        <v>1208018.6284375002</v>
      </c>
      <c r="F275" s="301">
        <f t="shared" si="83"/>
        <v>129656.57692307692</v>
      </c>
      <c r="G275" s="301">
        <f t="shared" si="83"/>
        <v>9711.073488247861</v>
      </c>
      <c r="H275" s="301">
        <f t="shared" si="83"/>
        <v>17580.565000000002</v>
      </c>
      <c r="I275" s="301"/>
      <c r="J275" s="301">
        <f>SUM(J$308,J310,J315,J320,J325,J330)</f>
        <v>22.037399999999998</v>
      </c>
      <c r="K275" s="301">
        <f t="shared" si="84"/>
        <v>1364988.881248825</v>
      </c>
      <c r="L275" s="301">
        <f>K275*0.25</f>
        <v>341247.22031220625</v>
      </c>
      <c r="M275" s="315">
        <f t="shared" si="85"/>
        <v>1706236.1015610313</v>
      </c>
      <c r="N275" s="301">
        <f>M275+M280</f>
        <v>2161754.3139113393</v>
      </c>
      <c r="O275" s="301">
        <f t="shared" ref="O275:O278" si="86">SUM(O$308,O310,O315,O320,O325,O330)</f>
        <v>34124.591346153844</v>
      </c>
    </row>
    <row r="276" spans="1:15" s="308" customFormat="1" ht="15" customHeight="1">
      <c r="A276" s="1036"/>
      <c r="B276" s="1035"/>
      <c r="C276" s="1036"/>
      <c r="D276" s="298">
        <v>3</v>
      </c>
      <c r="E276" s="301">
        <f t="shared" si="83"/>
        <v>1437524.6373125003</v>
      </c>
      <c r="F276" s="301">
        <f t="shared" si="83"/>
        <v>160674.46153846153</v>
      </c>
      <c r="G276" s="301">
        <f t="shared" si="83"/>
        <v>11143.1344017094</v>
      </c>
      <c r="H276" s="301">
        <f t="shared" si="83"/>
        <v>17580.565000000002</v>
      </c>
      <c r="I276" s="301"/>
      <c r="J276" s="301">
        <f>SUM(J$308,J311,J316,J321,J326,J331)</f>
        <v>22.037399999999998</v>
      </c>
      <c r="K276" s="301">
        <f t="shared" si="84"/>
        <v>1626944.8356526711</v>
      </c>
      <c r="L276" s="301">
        <f>K276*0.25</f>
        <v>406736.20891316776</v>
      </c>
      <c r="M276" s="315">
        <f t="shared" si="85"/>
        <v>2033681.0445658388</v>
      </c>
      <c r="N276" s="301">
        <f>M276+M281</f>
        <v>2525396.9861667887</v>
      </c>
      <c r="O276" s="301">
        <f t="shared" si="86"/>
        <v>40622.312499999993</v>
      </c>
    </row>
    <row r="277" spans="1:15" s="308" customFormat="1" ht="15" customHeight="1">
      <c r="A277" s="1036"/>
      <c r="B277" s="1035"/>
      <c r="C277" s="1036"/>
      <c r="D277" s="298">
        <v>4</v>
      </c>
      <c r="E277" s="301">
        <f t="shared" si="83"/>
        <v>1862811.0435000004</v>
      </c>
      <c r="F277" s="301">
        <f t="shared" si="83"/>
        <v>229896.19230769231</v>
      </c>
      <c r="G277" s="301">
        <f t="shared" si="83"/>
        <v>14007.256228632479</v>
      </c>
      <c r="H277" s="301">
        <f t="shared" si="83"/>
        <v>17580.565000000002</v>
      </c>
      <c r="I277" s="301"/>
      <c r="J277" s="301">
        <f>SUM(J$308,J312,J317,J322,J327,J332)</f>
        <v>22.037399999999998</v>
      </c>
      <c r="K277" s="301">
        <f t="shared" si="84"/>
        <v>2124317.0944363247</v>
      </c>
      <c r="L277" s="301">
        <f>K277*0.25</f>
        <v>531079.27360908117</v>
      </c>
      <c r="M277" s="315">
        <f t="shared" si="85"/>
        <v>2655396.368045406</v>
      </c>
      <c r="N277" s="301">
        <f>M277+M282</f>
        <v>3104174.000444978</v>
      </c>
      <c r="O277" s="301">
        <f t="shared" si="86"/>
        <v>52662.923076923071</v>
      </c>
    </row>
    <row r="278" spans="1:15" s="308" customFormat="1" ht="15" customHeight="1">
      <c r="A278" s="1036"/>
      <c r="B278" s="1035"/>
      <c r="C278" s="1036"/>
      <c r="D278" s="298">
        <v>5</v>
      </c>
      <c r="E278" s="301">
        <f t="shared" si="83"/>
        <v>2434771.6380625004</v>
      </c>
      <c r="F278" s="301">
        <f t="shared" si="83"/>
        <v>309578.5</v>
      </c>
      <c r="G278" s="301">
        <f t="shared" si="83"/>
        <v>17826.085331196577</v>
      </c>
      <c r="H278" s="301">
        <f t="shared" si="83"/>
        <v>17580.565000000002</v>
      </c>
      <c r="I278" s="301"/>
      <c r="J278" s="301">
        <f>SUM(J$308,J313,J318,J323,J328,J333)</f>
        <v>22.037399999999998</v>
      </c>
      <c r="K278" s="301">
        <f t="shared" si="84"/>
        <v>2779778.8257936966</v>
      </c>
      <c r="L278" s="301">
        <f>K278*0.25</f>
        <v>694944.70644842414</v>
      </c>
      <c r="M278" s="315">
        <f t="shared" si="85"/>
        <v>3474723.5322421207</v>
      </c>
      <c r="N278" s="301">
        <f>M278+M283</f>
        <v>3966965.0283280709</v>
      </c>
      <c r="O278" s="301">
        <f t="shared" si="86"/>
        <v>68856.139423076922</v>
      </c>
    </row>
    <row r="279" spans="1:15" s="308" customFormat="1" ht="13.5" customHeight="1">
      <c r="A279" s="1036"/>
      <c r="B279" s="1035" t="s">
        <v>192</v>
      </c>
      <c r="C279" s="1036" t="s">
        <v>21</v>
      </c>
      <c r="D279" s="298">
        <v>1</v>
      </c>
      <c r="E279" s="301">
        <f t="shared" ref="E279:H283" si="87">(E335+SUM(E$340:E$345))</f>
        <v>289842.63165000005</v>
      </c>
      <c r="F279" s="301">
        <f t="shared" si="87"/>
        <v>0</v>
      </c>
      <c r="G279" s="301">
        <f t="shared" si="87"/>
        <v>2349.9168335982904</v>
      </c>
      <c r="H279" s="301">
        <f t="shared" si="87"/>
        <v>68605</v>
      </c>
      <c r="I279" s="301"/>
      <c r="J279" s="301">
        <f>(J335+SUM(J$340:J$345))</f>
        <v>9193.1574000000001</v>
      </c>
      <c r="K279" s="301">
        <f t="shared" si="84"/>
        <v>369990.70588359836</v>
      </c>
      <c r="L279" s="301">
        <f>K279*0.15</f>
        <v>55498.605882539756</v>
      </c>
      <c r="M279" s="315">
        <f t="shared" si="85"/>
        <v>425489.31176613813</v>
      </c>
      <c r="N279" s="301"/>
      <c r="O279" s="301">
        <f>(O335+SUM(O$340:O$345))</f>
        <v>8205.9576923076929</v>
      </c>
    </row>
    <row r="280" spans="1:15" s="308" customFormat="1" ht="15" customHeight="1">
      <c r="A280" s="1036"/>
      <c r="B280" s="1035"/>
      <c r="C280" s="1036"/>
      <c r="D280" s="298">
        <v>2</v>
      </c>
      <c r="E280" s="301">
        <f t="shared" si="87"/>
        <v>314657.80775000004</v>
      </c>
      <c r="F280" s="301">
        <f t="shared" si="87"/>
        <v>0</v>
      </c>
      <c r="G280" s="301">
        <f t="shared" si="87"/>
        <v>2505.780598094017</v>
      </c>
      <c r="H280" s="301">
        <f t="shared" si="87"/>
        <v>68605</v>
      </c>
      <c r="I280" s="301"/>
      <c r="J280" s="301">
        <f>(J336+SUM(J$340:J$345))</f>
        <v>10334.205</v>
      </c>
      <c r="K280" s="301">
        <f t="shared" si="84"/>
        <v>396102.79334809404</v>
      </c>
      <c r="L280" s="301">
        <f>K280*0.15</f>
        <v>59415.419002214105</v>
      </c>
      <c r="M280" s="315">
        <f t="shared" si="85"/>
        <v>455518.21235030814</v>
      </c>
      <c r="N280" s="301"/>
      <c r="O280" s="301">
        <f>(O336+SUM(O$340:O$345))</f>
        <v>8908.5192307692305</v>
      </c>
    </row>
    <row r="281" spans="1:15" s="308" customFormat="1" ht="15" customHeight="1">
      <c r="A281" s="1036"/>
      <c r="B281" s="1035"/>
      <c r="C281" s="1036"/>
      <c r="D281" s="298">
        <v>3</v>
      </c>
      <c r="E281" s="301">
        <f t="shared" si="87"/>
        <v>344491.01115000003</v>
      </c>
      <c r="F281" s="301">
        <f t="shared" si="87"/>
        <v>0</v>
      </c>
      <c r="G281" s="301">
        <f t="shared" si="87"/>
        <v>2716.6551030000001</v>
      </c>
      <c r="H281" s="301">
        <f t="shared" si="87"/>
        <v>68605</v>
      </c>
      <c r="I281" s="301"/>
      <c r="J281" s="301">
        <f>(J337+SUM(J$340:J$345))</f>
        <v>11766.413400000001</v>
      </c>
      <c r="K281" s="301">
        <f t="shared" si="84"/>
        <v>427579.07965300005</v>
      </c>
      <c r="L281" s="301">
        <f>K281*0.15</f>
        <v>64136.861947950005</v>
      </c>
      <c r="M281" s="315">
        <f t="shared" si="85"/>
        <v>491715.94160095009</v>
      </c>
      <c r="N281" s="301"/>
      <c r="O281" s="301">
        <f>(O337+SUM(O$340:O$345))</f>
        <v>9753.1500000000015</v>
      </c>
    </row>
    <row r="282" spans="1:15" s="308" customFormat="1" ht="15" customHeight="1">
      <c r="A282" s="1036"/>
      <c r="B282" s="1035"/>
      <c r="C282" s="1036"/>
      <c r="D282" s="298">
        <v>4</v>
      </c>
      <c r="E282" s="301">
        <f t="shared" si="87"/>
        <v>308952.37945000001</v>
      </c>
      <c r="F282" s="301">
        <f t="shared" si="87"/>
        <v>0</v>
      </c>
      <c r="G282" s="301">
        <f t="shared" si="87"/>
        <v>2478.2752278888888</v>
      </c>
      <c r="H282" s="301">
        <f t="shared" si="87"/>
        <v>68605</v>
      </c>
      <c r="I282" s="301"/>
      <c r="J282" s="301">
        <f>(J338+SUM(J$340:J$345))</f>
        <v>10205.764800000001</v>
      </c>
      <c r="K282" s="301">
        <f t="shared" si="84"/>
        <v>390241.41947788891</v>
      </c>
      <c r="L282" s="301">
        <f>K282*0.15</f>
        <v>58536.212921683335</v>
      </c>
      <c r="M282" s="315">
        <f t="shared" si="85"/>
        <v>448777.63239957223</v>
      </c>
      <c r="N282" s="301"/>
      <c r="O282" s="301">
        <f>(O338+SUM(O$340:O$345))</f>
        <v>8746.9884615384617</v>
      </c>
    </row>
    <row r="283" spans="1:15" s="308" customFormat="1" ht="15" customHeight="1">
      <c r="A283" s="1036"/>
      <c r="B283" s="1035"/>
      <c r="C283" s="1036"/>
      <c r="D283" s="298">
        <v>5</v>
      </c>
      <c r="E283" s="301">
        <f t="shared" si="87"/>
        <v>344834.71165000007</v>
      </c>
      <c r="F283" s="301">
        <f t="shared" si="87"/>
        <v>0</v>
      </c>
      <c r="G283" s="301">
        <f t="shared" si="87"/>
        <v>2716.6551030000001</v>
      </c>
      <c r="H283" s="301">
        <f t="shared" si="87"/>
        <v>68605</v>
      </c>
      <c r="I283" s="301"/>
      <c r="J283" s="301">
        <f>(J339+SUM(J$340:J$345))</f>
        <v>11879.716799999998</v>
      </c>
      <c r="K283" s="301">
        <f t="shared" si="84"/>
        <v>428036.08355300006</v>
      </c>
      <c r="L283" s="301">
        <f>K283*0.15</f>
        <v>64205.412532950009</v>
      </c>
      <c r="M283" s="315">
        <f t="shared" si="85"/>
        <v>492241.49608595006</v>
      </c>
      <c r="N283" s="301"/>
      <c r="O283" s="301">
        <f>(O339+SUM(O$340:O$345))</f>
        <v>9762.880769230771</v>
      </c>
    </row>
    <row r="284" spans="1:15">
      <c r="A284" s="298"/>
      <c r="B284" s="314" t="s">
        <v>322</v>
      </c>
      <c r="C284" s="300"/>
      <c r="D284" s="300"/>
      <c r="E284" s="301"/>
      <c r="F284" s="301"/>
      <c r="G284" s="301"/>
      <c r="H284" s="301"/>
      <c r="I284" s="301"/>
      <c r="J284" s="301"/>
      <c r="K284" s="301"/>
      <c r="L284" s="301"/>
      <c r="M284" s="315"/>
      <c r="N284" s="301"/>
      <c r="O284" s="301"/>
    </row>
    <row r="285" spans="1:15">
      <c r="A285" s="298" t="s">
        <v>323</v>
      </c>
      <c r="B285" s="314" t="s">
        <v>324</v>
      </c>
      <c r="C285" s="300"/>
      <c r="D285" s="300"/>
      <c r="E285" s="301"/>
      <c r="F285" s="301"/>
      <c r="G285" s="301"/>
      <c r="H285" s="301"/>
      <c r="I285" s="301"/>
      <c r="J285" s="301"/>
      <c r="K285" s="301"/>
      <c r="L285" s="301"/>
      <c r="M285" s="315"/>
      <c r="N285" s="301"/>
      <c r="O285" s="301"/>
    </row>
    <row r="286" spans="1:15" s="308" customFormat="1" ht="13.5" customHeight="1">
      <c r="A286" s="1036"/>
      <c r="B286" s="1035" t="s">
        <v>190</v>
      </c>
      <c r="C286" s="1036" t="s">
        <v>21</v>
      </c>
      <c r="D286" s="298">
        <v>1</v>
      </c>
      <c r="E286" s="301">
        <f t="shared" ref="E286:F295" si="88">E274*0.1</f>
        <v>103088.39832500002</v>
      </c>
      <c r="F286" s="301">
        <f t="shared" si="88"/>
        <v>10975.41923076923</v>
      </c>
      <c r="G286" s="301">
        <f>G319*0.1/$M$273</f>
        <v>2.7931078792735038</v>
      </c>
      <c r="H286" s="301">
        <f t="shared" ref="H286:I290" si="89">H274*0.1</f>
        <v>1758.0565000000004</v>
      </c>
      <c r="I286" s="301">
        <f t="shared" si="89"/>
        <v>0</v>
      </c>
      <c r="J286" s="301">
        <f>J319*0.1/$M$273</f>
        <v>0</v>
      </c>
      <c r="K286" s="301">
        <f t="shared" ref="K286:K295" si="90">SUM(E286:J286)</f>
        <v>115824.66716364853</v>
      </c>
      <c r="L286" s="301">
        <f>K286*0.25</f>
        <v>28956.166790912132</v>
      </c>
      <c r="M286" s="315">
        <f t="shared" ref="M286:M295" si="91">K286+L286</f>
        <v>144780.83395456066</v>
      </c>
      <c r="N286" s="301">
        <f>M286+M291</f>
        <v>178137.23976782538</v>
      </c>
      <c r="O286" s="301">
        <f t="shared" ref="O286:O295" si="92">O274*0.1</f>
        <v>2910.9596153846155</v>
      </c>
    </row>
    <row r="287" spans="1:15" s="308" customFormat="1" ht="15" customHeight="1">
      <c r="A287" s="1036"/>
      <c r="B287" s="1035"/>
      <c r="C287" s="1036"/>
      <c r="D287" s="298">
        <v>2</v>
      </c>
      <c r="E287" s="301">
        <f t="shared" si="88"/>
        <v>120801.86284375003</v>
      </c>
      <c r="F287" s="301">
        <f t="shared" si="88"/>
        <v>12965.657692307694</v>
      </c>
      <c r="G287" s="301">
        <f>G320*0.1/$M$273</f>
        <v>3.391630996260683</v>
      </c>
      <c r="H287" s="301">
        <f t="shared" si="89"/>
        <v>1758.0565000000004</v>
      </c>
      <c r="I287" s="301">
        <f t="shared" si="89"/>
        <v>0</v>
      </c>
      <c r="J287" s="301">
        <f>J320*0.1/$M$273</f>
        <v>0</v>
      </c>
      <c r="K287" s="301">
        <f t="shared" si="90"/>
        <v>135528.96866705397</v>
      </c>
      <c r="L287" s="301">
        <f>K287*0.25</f>
        <v>33882.242166763492</v>
      </c>
      <c r="M287" s="315">
        <f t="shared" si="91"/>
        <v>169411.21083381746</v>
      </c>
      <c r="N287" s="301">
        <f>M287+M292</f>
        <v>205621.54114191135</v>
      </c>
      <c r="O287" s="301">
        <f t="shared" si="92"/>
        <v>3412.4591346153848</v>
      </c>
    </row>
    <row r="288" spans="1:15" s="308" customFormat="1" ht="15" customHeight="1">
      <c r="A288" s="1036"/>
      <c r="B288" s="1035"/>
      <c r="C288" s="1036"/>
      <c r="D288" s="298">
        <v>3</v>
      </c>
      <c r="E288" s="301">
        <f t="shared" si="88"/>
        <v>143752.46373125003</v>
      </c>
      <c r="F288" s="301">
        <f t="shared" si="88"/>
        <v>16067.446153846155</v>
      </c>
      <c r="G288" s="301">
        <f>G321*0.1/$M$273</f>
        <v>3.9901541132478626</v>
      </c>
      <c r="H288" s="301">
        <f t="shared" si="89"/>
        <v>1758.0565000000004</v>
      </c>
      <c r="I288" s="301">
        <f t="shared" si="89"/>
        <v>0</v>
      </c>
      <c r="J288" s="301">
        <f>J321*0.1/$M$273</f>
        <v>0</v>
      </c>
      <c r="K288" s="301">
        <f t="shared" si="90"/>
        <v>161581.95653920944</v>
      </c>
      <c r="L288" s="301">
        <f>K288*0.25</f>
        <v>40395.489134802359</v>
      </c>
      <c r="M288" s="315">
        <f t="shared" si="91"/>
        <v>201977.4456740118</v>
      </c>
      <c r="N288" s="301">
        <f>M288+M293</f>
        <v>241618.83687878633</v>
      </c>
      <c r="O288" s="301">
        <f t="shared" si="92"/>
        <v>4062.2312499999994</v>
      </c>
    </row>
    <row r="289" spans="1:15" s="308" customFormat="1" ht="15" customHeight="1">
      <c r="A289" s="1036"/>
      <c r="B289" s="1035"/>
      <c r="C289" s="1036"/>
      <c r="D289" s="298">
        <v>4</v>
      </c>
      <c r="E289" s="301">
        <f t="shared" si="88"/>
        <v>186281.10435000004</v>
      </c>
      <c r="F289" s="301">
        <f t="shared" si="88"/>
        <v>22989.619230769233</v>
      </c>
      <c r="G289" s="301">
        <f>G322*0.1/$M$273</f>
        <v>5.1872003472222215</v>
      </c>
      <c r="H289" s="301">
        <f t="shared" si="89"/>
        <v>1758.0565000000004</v>
      </c>
      <c r="I289" s="301">
        <f t="shared" si="89"/>
        <v>0</v>
      </c>
      <c r="J289" s="301">
        <f>J322*0.1/$M$273</f>
        <v>0</v>
      </c>
      <c r="K289" s="301">
        <f t="shared" si="90"/>
        <v>211033.96728111649</v>
      </c>
      <c r="L289" s="301">
        <f>K289*0.25</f>
        <v>52758.491820279123</v>
      </c>
      <c r="M289" s="315">
        <f t="shared" si="91"/>
        <v>263792.45910139562</v>
      </c>
      <c r="N289" s="301">
        <f>M289+M294</f>
        <v>299346.6335238138</v>
      </c>
      <c r="O289" s="301">
        <f t="shared" si="92"/>
        <v>5266.2923076923071</v>
      </c>
    </row>
    <row r="290" spans="1:15" s="308" customFormat="1" ht="15" customHeight="1">
      <c r="A290" s="1036"/>
      <c r="B290" s="1035"/>
      <c r="C290" s="1036"/>
      <c r="D290" s="298">
        <v>5</v>
      </c>
      <c r="E290" s="301">
        <f t="shared" si="88"/>
        <v>243477.16380625006</v>
      </c>
      <c r="F290" s="301">
        <f t="shared" si="88"/>
        <v>30957.850000000002</v>
      </c>
      <c r="G290" s="301">
        <f>G323*0.1/$M$273</f>
        <v>6.783261992521366</v>
      </c>
      <c r="H290" s="301">
        <f t="shared" si="89"/>
        <v>1758.0565000000004</v>
      </c>
      <c r="I290" s="301">
        <f t="shared" si="89"/>
        <v>0</v>
      </c>
      <c r="J290" s="301">
        <f>J323*0.1/$M$273</f>
        <v>0</v>
      </c>
      <c r="K290" s="301">
        <f t="shared" si="90"/>
        <v>276199.85356824257</v>
      </c>
      <c r="L290" s="301">
        <f>K290*0.25</f>
        <v>69049.963392060643</v>
      </c>
      <c r="M290" s="315">
        <f t="shared" si="91"/>
        <v>345249.81696030323</v>
      </c>
      <c r="N290" s="301">
        <f>M290+M295</f>
        <v>384930.7337225778</v>
      </c>
      <c r="O290" s="301">
        <f t="shared" si="92"/>
        <v>6885.6139423076929</v>
      </c>
    </row>
    <row r="291" spans="1:15" s="308" customFormat="1" ht="13.5" customHeight="1">
      <c r="A291" s="1036"/>
      <c r="B291" s="1035" t="s">
        <v>192</v>
      </c>
      <c r="C291" s="1036" t="s">
        <v>21</v>
      </c>
      <c r="D291" s="298">
        <v>1</v>
      </c>
      <c r="E291" s="301">
        <f t="shared" si="88"/>
        <v>28984.263165000008</v>
      </c>
      <c r="F291" s="301">
        <f t="shared" si="88"/>
        <v>0</v>
      </c>
      <c r="G291" s="329">
        <f t="shared" ref="G291:H295" si="93">G335*0.1/$M$273</f>
        <v>0.55010740410256398</v>
      </c>
      <c r="H291" s="329">
        <f t="shared" si="93"/>
        <v>20.757000000000001</v>
      </c>
      <c r="I291" s="301"/>
      <c r="J291" s="301"/>
      <c r="K291" s="301">
        <f t="shared" si="90"/>
        <v>29005.570272404111</v>
      </c>
      <c r="L291" s="301">
        <f>K291*0.15</f>
        <v>4350.8355408606167</v>
      </c>
      <c r="M291" s="315">
        <f t="shared" si="91"/>
        <v>33356.405813264726</v>
      </c>
      <c r="N291" s="301"/>
      <c r="O291" s="301">
        <f t="shared" si="92"/>
        <v>820.59576923076929</v>
      </c>
    </row>
    <row r="292" spans="1:15" s="308" customFormat="1" ht="15" customHeight="1">
      <c r="A292" s="1036"/>
      <c r="B292" s="1035"/>
      <c r="C292" s="1036"/>
      <c r="D292" s="298">
        <v>2</v>
      </c>
      <c r="E292" s="301">
        <f t="shared" si="88"/>
        <v>31465.780775000007</v>
      </c>
      <c r="F292" s="301">
        <f t="shared" si="88"/>
        <v>0</v>
      </c>
      <c r="G292" s="329">
        <f t="shared" si="93"/>
        <v>0.70597116859829057</v>
      </c>
      <c r="H292" s="329">
        <f t="shared" si="93"/>
        <v>20.757000000000001</v>
      </c>
      <c r="I292" s="301"/>
      <c r="J292" s="301"/>
      <c r="K292" s="301">
        <f t="shared" si="90"/>
        <v>31487.243746168606</v>
      </c>
      <c r="L292" s="301">
        <f>K292*0.15</f>
        <v>4723.0865619252909</v>
      </c>
      <c r="M292" s="315">
        <f t="shared" si="91"/>
        <v>36210.330308093893</v>
      </c>
      <c r="N292" s="301"/>
      <c r="O292" s="301">
        <f t="shared" si="92"/>
        <v>890.85192307692307</v>
      </c>
    </row>
    <row r="293" spans="1:15" s="308" customFormat="1" ht="15" customHeight="1">
      <c r="A293" s="1036"/>
      <c r="B293" s="1035"/>
      <c r="C293" s="1036"/>
      <c r="D293" s="298">
        <v>3</v>
      </c>
      <c r="E293" s="301">
        <f t="shared" si="88"/>
        <v>34449.101115000005</v>
      </c>
      <c r="F293" s="301">
        <f t="shared" si="88"/>
        <v>0</v>
      </c>
      <c r="G293" s="329">
        <f t="shared" si="93"/>
        <v>0.9168456735042736</v>
      </c>
      <c r="H293" s="329">
        <f t="shared" si="93"/>
        <v>20.757000000000001</v>
      </c>
      <c r="I293" s="301"/>
      <c r="J293" s="301"/>
      <c r="K293" s="301">
        <f t="shared" si="90"/>
        <v>34470.774960673509</v>
      </c>
      <c r="L293" s="301">
        <f>K293*0.15</f>
        <v>5170.6162441010265</v>
      </c>
      <c r="M293" s="315">
        <f t="shared" si="91"/>
        <v>39641.391204774533</v>
      </c>
      <c r="N293" s="301"/>
      <c r="O293" s="301">
        <f t="shared" si="92"/>
        <v>975.31500000000017</v>
      </c>
    </row>
    <row r="294" spans="1:15" s="308" customFormat="1" ht="15" customHeight="1">
      <c r="A294" s="1036"/>
      <c r="B294" s="1035"/>
      <c r="C294" s="1036"/>
      <c r="D294" s="298">
        <v>4</v>
      </c>
      <c r="E294" s="301">
        <f t="shared" si="88"/>
        <v>30895.237945000001</v>
      </c>
      <c r="F294" s="301">
        <f t="shared" si="88"/>
        <v>0</v>
      </c>
      <c r="G294" s="329">
        <f t="shared" si="93"/>
        <v>0.67846579839316234</v>
      </c>
      <c r="H294" s="329">
        <f t="shared" si="93"/>
        <v>20.757000000000001</v>
      </c>
      <c r="I294" s="301"/>
      <c r="J294" s="301"/>
      <c r="K294" s="301">
        <f t="shared" si="90"/>
        <v>30916.673410798394</v>
      </c>
      <c r="L294" s="301">
        <f>K294*0.15</f>
        <v>4637.5010116197591</v>
      </c>
      <c r="M294" s="315">
        <f t="shared" si="91"/>
        <v>35554.174422418153</v>
      </c>
      <c r="N294" s="301"/>
      <c r="O294" s="301">
        <f t="shared" si="92"/>
        <v>874.69884615384626</v>
      </c>
    </row>
    <row r="295" spans="1:15" s="308" customFormat="1" ht="15" customHeight="1">
      <c r="A295" s="1036"/>
      <c r="B295" s="1035"/>
      <c r="C295" s="1036"/>
      <c r="D295" s="298">
        <v>5</v>
      </c>
      <c r="E295" s="301">
        <f t="shared" si="88"/>
        <v>34483.47116500001</v>
      </c>
      <c r="F295" s="301">
        <f t="shared" si="88"/>
        <v>0</v>
      </c>
      <c r="G295" s="329">
        <f t="shared" si="93"/>
        <v>0.9168456735042736</v>
      </c>
      <c r="H295" s="329">
        <f t="shared" si="93"/>
        <v>20.757000000000001</v>
      </c>
      <c r="I295" s="301"/>
      <c r="J295" s="301"/>
      <c r="K295" s="301">
        <f t="shared" si="90"/>
        <v>34505.145010673514</v>
      </c>
      <c r="L295" s="301">
        <f>K295*0.15</f>
        <v>5175.7717516010271</v>
      </c>
      <c r="M295" s="315">
        <f t="shared" si="91"/>
        <v>39680.916762274544</v>
      </c>
      <c r="N295" s="301"/>
      <c r="O295" s="301">
        <f t="shared" si="92"/>
        <v>976.28807692307714</v>
      </c>
    </row>
    <row r="296" spans="1:15">
      <c r="A296" s="298" t="s">
        <v>494</v>
      </c>
      <c r="B296" s="314" t="s">
        <v>326</v>
      </c>
      <c r="C296" s="300"/>
      <c r="D296" s="300"/>
      <c r="E296" s="301"/>
      <c r="F296" s="301"/>
      <c r="G296" s="301"/>
      <c r="H296" s="301"/>
      <c r="I296" s="301"/>
      <c r="J296" s="301"/>
      <c r="K296" s="301"/>
      <c r="L296" s="301"/>
      <c r="M296" s="315"/>
      <c r="N296" s="301"/>
      <c r="O296" s="301"/>
    </row>
    <row r="297" spans="1:15" s="308" customFormat="1" ht="13.5" customHeight="1">
      <c r="A297" s="1036"/>
      <c r="B297" s="1035" t="s">
        <v>190</v>
      </c>
      <c r="C297" s="1036" t="s">
        <v>21</v>
      </c>
      <c r="D297" s="298">
        <v>1</v>
      </c>
      <c r="E297" s="301">
        <f t="shared" ref="E297:F301" si="94">E274*1.15</f>
        <v>1185516.5807375</v>
      </c>
      <c r="F297" s="301">
        <f t="shared" si="94"/>
        <v>126217.32115384613</v>
      </c>
      <c r="G297" s="301">
        <f t="shared" ref="G297:J306" si="95">G274</f>
        <v>8279.0125747863221</v>
      </c>
      <c r="H297" s="301">
        <f t="shared" si="95"/>
        <v>17580.565000000002</v>
      </c>
      <c r="I297" s="301">
        <f t="shared" si="95"/>
        <v>0</v>
      </c>
      <c r="J297" s="301">
        <f t="shared" si="95"/>
        <v>22.037399999999998</v>
      </c>
      <c r="K297" s="301">
        <f t="shared" ref="K297:K306" si="96">SUM(E297:J297)</f>
        <v>1337615.5168661324</v>
      </c>
      <c r="L297" s="301">
        <f>K297*0.25</f>
        <v>334403.8792165331</v>
      </c>
      <c r="M297" s="315">
        <f t="shared" ref="M297:M306" si="97">K297+L297</f>
        <v>1672019.3960826655</v>
      </c>
      <c r="N297" s="301">
        <f>M297+M302</f>
        <v>2130840.6104885535</v>
      </c>
      <c r="O297" s="301">
        <f>O274*1.15</f>
        <v>33476.035576923074</v>
      </c>
    </row>
    <row r="298" spans="1:15" s="308" customFormat="1" ht="15" customHeight="1">
      <c r="A298" s="1036"/>
      <c r="B298" s="1035"/>
      <c r="C298" s="1036"/>
      <c r="D298" s="298">
        <v>2</v>
      </c>
      <c r="E298" s="301">
        <f t="shared" si="94"/>
        <v>1389221.422703125</v>
      </c>
      <c r="F298" s="301">
        <f t="shared" si="94"/>
        <v>149105.06346153846</v>
      </c>
      <c r="G298" s="301">
        <f t="shared" si="95"/>
        <v>9711.073488247861</v>
      </c>
      <c r="H298" s="301">
        <f t="shared" si="95"/>
        <v>17580.565000000002</v>
      </c>
      <c r="I298" s="301">
        <f t="shared" si="95"/>
        <v>0</v>
      </c>
      <c r="J298" s="301">
        <f t="shared" si="95"/>
        <v>22.037399999999998</v>
      </c>
      <c r="K298" s="301">
        <f t="shared" si="96"/>
        <v>1565640.1620529112</v>
      </c>
      <c r="L298" s="301">
        <f>K298*0.25</f>
        <v>391410.04051322781</v>
      </c>
      <c r="M298" s="315">
        <f t="shared" si="97"/>
        <v>1957050.2025661389</v>
      </c>
      <c r="N298" s="301">
        <f>M298+M303</f>
        <v>2448754.0628076969</v>
      </c>
      <c r="O298" s="301">
        <f>O275*1.15</f>
        <v>39243.280048076915</v>
      </c>
    </row>
    <row r="299" spans="1:15" s="308" customFormat="1" ht="15" customHeight="1">
      <c r="A299" s="1036"/>
      <c r="B299" s="1035"/>
      <c r="C299" s="1036"/>
      <c r="D299" s="298">
        <v>3</v>
      </c>
      <c r="E299" s="301">
        <f t="shared" si="94"/>
        <v>1653153.3329093752</v>
      </c>
      <c r="F299" s="301">
        <f t="shared" si="94"/>
        <v>184775.63076923075</v>
      </c>
      <c r="G299" s="301">
        <f t="shared" si="95"/>
        <v>11143.1344017094</v>
      </c>
      <c r="H299" s="301">
        <f t="shared" si="95"/>
        <v>17580.565000000002</v>
      </c>
      <c r="I299" s="301">
        <f t="shared" si="95"/>
        <v>0</v>
      </c>
      <c r="J299" s="301">
        <f t="shared" si="95"/>
        <v>22.037399999999998</v>
      </c>
      <c r="K299" s="301">
        <f t="shared" si="96"/>
        <v>1866674.7004803151</v>
      </c>
      <c r="L299" s="301">
        <f>K299*0.25</f>
        <v>466668.67512007878</v>
      </c>
      <c r="M299" s="315">
        <f t="shared" si="97"/>
        <v>2333343.3756003939</v>
      </c>
      <c r="N299" s="301">
        <f>M299+M304</f>
        <v>2864675.7834835937</v>
      </c>
      <c r="O299" s="301">
        <f>O276*1.15</f>
        <v>46715.659374999988</v>
      </c>
    </row>
    <row r="300" spans="1:15" s="308" customFormat="1" ht="15" customHeight="1">
      <c r="A300" s="1036"/>
      <c r="B300" s="1035"/>
      <c r="C300" s="1036"/>
      <c r="D300" s="298">
        <v>4</v>
      </c>
      <c r="E300" s="301">
        <f t="shared" si="94"/>
        <v>2142232.7000250001</v>
      </c>
      <c r="F300" s="301">
        <f t="shared" si="94"/>
        <v>264380.62115384615</v>
      </c>
      <c r="G300" s="301">
        <f t="shared" si="95"/>
        <v>14007.256228632479</v>
      </c>
      <c r="H300" s="301">
        <f t="shared" si="95"/>
        <v>17580.565000000002</v>
      </c>
      <c r="I300" s="301">
        <f t="shared" si="95"/>
        <v>0</v>
      </c>
      <c r="J300" s="301">
        <f t="shared" si="95"/>
        <v>22.037399999999998</v>
      </c>
      <c r="K300" s="301">
        <f t="shared" si="96"/>
        <v>2438223.1798074781</v>
      </c>
      <c r="L300" s="301">
        <f>K300*0.25</f>
        <v>609555.79495186952</v>
      </c>
      <c r="M300" s="315">
        <f t="shared" si="97"/>
        <v>3047778.9747593477</v>
      </c>
      <c r="N300" s="301">
        <f>M300+M305</f>
        <v>3532086.1307956697</v>
      </c>
      <c r="O300" s="301">
        <f>O277*1.15</f>
        <v>60562.361538461526</v>
      </c>
    </row>
    <row r="301" spans="1:15" s="308" customFormat="1" ht="15" customHeight="1">
      <c r="A301" s="1036"/>
      <c r="B301" s="1035"/>
      <c r="C301" s="1036"/>
      <c r="D301" s="298">
        <v>5</v>
      </c>
      <c r="E301" s="301">
        <f t="shared" si="94"/>
        <v>2799987.3837718754</v>
      </c>
      <c r="F301" s="301">
        <f t="shared" si="94"/>
        <v>356015.27499999997</v>
      </c>
      <c r="G301" s="301">
        <f t="shared" si="95"/>
        <v>17826.085331196577</v>
      </c>
      <c r="H301" s="301">
        <f t="shared" si="95"/>
        <v>17580.565000000002</v>
      </c>
      <c r="I301" s="301">
        <f t="shared" si="95"/>
        <v>0</v>
      </c>
      <c r="J301" s="301">
        <f t="shared" si="95"/>
        <v>22.037399999999998</v>
      </c>
      <c r="K301" s="301">
        <f t="shared" si="96"/>
        <v>3191431.3465030715</v>
      </c>
      <c r="L301" s="301">
        <f>K301*0.25</f>
        <v>797857.83662576787</v>
      </c>
      <c r="M301" s="315">
        <f t="shared" si="97"/>
        <v>3989289.1831288394</v>
      </c>
      <c r="N301" s="301">
        <f>M301+M306</f>
        <v>4521186.6710545393</v>
      </c>
      <c r="O301" s="301">
        <f>O278*1.15</f>
        <v>79184.56033653846</v>
      </c>
    </row>
    <row r="302" spans="1:15" s="308" customFormat="1" ht="13.5" customHeight="1">
      <c r="A302" s="1036"/>
      <c r="B302" s="1035" t="s">
        <v>192</v>
      </c>
      <c r="C302" s="1036" t="s">
        <v>21</v>
      </c>
      <c r="D302" s="298">
        <v>1</v>
      </c>
      <c r="E302" s="301">
        <f t="shared" ref="E302:F306" si="98">E279*1.1</f>
        <v>318826.89481500007</v>
      </c>
      <c r="F302" s="301">
        <f t="shared" si="98"/>
        <v>0</v>
      </c>
      <c r="G302" s="301">
        <f t="shared" si="95"/>
        <v>2349.9168335982904</v>
      </c>
      <c r="H302" s="301">
        <f t="shared" si="95"/>
        <v>68605</v>
      </c>
      <c r="I302" s="301">
        <f t="shared" si="95"/>
        <v>0</v>
      </c>
      <c r="J302" s="301">
        <f t="shared" si="95"/>
        <v>9193.1574000000001</v>
      </c>
      <c r="K302" s="301">
        <f t="shared" si="96"/>
        <v>398974.96904859837</v>
      </c>
      <c r="L302" s="301">
        <f>K302*0.15</f>
        <v>59846.24535728975</v>
      </c>
      <c r="M302" s="315">
        <f t="shared" si="97"/>
        <v>458821.21440588811</v>
      </c>
      <c r="N302" s="301"/>
      <c r="O302" s="301">
        <f>O279*1.1</f>
        <v>9026.5534615384622</v>
      </c>
    </row>
    <row r="303" spans="1:15" s="308" customFormat="1" ht="15" customHeight="1">
      <c r="A303" s="1036"/>
      <c r="B303" s="1035"/>
      <c r="C303" s="1036"/>
      <c r="D303" s="298">
        <v>2</v>
      </c>
      <c r="E303" s="301">
        <f t="shared" si="98"/>
        <v>346123.58852500009</v>
      </c>
      <c r="F303" s="301">
        <f t="shared" si="98"/>
        <v>0</v>
      </c>
      <c r="G303" s="301">
        <f t="shared" si="95"/>
        <v>2505.780598094017</v>
      </c>
      <c r="H303" s="301">
        <f t="shared" si="95"/>
        <v>68605</v>
      </c>
      <c r="I303" s="301">
        <f t="shared" si="95"/>
        <v>0</v>
      </c>
      <c r="J303" s="301">
        <f t="shared" si="95"/>
        <v>10334.205</v>
      </c>
      <c r="K303" s="301">
        <f t="shared" si="96"/>
        <v>427568.57412309409</v>
      </c>
      <c r="L303" s="301">
        <f>K303*0.15</f>
        <v>64135.286118464108</v>
      </c>
      <c r="M303" s="315">
        <f t="shared" si="97"/>
        <v>491703.86024155817</v>
      </c>
      <c r="N303" s="301"/>
      <c r="O303" s="301">
        <f>O280*1.1</f>
        <v>9799.3711538461539</v>
      </c>
    </row>
    <row r="304" spans="1:15" s="308" customFormat="1" ht="15" customHeight="1">
      <c r="A304" s="1036"/>
      <c r="B304" s="1035"/>
      <c r="C304" s="1036"/>
      <c r="D304" s="298">
        <v>3</v>
      </c>
      <c r="E304" s="301">
        <f t="shared" si="98"/>
        <v>378940.11226500006</v>
      </c>
      <c r="F304" s="301">
        <f t="shared" si="98"/>
        <v>0</v>
      </c>
      <c r="G304" s="301">
        <f t="shared" si="95"/>
        <v>2716.6551030000001</v>
      </c>
      <c r="H304" s="301">
        <f t="shared" si="95"/>
        <v>68605</v>
      </c>
      <c r="I304" s="301">
        <f t="shared" si="95"/>
        <v>0</v>
      </c>
      <c r="J304" s="301">
        <f t="shared" si="95"/>
        <v>11766.413400000001</v>
      </c>
      <c r="K304" s="301">
        <f t="shared" si="96"/>
        <v>462028.18076800008</v>
      </c>
      <c r="L304" s="301">
        <f>K304*0.15</f>
        <v>69304.227115200003</v>
      </c>
      <c r="M304" s="315">
        <f t="shared" si="97"/>
        <v>531332.4078832001</v>
      </c>
      <c r="N304" s="301"/>
      <c r="O304" s="301">
        <f>O281*1.1</f>
        <v>10728.465000000002</v>
      </c>
    </row>
    <row r="305" spans="1:15" s="308" customFormat="1" ht="15" customHeight="1">
      <c r="A305" s="1036"/>
      <c r="B305" s="1035"/>
      <c r="C305" s="1036"/>
      <c r="D305" s="298">
        <v>4</v>
      </c>
      <c r="E305" s="301">
        <f t="shared" si="98"/>
        <v>339847.61739500001</v>
      </c>
      <c r="F305" s="301">
        <f t="shared" si="98"/>
        <v>0</v>
      </c>
      <c r="G305" s="301">
        <f t="shared" si="95"/>
        <v>2478.2752278888888</v>
      </c>
      <c r="H305" s="301">
        <f t="shared" si="95"/>
        <v>68605</v>
      </c>
      <c r="I305" s="301">
        <f t="shared" si="95"/>
        <v>0</v>
      </c>
      <c r="J305" s="301">
        <f t="shared" si="95"/>
        <v>10205.764800000001</v>
      </c>
      <c r="K305" s="301">
        <f t="shared" si="96"/>
        <v>421136.65742288891</v>
      </c>
      <c r="L305" s="301">
        <f>K305*0.15</f>
        <v>63170.49861343333</v>
      </c>
      <c r="M305" s="315">
        <f t="shared" si="97"/>
        <v>484307.15603632224</v>
      </c>
      <c r="N305" s="301"/>
      <c r="O305" s="301">
        <f>O282*1.1</f>
        <v>9621.6873076923093</v>
      </c>
    </row>
    <row r="306" spans="1:15" s="308" customFormat="1" ht="15" customHeight="1">
      <c r="A306" s="1036"/>
      <c r="B306" s="1035"/>
      <c r="C306" s="1036"/>
      <c r="D306" s="298">
        <v>5</v>
      </c>
      <c r="E306" s="301">
        <f t="shared" si="98"/>
        <v>379318.18281500012</v>
      </c>
      <c r="F306" s="301">
        <f t="shared" si="98"/>
        <v>0</v>
      </c>
      <c r="G306" s="301">
        <f t="shared" si="95"/>
        <v>2716.6551030000001</v>
      </c>
      <c r="H306" s="301">
        <f t="shared" si="95"/>
        <v>68605</v>
      </c>
      <c r="I306" s="301">
        <f t="shared" si="95"/>
        <v>0</v>
      </c>
      <c r="J306" s="301">
        <f t="shared" si="95"/>
        <v>11879.716799999998</v>
      </c>
      <c r="K306" s="301">
        <f t="shared" si="96"/>
        <v>462519.55471800012</v>
      </c>
      <c r="L306" s="301">
        <f>K306*0.15</f>
        <v>69377.933207700014</v>
      </c>
      <c r="M306" s="315">
        <f t="shared" si="97"/>
        <v>531897.48792570014</v>
      </c>
      <c r="N306" s="301"/>
      <c r="O306" s="301">
        <f>O283*1.1</f>
        <v>10739.168846153849</v>
      </c>
    </row>
    <row r="307" spans="1:15">
      <c r="A307" s="298">
        <v>1</v>
      </c>
      <c r="B307" s="316" t="s">
        <v>57</v>
      </c>
      <c r="C307" s="300"/>
      <c r="D307" s="300"/>
      <c r="E307" s="301"/>
      <c r="F307" s="301"/>
      <c r="G307" s="301"/>
      <c r="H307" s="301"/>
      <c r="I307" s="301"/>
      <c r="J307" s="301"/>
      <c r="K307" s="301"/>
      <c r="L307" s="301"/>
      <c r="M307" s="315">
        <v>100</v>
      </c>
      <c r="N307" s="327" t="s">
        <v>21</v>
      </c>
      <c r="O307" s="301"/>
    </row>
    <row r="308" spans="1:15">
      <c r="A308" s="323" t="s">
        <v>359</v>
      </c>
      <c r="B308" s="324" t="str">
        <f>NhanCong!B$61</f>
        <v>Công tác chuẩn bị</v>
      </c>
      <c r="C308" s="319" t="s">
        <v>317</v>
      </c>
      <c r="D308" s="319" t="s">
        <v>622</v>
      </c>
      <c r="E308" s="301">
        <f>NhanCong!U$61</f>
        <v>80036.550000000017</v>
      </c>
      <c r="F308" s="301">
        <f>NhanCong!U$62</f>
        <v>5002.8846153846152</v>
      </c>
      <c r="G308" s="320">
        <f>Dcu!P$102*0.4</f>
        <v>1596.0616452991451</v>
      </c>
      <c r="H308" s="320">
        <f>VLieu!N$66</f>
        <v>2610.9749999999999</v>
      </c>
      <c r="I308" s="320"/>
      <c r="J308" s="320"/>
      <c r="K308" s="320">
        <f>SUM(E308:J308)</f>
        <v>89246.471260683771</v>
      </c>
      <c r="L308" s="320">
        <f>K308*0.25</f>
        <v>22311.617815170943</v>
      </c>
      <c r="M308" s="321">
        <f>K308+L308</f>
        <v>111558.08907585472</v>
      </c>
      <c r="N308" s="320"/>
      <c r="O308" s="320">
        <f>NhanCong!V$61</f>
        <v>2189.4230769230767</v>
      </c>
    </row>
    <row r="309" spans="1:15">
      <c r="A309" s="1041" t="s">
        <v>269</v>
      </c>
      <c r="B309" s="1038" t="str">
        <f>NhanCong!B$63</f>
        <v>Lập lưới khống chế đo vẽ</v>
      </c>
      <c r="C309" s="1039" t="s">
        <v>317</v>
      </c>
      <c r="D309" s="319">
        <v>1</v>
      </c>
      <c r="E309" s="301">
        <f>NhanCong!U$63</f>
        <v>80125.179062500029</v>
      </c>
      <c r="F309" s="301"/>
      <c r="G309" s="320">
        <f>Dcu!P$82</f>
        <v>538.11359508547014</v>
      </c>
      <c r="H309" s="320">
        <f>VLieu!N$67</f>
        <v>1740.65</v>
      </c>
      <c r="I309" s="320"/>
      <c r="J309" s="320">
        <f>TBi!N$49</f>
        <v>22.037399999999998</v>
      </c>
      <c r="K309" s="320">
        <f t="shared" ref="K309:K313" si="99">SUM(E309:J309)</f>
        <v>82425.98005758549</v>
      </c>
      <c r="L309" s="320">
        <f t="shared" ref="L309:L333" si="100">K309*0.25</f>
        <v>20606.495014396372</v>
      </c>
      <c r="M309" s="321">
        <f t="shared" ref="M309:M333" si="101">K309+L309</f>
        <v>103032.47507198187</v>
      </c>
      <c r="N309" s="320"/>
      <c r="O309" s="320">
        <f>NhanCong!V$63</f>
        <v>2268.4855769230767</v>
      </c>
    </row>
    <row r="310" spans="1:15">
      <c r="A310" s="1041"/>
      <c r="B310" s="1038"/>
      <c r="C310" s="1039"/>
      <c r="D310" s="319">
        <v>2</v>
      </c>
      <c r="E310" s="301">
        <f>NhanCong!U$64</f>
        <v>96236.140000000043</v>
      </c>
      <c r="F310" s="301"/>
      <c r="G310" s="320">
        <f>Dcu!P$83</f>
        <v>653.42365117521376</v>
      </c>
      <c r="H310" s="320">
        <f>VLieu!N$67</f>
        <v>1740.65</v>
      </c>
      <c r="I310" s="320"/>
      <c r="J310" s="320">
        <f>TBi!O$49</f>
        <v>22.037399999999998</v>
      </c>
      <c r="K310" s="320">
        <f t="shared" si="99"/>
        <v>98652.251051175248</v>
      </c>
      <c r="L310" s="320">
        <f t="shared" si="100"/>
        <v>24663.062762793812</v>
      </c>
      <c r="M310" s="321">
        <f t="shared" si="101"/>
        <v>123315.31381396906</v>
      </c>
      <c r="N310" s="320"/>
      <c r="O310" s="320">
        <f>NhanCong!V$64</f>
        <v>2724.6153846153848</v>
      </c>
    </row>
    <row r="311" spans="1:15">
      <c r="A311" s="1041"/>
      <c r="B311" s="1038"/>
      <c r="C311" s="1039"/>
      <c r="D311" s="319">
        <v>3</v>
      </c>
      <c r="E311" s="301">
        <f>NhanCong!U$65</f>
        <v>115569.29312500004</v>
      </c>
      <c r="F311" s="301"/>
      <c r="G311" s="320">
        <f>Dcu!P$84</f>
        <v>768.73370726495739</v>
      </c>
      <c r="H311" s="320">
        <f>VLieu!N$67</f>
        <v>1740.65</v>
      </c>
      <c r="I311" s="320"/>
      <c r="J311" s="320">
        <f>TBi!P$49</f>
        <v>22.037399999999998</v>
      </c>
      <c r="K311" s="320">
        <f t="shared" si="99"/>
        <v>118100.71423226499</v>
      </c>
      <c r="L311" s="320">
        <f t="shared" si="100"/>
        <v>29525.178558066247</v>
      </c>
      <c r="M311" s="321">
        <f t="shared" si="101"/>
        <v>147625.89279033124</v>
      </c>
      <c r="N311" s="320"/>
      <c r="O311" s="320">
        <f>NhanCong!V$65</f>
        <v>3271.9711538461538</v>
      </c>
    </row>
    <row r="312" spans="1:15">
      <c r="A312" s="1041"/>
      <c r="B312" s="1038"/>
      <c r="C312" s="1039"/>
      <c r="D312" s="319">
        <v>4</v>
      </c>
      <c r="E312" s="301">
        <f>NhanCong!U$66</f>
        <v>138554.26406250003</v>
      </c>
      <c r="F312" s="301"/>
      <c r="G312" s="320">
        <f>Dcu!P$85</f>
        <v>999.35381944444464</v>
      </c>
      <c r="H312" s="320">
        <f>VLieu!N$67</f>
        <v>1740.65</v>
      </c>
      <c r="I312" s="320"/>
      <c r="J312" s="320">
        <f>TBi!Q$49</f>
        <v>22.037399999999998</v>
      </c>
      <c r="K312" s="320">
        <f t="shared" si="99"/>
        <v>141316.30528194449</v>
      </c>
      <c r="L312" s="320">
        <f t="shared" si="100"/>
        <v>35329.076320486121</v>
      </c>
      <c r="M312" s="321">
        <f t="shared" si="101"/>
        <v>176645.3816024306</v>
      </c>
      <c r="N312" s="320"/>
      <c r="O312" s="320">
        <f>NhanCong!V$66</f>
        <v>3922.7163461538462</v>
      </c>
    </row>
    <row r="313" spans="1:15">
      <c r="A313" s="1041"/>
      <c r="B313" s="1038"/>
      <c r="C313" s="1039"/>
      <c r="D313" s="319">
        <v>5</v>
      </c>
      <c r="E313" s="301">
        <f>NhanCong!U$67</f>
        <v>166479.92968750003</v>
      </c>
      <c r="F313" s="301"/>
      <c r="G313" s="320">
        <f>Dcu!P$86</f>
        <v>1306.8473023504275</v>
      </c>
      <c r="H313" s="320">
        <f>VLieu!N$67</f>
        <v>1740.65</v>
      </c>
      <c r="I313" s="320"/>
      <c r="J313" s="320">
        <f>TBi!R$49</f>
        <v>22.037399999999998</v>
      </c>
      <c r="K313" s="320">
        <f t="shared" si="99"/>
        <v>169549.46438985044</v>
      </c>
      <c r="L313" s="320">
        <f t="shared" si="100"/>
        <v>42387.366097462611</v>
      </c>
      <c r="M313" s="321">
        <f t="shared" si="101"/>
        <v>211936.83048731304</v>
      </c>
      <c r="N313" s="320"/>
      <c r="O313" s="320">
        <f>NhanCong!V$67</f>
        <v>4713.3413461538466</v>
      </c>
    </row>
    <row r="314" spans="1:15">
      <c r="A314" s="1041" t="s">
        <v>36</v>
      </c>
      <c r="B314" s="1038" t="str">
        <f>NhanCong!B$68</f>
        <v>Xác định ranh giới thửa đất trên thực địa</v>
      </c>
      <c r="C314" s="1039" t="s">
        <v>317</v>
      </c>
      <c r="D314" s="319">
        <v>1</v>
      </c>
      <c r="E314" s="301">
        <f>NhanCong!U$68</f>
        <v>257775.37500000003</v>
      </c>
      <c r="F314" s="301">
        <f>NhanCong!U$69</f>
        <v>54576.923076923078</v>
      </c>
      <c r="G314" s="320">
        <f>Dcu!P$103*0.4</f>
        <v>1117.2431517094014</v>
      </c>
      <c r="H314" s="320">
        <f>VLieu!N$68</f>
        <v>4351.625</v>
      </c>
      <c r="I314" s="320"/>
      <c r="J314" s="320"/>
      <c r="K314" s="320">
        <f>SUM(E314:J314)</f>
        <v>317821.1662286325</v>
      </c>
      <c r="L314" s="320">
        <f t="shared" si="100"/>
        <v>79455.291557158125</v>
      </c>
      <c r="M314" s="321">
        <f t="shared" si="101"/>
        <v>397276.45778579061</v>
      </c>
      <c r="N314" s="320"/>
      <c r="O314" s="320">
        <f>NhanCong!V$68</f>
        <v>7298.0769230769238</v>
      </c>
    </row>
    <row r="315" spans="1:15">
      <c r="A315" s="1041"/>
      <c r="B315" s="1038"/>
      <c r="C315" s="1039"/>
      <c r="D315" s="319">
        <v>2</v>
      </c>
      <c r="E315" s="301">
        <f>NhanCong!U$70</f>
        <v>309330.45</v>
      </c>
      <c r="F315" s="301">
        <f>NhanCong!U$71</f>
        <v>65492.307692307702</v>
      </c>
      <c r="G315" s="320">
        <f>Dcu!P$104*0.4</f>
        <v>1356.6523985042732</v>
      </c>
      <c r="H315" s="320">
        <f>VLieu!N$68</f>
        <v>4351.625</v>
      </c>
      <c r="I315" s="320"/>
      <c r="J315" s="320"/>
      <c r="K315" s="320">
        <f t="shared" ref="K315:K333" si="102">SUM(E315:J315)</f>
        <v>380531.03509081196</v>
      </c>
      <c r="L315" s="320">
        <f t="shared" si="100"/>
        <v>95132.75877270299</v>
      </c>
      <c r="M315" s="321">
        <f t="shared" si="101"/>
        <v>475663.79386351496</v>
      </c>
      <c r="N315" s="320"/>
      <c r="O315" s="320">
        <f>NhanCong!V$70</f>
        <v>8757.6923076923067</v>
      </c>
    </row>
    <row r="316" spans="1:15">
      <c r="A316" s="1041"/>
      <c r="B316" s="1038"/>
      <c r="C316" s="1039"/>
      <c r="D316" s="319">
        <v>3</v>
      </c>
      <c r="E316" s="301">
        <f>NhanCong!U$72</f>
        <v>371196.5400000001</v>
      </c>
      <c r="F316" s="301">
        <f>NhanCong!U$73</f>
        <v>78590.769230769234</v>
      </c>
      <c r="G316" s="320">
        <f>Dcu!P$105*0.4</f>
        <v>1596.0616452991451</v>
      </c>
      <c r="H316" s="320">
        <f>VLieu!N$68</f>
        <v>4351.625</v>
      </c>
      <c r="I316" s="320"/>
      <c r="J316" s="320"/>
      <c r="K316" s="320">
        <f t="shared" si="102"/>
        <v>455734.99587606848</v>
      </c>
      <c r="L316" s="320">
        <f t="shared" si="100"/>
        <v>113933.74896901712</v>
      </c>
      <c r="M316" s="321">
        <f t="shared" si="101"/>
        <v>569668.74484508554</v>
      </c>
      <c r="N316" s="320"/>
      <c r="O316" s="320">
        <f>NhanCong!V$72</f>
        <v>10509.23076923077</v>
      </c>
    </row>
    <row r="317" spans="1:15">
      <c r="A317" s="1041"/>
      <c r="B317" s="1038"/>
      <c r="C317" s="1039"/>
      <c r="D317" s="319">
        <v>4</v>
      </c>
      <c r="E317" s="301">
        <f>NhanCong!U$74</f>
        <v>501115.32900000009</v>
      </c>
      <c r="F317" s="301">
        <f>NhanCong!U$75</f>
        <v>106097.53846153848</v>
      </c>
      <c r="G317" s="320">
        <f>Dcu!P$106*0.4</f>
        <v>2074.8801388888887</v>
      </c>
      <c r="H317" s="320">
        <f>VLieu!N$68</f>
        <v>4351.625</v>
      </c>
      <c r="I317" s="320"/>
      <c r="J317" s="320"/>
      <c r="K317" s="320">
        <f t="shared" si="102"/>
        <v>613639.37260042736</v>
      </c>
      <c r="L317" s="320">
        <f t="shared" si="100"/>
        <v>153409.84315010684</v>
      </c>
      <c r="M317" s="321">
        <f t="shared" si="101"/>
        <v>767049.2157505342</v>
      </c>
      <c r="N317" s="320"/>
      <c r="O317" s="320">
        <f>NhanCong!V$74</f>
        <v>14187.461538461537</v>
      </c>
    </row>
    <row r="318" spans="1:15">
      <c r="A318" s="1041"/>
      <c r="B318" s="1038"/>
      <c r="C318" s="1039"/>
      <c r="D318" s="319">
        <v>5</v>
      </c>
      <c r="E318" s="301">
        <f>NhanCong!U$76</f>
        <v>676488.5091250001</v>
      </c>
      <c r="F318" s="301">
        <f>NhanCong!U$77</f>
        <v>143228.03846153847</v>
      </c>
      <c r="G318" s="320">
        <f>Dcu!P$107*0.4</f>
        <v>2713.3047970085463</v>
      </c>
      <c r="H318" s="320">
        <f>VLieu!N$68</f>
        <v>4351.625</v>
      </c>
      <c r="I318" s="320"/>
      <c r="J318" s="320"/>
      <c r="K318" s="320">
        <f t="shared" si="102"/>
        <v>826781.47738354711</v>
      </c>
      <c r="L318" s="320">
        <f t="shared" si="100"/>
        <v>206695.36934588678</v>
      </c>
      <c r="M318" s="321">
        <f t="shared" si="101"/>
        <v>1033476.8467294339</v>
      </c>
      <c r="N318" s="320"/>
      <c r="O318" s="320">
        <f>NhanCong!V$76</f>
        <v>19152.586538461539</v>
      </c>
    </row>
    <row r="319" spans="1:15">
      <c r="A319" s="1041" t="s">
        <v>270</v>
      </c>
      <c r="B319" s="1038" t="str">
        <f>NhanCong!B$78</f>
        <v>Đo đạc ranh giới thửa đất và các đối tượng địa lý có liên quan</v>
      </c>
      <c r="C319" s="1039" t="s">
        <v>317</v>
      </c>
      <c r="D319" s="319" t="s">
        <v>18</v>
      </c>
      <c r="E319" s="301">
        <f>NhanCong!U$78</f>
        <v>510180.42968750006</v>
      </c>
      <c r="F319" s="301">
        <f>NhanCong!U$79</f>
        <v>17282.692307692309</v>
      </c>
      <c r="G319" s="320">
        <f>Dcu!P$103</f>
        <v>2793.1078792735034</v>
      </c>
      <c r="H319" s="320">
        <f>VLieu!N$69</f>
        <v>4351.625</v>
      </c>
      <c r="I319" s="320"/>
      <c r="J319" s="320"/>
      <c r="K319" s="320">
        <f t="shared" si="102"/>
        <v>534607.85487446585</v>
      </c>
      <c r="L319" s="320">
        <f t="shared" si="100"/>
        <v>133651.96371861646</v>
      </c>
      <c r="M319" s="321">
        <f t="shared" si="101"/>
        <v>668259.81859308225</v>
      </c>
      <c r="N319" s="320"/>
      <c r="O319" s="320">
        <f>NhanCong!V$78</f>
        <v>14444.110576923074</v>
      </c>
    </row>
    <row r="320" spans="1:15">
      <c r="A320" s="1041"/>
      <c r="B320" s="1038"/>
      <c r="C320" s="1039"/>
      <c r="D320" s="319" t="s">
        <v>20</v>
      </c>
      <c r="E320" s="301">
        <f>NhanCong!U$80</f>
        <v>601261.06218750018</v>
      </c>
      <c r="F320" s="301">
        <f>NhanCong!U$81</f>
        <v>20375.384615384613</v>
      </c>
      <c r="G320" s="320">
        <f>Dcu!P$104</f>
        <v>3391.6309962606829</v>
      </c>
      <c r="H320" s="320">
        <f>VLieu!N$69</f>
        <v>4351.625</v>
      </c>
      <c r="I320" s="320"/>
      <c r="J320" s="320"/>
      <c r="K320" s="320">
        <f t="shared" si="102"/>
        <v>629379.70279914548</v>
      </c>
      <c r="L320" s="320">
        <f t="shared" si="100"/>
        <v>157344.92569978637</v>
      </c>
      <c r="M320" s="321">
        <f t="shared" si="101"/>
        <v>786724.62849893188</v>
      </c>
      <c r="N320" s="320"/>
      <c r="O320" s="320">
        <f>NhanCong!V$80</f>
        <v>17022.764423076922</v>
      </c>
    </row>
    <row r="321" spans="1:15">
      <c r="A321" s="1041"/>
      <c r="B321" s="1038"/>
      <c r="C321" s="1039"/>
      <c r="D321" s="319" t="s">
        <v>35</v>
      </c>
      <c r="E321" s="301">
        <f>NhanCong!U$82</f>
        <v>710600.78375000018</v>
      </c>
      <c r="F321" s="301">
        <f>NhanCong!U$83</f>
        <v>24068.423076923078</v>
      </c>
      <c r="G321" s="320">
        <f>Dcu!P$105</f>
        <v>3990.1541132478624</v>
      </c>
      <c r="H321" s="320">
        <f>VLieu!N$69</f>
        <v>4351.625</v>
      </c>
      <c r="I321" s="320"/>
      <c r="J321" s="320"/>
      <c r="K321" s="320">
        <f t="shared" si="102"/>
        <v>743010.98594017117</v>
      </c>
      <c r="L321" s="320">
        <f t="shared" si="100"/>
        <v>185752.74648504279</v>
      </c>
      <c r="M321" s="321">
        <f t="shared" si="101"/>
        <v>928763.73242521402</v>
      </c>
      <c r="N321" s="320"/>
      <c r="O321" s="320">
        <f>NhanCong!V$82</f>
        <v>20118.365384615379</v>
      </c>
    </row>
    <row r="322" spans="1:15">
      <c r="A322" s="1041"/>
      <c r="B322" s="1038"/>
      <c r="C322" s="1039"/>
      <c r="D322" s="319" t="s">
        <v>33</v>
      </c>
      <c r="E322" s="301">
        <f>NhanCong!U$84</f>
        <v>923695.09375000012</v>
      </c>
      <c r="F322" s="301">
        <f>NhanCong!U$85</f>
        <v>39113.461538461539</v>
      </c>
      <c r="G322" s="320">
        <f>Dcu!P$106</f>
        <v>5187.2003472222214</v>
      </c>
      <c r="H322" s="320">
        <f>VLieu!N$69</f>
        <v>4351.625</v>
      </c>
      <c r="I322" s="320"/>
      <c r="J322" s="320"/>
      <c r="K322" s="320">
        <f t="shared" si="102"/>
        <v>972347.38063568389</v>
      </c>
      <c r="L322" s="320">
        <f t="shared" si="100"/>
        <v>243086.84515892097</v>
      </c>
      <c r="M322" s="321">
        <f t="shared" si="101"/>
        <v>1215434.225794605</v>
      </c>
      <c r="N322" s="320"/>
      <c r="O322" s="320">
        <f>NhanCong!V$84</f>
        <v>26151.442307692305</v>
      </c>
    </row>
    <row r="323" spans="1:15">
      <c r="A323" s="1041"/>
      <c r="B323" s="1038"/>
      <c r="C323" s="1039"/>
      <c r="D323" s="319" t="s">
        <v>13</v>
      </c>
      <c r="E323" s="301">
        <f>NhanCong!U$86</f>
        <v>1200803.6218750002</v>
      </c>
      <c r="F323" s="301">
        <f>NhanCong!U$87</f>
        <v>50847.5</v>
      </c>
      <c r="G323" s="320">
        <f>Dcu!P$107</f>
        <v>6783.2619925213658</v>
      </c>
      <c r="H323" s="320">
        <f>VLieu!N$69</f>
        <v>4351.625</v>
      </c>
      <c r="I323" s="320"/>
      <c r="J323" s="320"/>
      <c r="K323" s="320">
        <f t="shared" si="102"/>
        <v>1262786.0088675215</v>
      </c>
      <c r="L323" s="320">
        <f t="shared" si="100"/>
        <v>315696.50221688038</v>
      </c>
      <c r="M323" s="321">
        <f t="shared" si="101"/>
        <v>1578482.511084402</v>
      </c>
      <c r="N323" s="320"/>
      <c r="O323" s="320">
        <f>NhanCong!V$86</f>
        <v>33996.875</v>
      </c>
    </row>
    <row r="324" spans="1:15">
      <c r="A324" s="1041" t="s">
        <v>363</v>
      </c>
      <c r="B324" s="1038" t="str">
        <f>NhanCong!B$88</f>
        <v>Đối soát, kiểm tra</v>
      </c>
      <c r="C324" s="1039" t="s">
        <v>317</v>
      </c>
      <c r="D324" s="319" t="s">
        <v>18</v>
      </c>
      <c r="E324" s="301">
        <f>NhanCong!U$88</f>
        <v>41802.573312500004</v>
      </c>
      <c r="F324" s="301">
        <f>NhanCong!U$89</f>
        <v>7076.8076923076924</v>
      </c>
      <c r="G324" s="320">
        <f>Dcu!P$103*0.4</f>
        <v>1117.2431517094014</v>
      </c>
      <c r="H324" s="320">
        <f>VLieu!N$70</f>
        <v>2262.8450000000003</v>
      </c>
      <c r="I324" s="320"/>
      <c r="J324" s="320"/>
      <c r="K324" s="320">
        <f t="shared" si="102"/>
        <v>52259.469156517102</v>
      </c>
      <c r="L324" s="320">
        <f t="shared" si="100"/>
        <v>13064.867289129275</v>
      </c>
      <c r="M324" s="321">
        <f t="shared" si="101"/>
        <v>65324.336445646375</v>
      </c>
      <c r="N324" s="320"/>
      <c r="O324" s="320">
        <f>NhanCong!V$88</f>
        <v>1183.5048076923076</v>
      </c>
    </row>
    <row r="325" spans="1:15">
      <c r="A325" s="1041"/>
      <c r="B325" s="1038"/>
      <c r="C325" s="1039"/>
      <c r="D325" s="319" t="s">
        <v>20</v>
      </c>
      <c r="E325" s="301">
        <f>NhanCong!U$90</f>
        <v>49278.05918750001</v>
      </c>
      <c r="F325" s="301">
        <f>NhanCong!U$91</f>
        <v>8350.2692307692305</v>
      </c>
      <c r="G325" s="320">
        <f>Dcu!P$104*0.4</f>
        <v>1356.6523985042732</v>
      </c>
      <c r="H325" s="320">
        <f>VLieu!N$70</f>
        <v>2262.8450000000003</v>
      </c>
      <c r="I325" s="320"/>
      <c r="J325" s="320"/>
      <c r="K325" s="320">
        <f t="shared" si="102"/>
        <v>61247.825816773518</v>
      </c>
      <c r="L325" s="320">
        <f t="shared" si="100"/>
        <v>15311.95645419338</v>
      </c>
      <c r="M325" s="321">
        <f t="shared" si="101"/>
        <v>76559.782270966898</v>
      </c>
      <c r="N325" s="320"/>
      <c r="O325" s="320">
        <f>NhanCong!V$90</f>
        <v>1395.1490384615383</v>
      </c>
    </row>
    <row r="326" spans="1:15">
      <c r="A326" s="1041"/>
      <c r="B326" s="1038"/>
      <c r="C326" s="1039"/>
      <c r="D326" s="319" t="s">
        <v>35</v>
      </c>
      <c r="E326" s="301">
        <f>NhanCong!U$92</f>
        <v>58214.272187500021</v>
      </c>
      <c r="F326" s="301">
        <f>NhanCong!U$93</f>
        <v>9860.2307692307695</v>
      </c>
      <c r="G326" s="320">
        <f>Dcu!P$105*0.4</f>
        <v>1596.0616452991451</v>
      </c>
      <c r="H326" s="320">
        <f>VLieu!N$70</f>
        <v>2262.8450000000003</v>
      </c>
      <c r="I326" s="320"/>
      <c r="J326" s="320"/>
      <c r="K326" s="320">
        <f t="shared" si="102"/>
        <v>71933.409602029933</v>
      </c>
      <c r="L326" s="320">
        <f t="shared" si="100"/>
        <v>17983.352400507483</v>
      </c>
      <c r="M326" s="321">
        <f t="shared" si="101"/>
        <v>89916.76200253742</v>
      </c>
      <c r="N326" s="320"/>
      <c r="O326" s="320">
        <f>NhanCong!V$92</f>
        <v>1648.1490384615388</v>
      </c>
    </row>
    <row r="327" spans="1:15">
      <c r="A327" s="1041"/>
      <c r="B327" s="1038"/>
      <c r="C327" s="1039"/>
      <c r="D327" s="319" t="s">
        <v>33</v>
      </c>
      <c r="E327" s="301">
        <f>NhanCong!U$94</f>
        <v>89233.242312500006</v>
      </c>
      <c r="F327" s="301">
        <f>NhanCong!U$95</f>
        <v>24559.615384615387</v>
      </c>
      <c r="G327" s="320">
        <f>Dcu!P$106*0.4</f>
        <v>2074.8801388888887</v>
      </c>
      <c r="H327" s="320">
        <f>VLieu!N$70</f>
        <v>2262.8450000000003</v>
      </c>
      <c r="I327" s="320"/>
      <c r="J327" s="320"/>
      <c r="K327" s="320">
        <f t="shared" si="102"/>
        <v>118130.58283600428</v>
      </c>
      <c r="L327" s="320">
        <f t="shared" si="100"/>
        <v>29532.64570900107</v>
      </c>
      <c r="M327" s="321">
        <f t="shared" si="101"/>
        <v>147663.22854500535</v>
      </c>
      <c r="N327" s="320"/>
      <c r="O327" s="320">
        <f>NhanCong!V$94</f>
        <v>2526.3509615384614</v>
      </c>
    </row>
    <row r="328" spans="1:15">
      <c r="A328" s="1041"/>
      <c r="B328" s="1038"/>
      <c r="C328" s="1039"/>
      <c r="D328" s="319" t="s">
        <v>13</v>
      </c>
      <c r="E328" s="301">
        <f>NhanCong!U$96</f>
        <v>142807.55775000004</v>
      </c>
      <c r="F328" s="301">
        <f>NhanCong!U$97</f>
        <v>39295.384615384617</v>
      </c>
      <c r="G328" s="320">
        <f>Dcu!P$107*0.4</f>
        <v>2713.3047970085463</v>
      </c>
      <c r="H328" s="320">
        <f>VLieu!N$70</f>
        <v>2262.8450000000003</v>
      </c>
      <c r="I328" s="320"/>
      <c r="J328" s="320"/>
      <c r="K328" s="320">
        <f t="shared" si="102"/>
        <v>187079.09216239321</v>
      </c>
      <c r="L328" s="320">
        <f t="shared" si="100"/>
        <v>46769.773040598302</v>
      </c>
      <c r="M328" s="321">
        <f t="shared" si="101"/>
        <v>233848.86520299152</v>
      </c>
      <c r="N328" s="320"/>
      <c r="O328" s="320">
        <f>NhanCong!V$96</f>
        <v>4043.1346153846157</v>
      </c>
    </row>
    <row r="329" spans="1:15" ht="12.75" customHeight="1">
      <c r="A329" s="1041" t="s">
        <v>364</v>
      </c>
      <c r="B329" s="1038" t="str">
        <f>NhanCong!B$98</f>
        <v>Giao nhận Phiếu kết quả đo đạc hiện trạng thửa đất</v>
      </c>
      <c r="C329" s="1039" t="s">
        <v>317</v>
      </c>
      <c r="D329" s="319" t="s">
        <v>18</v>
      </c>
      <c r="E329" s="301">
        <f>NhanCong!U$98</f>
        <v>60963.876187500005</v>
      </c>
      <c r="F329" s="301">
        <f>NhanCong!U$99</f>
        <v>25814.884615384613</v>
      </c>
      <c r="G329" s="320">
        <f>Dcu!P$103*0.4</f>
        <v>1117.2431517094014</v>
      </c>
      <c r="H329" s="320">
        <f>VLieu!N$71</f>
        <v>2262.8450000000003</v>
      </c>
      <c r="I329" s="320"/>
      <c r="J329" s="320"/>
      <c r="K329" s="320">
        <f t="shared" si="102"/>
        <v>90158.848954594025</v>
      </c>
      <c r="L329" s="320">
        <f t="shared" si="100"/>
        <v>22539.712238648506</v>
      </c>
      <c r="M329" s="321">
        <f t="shared" si="101"/>
        <v>112698.56119324252</v>
      </c>
      <c r="N329" s="320"/>
      <c r="O329" s="320">
        <f>NhanCong!V$98</f>
        <v>1725.9951923076922</v>
      </c>
    </row>
    <row r="330" spans="1:15">
      <c r="A330" s="1041"/>
      <c r="B330" s="1038"/>
      <c r="C330" s="1039"/>
      <c r="D330" s="319" t="s">
        <v>20</v>
      </c>
      <c r="E330" s="301">
        <f>NhanCong!U$100</f>
        <v>71876.367062500023</v>
      </c>
      <c r="F330" s="301">
        <f>NhanCong!U$101</f>
        <v>30435.73076923077</v>
      </c>
      <c r="G330" s="320">
        <f>Dcu!P$104*0.4</f>
        <v>1356.6523985042732</v>
      </c>
      <c r="H330" s="320">
        <f>VLieu!N$71</f>
        <v>2262.8450000000003</v>
      </c>
      <c r="I330" s="320"/>
      <c r="J330" s="320"/>
      <c r="K330" s="320">
        <f t="shared" si="102"/>
        <v>105931.59523023506</v>
      </c>
      <c r="L330" s="320">
        <f t="shared" si="100"/>
        <v>26482.898807558766</v>
      </c>
      <c r="M330" s="321">
        <f t="shared" si="101"/>
        <v>132414.49403779383</v>
      </c>
      <c r="N330" s="320"/>
      <c r="O330" s="320">
        <f>NhanCong!V$100</f>
        <v>2034.9471153846152</v>
      </c>
    </row>
    <row r="331" spans="1:15">
      <c r="A331" s="1041"/>
      <c r="B331" s="1038"/>
      <c r="C331" s="1039"/>
      <c r="D331" s="319" t="s">
        <v>35</v>
      </c>
      <c r="E331" s="301">
        <f>NhanCong!U$102</f>
        <v>101907.19825000002</v>
      </c>
      <c r="F331" s="301">
        <f>NhanCong!U$103</f>
        <v>43152.153846153851</v>
      </c>
      <c r="G331" s="320">
        <f>Dcu!P$105*0.4</f>
        <v>1596.0616452991451</v>
      </c>
      <c r="H331" s="320">
        <f>VLieu!N$71</f>
        <v>2262.8450000000003</v>
      </c>
      <c r="I331" s="320"/>
      <c r="J331" s="320"/>
      <c r="K331" s="320">
        <f t="shared" si="102"/>
        <v>148918.258741453</v>
      </c>
      <c r="L331" s="320">
        <f t="shared" si="100"/>
        <v>37229.56468536325</v>
      </c>
      <c r="M331" s="321">
        <f t="shared" si="101"/>
        <v>186147.82342681626</v>
      </c>
      <c r="N331" s="320"/>
      <c r="O331" s="320">
        <f>NhanCong!V$102</f>
        <v>2885.1730769230762</v>
      </c>
    </row>
    <row r="332" spans="1:15">
      <c r="A332" s="1041"/>
      <c r="B332" s="1038"/>
      <c r="C332" s="1039"/>
      <c r="D332" s="319" t="s">
        <v>33</v>
      </c>
      <c r="E332" s="301">
        <f>NhanCong!U$104</f>
        <v>130176.56437500003</v>
      </c>
      <c r="F332" s="301">
        <f>NhanCong!U$105</f>
        <v>55122.692307692312</v>
      </c>
      <c r="G332" s="320">
        <f>Dcu!P$106*0.4</f>
        <v>2074.8801388888887</v>
      </c>
      <c r="H332" s="320">
        <f>VLieu!N$71</f>
        <v>2262.8450000000003</v>
      </c>
      <c r="I332" s="320"/>
      <c r="J332" s="320"/>
      <c r="K332" s="320">
        <f t="shared" si="102"/>
        <v>189636.98182158123</v>
      </c>
      <c r="L332" s="320">
        <f t="shared" si="100"/>
        <v>47409.245455395307</v>
      </c>
      <c r="M332" s="321">
        <f t="shared" si="101"/>
        <v>237046.22727697654</v>
      </c>
      <c r="N332" s="320"/>
      <c r="O332" s="320">
        <f>NhanCong!V$104</f>
        <v>3685.5288461538462</v>
      </c>
    </row>
    <row r="333" spans="1:15">
      <c r="A333" s="1041"/>
      <c r="B333" s="1038"/>
      <c r="C333" s="1039"/>
      <c r="D333" s="319" t="s">
        <v>13</v>
      </c>
      <c r="E333" s="301">
        <f>NhanCong!U$106</f>
        <v>168155.46962500003</v>
      </c>
      <c r="F333" s="301">
        <f>NhanCong!U$107</f>
        <v>71204.692307692312</v>
      </c>
      <c r="G333" s="320">
        <f>Dcu!P$107*0.4</f>
        <v>2713.3047970085463</v>
      </c>
      <c r="H333" s="320">
        <f>VLieu!N$71</f>
        <v>2262.8450000000003</v>
      </c>
      <c r="I333" s="320"/>
      <c r="J333" s="320"/>
      <c r="K333" s="320">
        <f t="shared" si="102"/>
        <v>244336.31172970089</v>
      </c>
      <c r="L333" s="320">
        <f t="shared" si="100"/>
        <v>61084.077932425222</v>
      </c>
      <c r="M333" s="321">
        <f t="shared" si="101"/>
        <v>305420.38966212608</v>
      </c>
      <c r="N333" s="320"/>
      <c r="O333" s="320">
        <f>NhanCong!V$106</f>
        <v>4760.7788461538466</v>
      </c>
    </row>
    <row r="334" spans="1:15" ht="13.5" customHeight="1">
      <c r="A334" s="298">
        <v>2</v>
      </c>
      <c r="B334" s="316" t="s">
        <v>58</v>
      </c>
      <c r="C334" s="319" t="s">
        <v>43</v>
      </c>
      <c r="D334" s="319"/>
      <c r="E334" s="301">
        <f>NhanCong!U$108</f>
        <v>0</v>
      </c>
      <c r="F334" s="301"/>
      <c r="G334" s="320"/>
      <c r="H334" s="320"/>
      <c r="I334" s="320"/>
      <c r="J334" s="320"/>
      <c r="K334" s="320">
        <f>E334+F334+G334+I334+J334</f>
        <v>0</v>
      </c>
      <c r="L334" s="320"/>
      <c r="M334" s="321"/>
      <c r="N334" s="320"/>
      <c r="O334" s="320"/>
    </row>
    <row r="335" spans="1:15">
      <c r="A335" s="1041" t="s">
        <v>268</v>
      </c>
      <c r="B335" s="1038" t="str">
        <f>NhanCong!B$109</f>
        <v>Biên tập bản đồ địa chính</v>
      </c>
      <c r="C335" s="1039" t="s">
        <v>317</v>
      </c>
      <c r="D335" s="319" t="s">
        <v>18</v>
      </c>
      <c r="E335" s="301">
        <f>NhanCong!U$109</f>
        <v>124075.88050000003</v>
      </c>
      <c r="F335" s="301"/>
      <c r="G335" s="320">
        <f>Dcu!P$123</f>
        <v>550.10740410256403</v>
      </c>
      <c r="H335" s="320">
        <f>VLieu!N$90</f>
        <v>20757</v>
      </c>
      <c r="I335" s="320"/>
      <c r="J335" s="320">
        <f>TBi!N$114</f>
        <v>4208.9207999999999</v>
      </c>
      <c r="K335" s="320">
        <f>SUM(E335:J335)</f>
        <v>149591.90870410259</v>
      </c>
      <c r="L335" s="320">
        <f>K335*0.15</f>
        <v>22438.786305615387</v>
      </c>
      <c r="M335" s="321">
        <f>K335+L335</f>
        <v>172030.69500971798</v>
      </c>
      <c r="N335" s="320"/>
      <c r="O335" s="320">
        <f>NhanCong!V$109</f>
        <v>3512.8076923076924</v>
      </c>
    </row>
    <row r="336" spans="1:15">
      <c r="A336" s="1041"/>
      <c r="B336" s="1038"/>
      <c r="C336" s="1039"/>
      <c r="D336" s="319" t="s">
        <v>20</v>
      </c>
      <c r="E336" s="301">
        <f>NhanCong!U$110</f>
        <v>148891.05660000001</v>
      </c>
      <c r="F336" s="301"/>
      <c r="G336" s="320">
        <f>Dcu!P$124</f>
        <v>705.97116859829055</v>
      </c>
      <c r="H336" s="320">
        <f>VLieu!N$90</f>
        <v>20757</v>
      </c>
      <c r="I336" s="320"/>
      <c r="J336" s="320">
        <f>TBi!O$114</f>
        <v>5349.9683999999997</v>
      </c>
      <c r="K336" s="320">
        <f>SUM(E336:J336)</f>
        <v>175703.9961685983</v>
      </c>
      <c r="L336" s="320">
        <f>K336*0.15</f>
        <v>26355.599425289744</v>
      </c>
      <c r="M336" s="321">
        <f>K336+L336</f>
        <v>202059.59559388805</v>
      </c>
      <c r="N336" s="320"/>
      <c r="O336" s="320">
        <f>NhanCong!V$110</f>
        <v>4215.3692307692309</v>
      </c>
    </row>
    <row r="337" spans="1:15">
      <c r="A337" s="1041"/>
      <c r="B337" s="1038"/>
      <c r="C337" s="1039"/>
      <c r="D337" s="319" t="s">
        <v>35</v>
      </c>
      <c r="E337" s="301">
        <f>NhanCong!U$111</f>
        <v>178724.26000000004</v>
      </c>
      <c r="F337" s="301"/>
      <c r="G337" s="320">
        <f>Dcu!P$125</f>
        <v>916.84567350427346</v>
      </c>
      <c r="H337" s="320">
        <f>VLieu!N$90</f>
        <v>20757</v>
      </c>
      <c r="I337" s="320"/>
      <c r="J337" s="320">
        <f>TBi!P$114</f>
        <v>6782.1768000000002</v>
      </c>
      <c r="K337" s="320">
        <f>SUM(E337:J337)</f>
        <v>207180.28247350431</v>
      </c>
      <c r="L337" s="320">
        <f>K337*0.15</f>
        <v>31077.042371025644</v>
      </c>
      <c r="M337" s="321">
        <f>K337+L337</f>
        <v>238257.32484452997</v>
      </c>
      <c r="N337" s="320"/>
      <c r="O337" s="320">
        <f>NhanCong!V$111</f>
        <v>5060</v>
      </c>
    </row>
    <row r="338" spans="1:15">
      <c r="A338" s="1041"/>
      <c r="B338" s="1038"/>
      <c r="C338" s="1039"/>
      <c r="D338" s="319" t="s">
        <v>33</v>
      </c>
      <c r="E338" s="301">
        <f>NhanCong!U$112</f>
        <v>143185.62830000001</v>
      </c>
      <c r="F338" s="301"/>
      <c r="G338" s="320">
        <f>Dcu!P$126</f>
        <v>678.46579839316234</v>
      </c>
      <c r="H338" s="320">
        <f>VLieu!N$90</f>
        <v>20757</v>
      </c>
      <c r="I338" s="320"/>
      <c r="J338" s="320">
        <f>TBi!Q$114</f>
        <v>5221.5281999999997</v>
      </c>
      <c r="K338" s="320">
        <f>SUM(E338:J338)</f>
        <v>169842.62229839317</v>
      </c>
      <c r="L338" s="320">
        <f>K338*0.15</f>
        <v>25476.393344758973</v>
      </c>
      <c r="M338" s="321">
        <f>K338+L338</f>
        <v>195319.01564315215</v>
      </c>
      <c r="N338" s="320"/>
      <c r="O338" s="320">
        <f>NhanCong!V$112</f>
        <v>4053.8384615384612</v>
      </c>
    </row>
    <row r="339" spans="1:15">
      <c r="A339" s="1041"/>
      <c r="B339" s="1038"/>
      <c r="C339" s="1039"/>
      <c r="D339" s="319" t="s">
        <v>13</v>
      </c>
      <c r="E339" s="301">
        <f>NhanCong!U$113</f>
        <v>179067.96050000004</v>
      </c>
      <c r="F339" s="301"/>
      <c r="G339" s="320">
        <f>Dcu!P$127</f>
        <v>916.84567350427346</v>
      </c>
      <c r="H339" s="320">
        <f>VLieu!N$90</f>
        <v>20757</v>
      </c>
      <c r="I339" s="320"/>
      <c r="J339" s="320">
        <f>TBi!R$114</f>
        <v>6895.4801999999991</v>
      </c>
      <c r="K339" s="320">
        <f>SUM(E339:J339)</f>
        <v>207637.28637350432</v>
      </c>
      <c r="L339" s="320">
        <f>K339*0.15</f>
        <v>31145.592956025648</v>
      </c>
      <c r="M339" s="321">
        <f>K339+L339</f>
        <v>238782.87932952997</v>
      </c>
      <c r="N339" s="320"/>
      <c r="O339" s="320">
        <f>NhanCong!V$113</f>
        <v>5069.7307692307695</v>
      </c>
    </row>
    <row r="340" spans="1:15" ht="26">
      <c r="A340" s="323">
        <v>2.2000000000000002</v>
      </c>
      <c r="B340" s="324" t="str">
        <f>NhanCong!B$114</f>
        <v>Lập Phiếu xác nhận kết quả đo đạc hiện trạng thửa đất</v>
      </c>
      <c r="C340" s="319" t="s">
        <v>317</v>
      </c>
      <c r="D340" s="319" t="s">
        <v>15</v>
      </c>
      <c r="E340" s="301">
        <f>NhanCong!U$114</f>
        <v>75614.110000000015</v>
      </c>
      <c r="F340" s="301"/>
      <c r="G340" s="320">
        <f>Dcu!P$138</f>
        <v>353.01787179487178</v>
      </c>
      <c r="H340" s="320">
        <f>VLieu!N$91</f>
        <v>16983</v>
      </c>
      <c r="I340" s="320"/>
      <c r="J340" s="320">
        <f>TBi!N$145</f>
        <v>2673.8712</v>
      </c>
      <c r="K340" s="320">
        <f t="shared" ref="K340:K345" si="103">SUM(E340:J340)</f>
        <v>95623.999071794882</v>
      </c>
      <c r="L340" s="320">
        <f t="shared" ref="L340:L345" si="104">K340*0.15</f>
        <v>14343.599860769233</v>
      </c>
      <c r="M340" s="321">
        <f t="shared" ref="M340:M345" si="105">K340+L340</f>
        <v>109967.59893256411</v>
      </c>
      <c r="N340" s="320"/>
      <c r="O340" s="320">
        <f>NhanCong!V$114</f>
        <v>2140.7692307692305</v>
      </c>
    </row>
    <row r="341" spans="1:15" ht="26">
      <c r="A341" s="323">
        <v>2.2999999999999998</v>
      </c>
      <c r="B341" s="324" t="str">
        <f>NhanCong!B$115</f>
        <v>Công khai bản đồ địa chính, Hoàn thiện bản đồ địa chính</v>
      </c>
      <c r="C341" s="319" t="s">
        <v>317</v>
      </c>
      <c r="D341" s="319" t="s">
        <v>15</v>
      </c>
      <c r="E341" s="301">
        <f>NhanCong!U$115</f>
        <v>67365.29800000001</v>
      </c>
      <c r="F341" s="301"/>
      <c r="G341" s="320">
        <f>Dcu!P$130</f>
        <v>293.39061552136752</v>
      </c>
      <c r="H341" s="320">
        <f>VLieu!N$94</f>
        <v>7548</v>
      </c>
      <c r="I341" s="320"/>
      <c r="J341" s="320">
        <f>TBi!N$171</f>
        <v>2211.9762000000001</v>
      </c>
      <c r="K341" s="320">
        <f t="shared" si="103"/>
        <v>77418.664815521377</v>
      </c>
      <c r="L341" s="320">
        <f t="shared" si="104"/>
        <v>11612.799722328205</v>
      </c>
      <c r="M341" s="321">
        <f t="shared" si="105"/>
        <v>89031.464537849577</v>
      </c>
      <c r="N341" s="320"/>
      <c r="O341" s="320">
        <f>NhanCong!V$115</f>
        <v>1907.2307692307693</v>
      </c>
    </row>
    <row r="342" spans="1:15">
      <c r="A342" s="323">
        <v>2.4</v>
      </c>
      <c r="B342" s="324" t="str">
        <f>NhanCong!B$116</f>
        <v>Lập sổ mục kê đất đai phạm vi khu đo</v>
      </c>
      <c r="C342" s="319" t="s">
        <v>317</v>
      </c>
      <c r="D342" s="319" t="s">
        <v>15</v>
      </c>
      <c r="E342" s="301">
        <f>NhanCong!U$116</f>
        <v>7630.1511000000019</v>
      </c>
      <c r="F342" s="301"/>
      <c r="G342" s="320">
        <f>Dcu!P$140</f>
        <v>275.05370205128202</v>
      </c>
      <c r="H342" s="320">
        <f>VLieu!N$94</f>
        <v>7548</v>
      </c>
      <c r="I342" s="320"/>
      <c r="J342" s="320"/>
      <c r="K342" s="320">
        <f t="shared" si="103"/>
        <v>15453.204802051285</v>
      </c>
      <c r="L342" s="320">
        <f t="shared" si="104"/>
        <v>2317.9807203076925</v>
      </c>
      <c r="M342" s="321">
        <f t="shared" si="105"/>
        <v>17771.185522358977</v>
      </c>
      <c r="N342" s="320"/>
      <c r="O342" s="320">
        <f>NhanCong!V$116</f>
        <v>216.02307692307696</v>
      </c>
    </row>
    <row r="343" spans="1:15" ht="39">
      <c r="A343" s="323">
        <v>2.5</v>
      </c>
      <c r="B343" s="324" t="str">
        <f>NhanCong!B$117</f>
        <v>In sản phẩm đo đạc lập bản đồ địa chính gồm sản phẩm chính và sản phẩm trung gian</v>
      </c>
      <c r="C343" s="319" t="s">
        <v>317</v>
      </c>
      <c r="D343" s="319" t="s">
        <v>15</v>
      </c>
      <c r="E343" s="301">
        <f>NhanCong!U$117</f>
        <v>2646.4938500000007</v>
      </c>
      <c r="F343" s="301"/>
      <c r="G343" s="320">
        <f>Dcu!P$152</f>
        <v>574.56527435897431</v>
      </c>
      <c r="H343" s="320">
        <f>VLieu!N$102</f>
        <v>673</v>
      </c>
      <c r="I343" s="320"/>
      <c r="J343" s="320">
        <f>TBi!N$201</f>
        <v>98.389200000000002</v>
      </c>
      <c r="K343" s="320">
        <f t="shared" si="103"/>
        <v>3992.4483243589752</v>
      </c>
      <c r="L343" s="320">
        <f t="shared" si="104"/>
        <v>598.86724865384622</v>
      </c>
      <c r="M343" s="321">
        <f t="shared" si="105"/>
        <v>4591.3155730128219</v>
      </c>
      <c r="N343" s="320"/>
      <c r="O343" s="320">
        <f>NhanCong!V$117</f>
        <v>74.926923076923075</v>
      </c>
    </row>
    <row r="344" spans="1:15">
      <c r="A344" s="300">
        <v>2.6</v>
      </c>
      <c r="B344" s="324" t="str">
        <f>NhanCong!B$118</f>
        <v>Trình ký xác nhận hồ sơ</v>
      </c>
      <c r="C344" s="319" t="s">
        <v>317</v>
      </c>
      <c r="D344" s="319" t="s">
        <v>15</v>
      </c>
      <c r="E344" s="301">
        <f>NhanCong!U$118</f>
        <v>3780.7055000000009</v>
      </c>
      <c r="F344" s="301"/>
      <c r="G344" s="320">
        <f>Dcu!P$140</f>
        <v>275.05370205128202</v>
      </c>
      <c r="H344" s="320">
        <f>VLieu!N$94</f>
        <v>7548</v>
      </c>
      <c r="I344" s="320"/>
      <c r="J344" s="320"/>
      <c r="K344" s="320">
        <f t="shared" si="103"/>
        <v>11603.759202051282</v>
      </c>
      <c r="L344" s="320">
        <f t="shared" si="104"/>
        <v>1740.5638803076922</v>
      </c>
      <c r="M344" s="321">
        <f t="shared" si="105"/>
        <v>13344.323082358975</v>
      </c>
      <c r="N344" s="320"/>
      <c r="O344" s="320">
        <f>NhanCong!V$118</f>
        <v>107.03846153846155</v>
      </c>
    </row>
    <row r="345" spans="1:15" ht="26">
      <c r="A345" s="300">
        <v>2.7</v>
      </c>
      <c r="B345" s="324" t="str">
        <f>NhanCong!B$119</f>
        <v>Giao nộp sản phẩm đo đạc lập bản đồ địa chính</v>
      </c>
      <c r="C345" s="319" t="s">
        <v>317</v>
      </c>
      <c r="D345" s="319" t="s">
        <v>15</v>
      </c>
      <c r="E345" s="301">
        <f>NhanCong!U$119</f>
        <v>8729.9927000000007</v>
      </c>
      <c r="F345" s="301"/>
      <c r="G345" s="320">
        <f>Dcu!P$154</f>
        <v>28.728263717948717</v>
      </c>
      <c r="H345" s="320">
        <f>VLieu!N$94</f>
        <v>7548</v>
      </c>
      <c r="I345" s="320"/>
      <c r="J345" s="320"/>
      <c r="K345" s="320">
        <f t="shared" si="103"/>
        <v>16306.720963717949</v>
      </c>
      <c r="L345" s="320">
        <f t="shared" si="104"/>
        <v>2446.0081445576925</v>
      </c>
      <c r="M345" s="321">
        <f t="shared" si="105"/>
        <v>18752.729108275642</v>
      </c>
      <c r="N345" s="320"/>
      <c r="O345" s="320">
        <f>NhanCong!V$119</f>
        <v>247.16153846153847</v>
      </c>
    </row>
    <row r="346" spans="1:15">
      <c r="A346" s="300"/>
      <c r="B346" s="328"/>
      <c r="C346" s="300"/>
      <c r="D346" s="319"/>
      <c r="E346" s="301"/>
      <c r="F346" s="301"/>
      <c r="G346" s="320"/>
      <c r="H346" s="320"/>
      <c r="I346" s="320"/>
      <c r="J346" s="320"/>
      <c r="K346" s="320"/>
      <c r="L346" s="320"/>
      <c r="M346" s="321"/>
      <c r="N346" s="320"/>
      <c r="O346" s="320"/>
    </row>
    <row r="347" spans="1:15">
      <c r="A347" s="298" t="s">
        <v>31</v>
      </c>
      <c r="B347" s="316" t="s">
        <v>48</v>
      </c>
      <c r="C347" s="300"/>
      <c r="D347" s="300"/>
      <c r="E347" s="301"/>
      <c r="F347" s="301"/>
      <c r="G347" s="301"/>
      <c r="H347" s="301"/>
      <c r="I347" s="301"/>
      <c r="J347" s="301"/>
      <c r="K347" s="301"/>
      <c r="L347" s="301"/>
      <c r="M347" s="315">
        <v>900</v>
      </c>
      <c r="N347" s="327" t="s">
        <v>21</v>
      </c>
      <c r="O347" s="301"/>
    </row>
    <row r="348" spans="1:15">
      <c r="A348" s="1036"/>
      <c r="B348" s="1035" t="s">
        <v>190</v>
      </c>
      <c r="C348" s="1036" t="s">
        <v>21</v>
      </c>
      <c r="D348" s="298">
        <v>1</v>
      </c>
      <c r="E348" s="301">
        <f t="shared" ref="E348:H351" si="106">SUM(E$376,E377,E381,E385,E389,E393)</f>
        <v>370473.85428472236</v>
      </c>
      <c r="F348" s="301">
        <f t="shared" si="106"/>
        <v>37081.987179487187</v>
      </c>
      <c r="G348" s="301">
        <f t="shared" si="106"/>
        <v>3560.9192737980766</v>
      </c>
      <c r="H348" s="301">
        <f t="shared" si="106"/>
        <v>3970.7027777777776</v>
      </c>
      <c r="I348" s="301"/>
      <c r="J348" s="330">
        <f>SUM(J$376,J377,J381,J385,J389,J393)</f>
        <v>5.1445333333333334</v>
      </c>
      <c r="K348" s="301">
        <f t="shared" ref="K348:K355" si="107">SUM(E348:J348)</f>
        <v>415092.60804911872</v>
      </c>
      <c r="L348" s="301">
        <f t="shared" ref="L348:L351" si="108">K348*0.25</f>
        <v>103773.15201227968</v>
      </c>
      <c r="M348" s="315">
        <f t="shared" ref="M348:M355" si="109">K348+L348</f>
        <v>518865.76006139838</v>
      </c>
      <c r="N348" s="301">
        <f>M348+M352</f>
        <v>579292.62653179839</v>
      </c>
      <c r="O348" s="301">
        <f>SUM(O$437,O377,O381,O385,O389,O393)</f>
        <v>9789.5592948717931</v>
      </c>
    </row>
    <row r="349" spans="1:15">
      <c r="A349" s="1036"/>
      <c r="B349" s="1035"/>
      <c r="C349" s="1036"/>
      <c r="D349" s="298">
        <v>2</v>
      </c>
      <c r="E349" s="301">
        <f t="shared" si="106"/>
        <v>435757.85481250013</v>
      </c>
      <c r="F349" s="301">
        <f t="shared" si="106"/>
        <v>43948.572649572649</v>
      </c>
      <c r="G349" s="301">
        <f t="shared" si="106"/>
        <v>4130.1172242521361</v>
      </c>
      <c r="H349" s="301">
        <f t="shared" si="106"/>
        <v>3970.7027777777776</v>
      </c>
      <c r="I349" s="301"/>
      <c r="J349" s="330">
        <f>SUM(J$376,J378,J382,J386,J390,J394)</f>
        <v>5.1445333333333334</v>
      </c>
      <c r="K349" s="301">
        <f t="shared" si="107"/>
        <v>487812.391997436</v>
      </c>
      <c r="L349" s="301">
        <f t="shared" si="108"/>
        <v>121953.097999359</v>
      </c>
      <c r="M349" s="315">
        <f t="shared" si="109"/>
        <v>609765.48999679496</v>
      </c>
      <c r="N349" s="301">
        <f>M349+M353</f>
        <v>677317.31867150532</v>
      </c>
      <c r="O349" s="301">
        <f t="shared" ref="O349:O351" si="110">SUM(O$437,O378,O382,O386,O390,O394)</f>
        <v>11637.864850427351</v>
      </c>
    </row>
    <row r="350" spans="1:15">
      <c r="A350" s="1036"/>
      <c r="B350" s="1035"/>
      <c r="C350" s="1036"/>
      <c r="D350" s="298">
        <v>3</v>
      </c>
      <c r="E350" s="301">
        <f t="shared" si="106"/>
        <v>514064.28539583343</v>
      </c>
      <c r="F350" s="301">
        <f t="shared" si="106"/>
        <v>52185.645299145297</v>
      </c>
      <c r="G350" s="301">
        <f t="shared" si="106"/>
        <v>4458.1521607905979</v>
      </c>
      <c r="H350" s="301">
        <f t="shared" si="106"/>
        <v>3970.7027777777776</v>
      </c>
      <c r="I350" s="301"/>
      <c r="J350" s="330">
        <f>SUM(J$376,J379,J383,J387,J391,J395)</f>
        <v>5.1445333333333334</v>
      </c>
      <c r="K350" s="301">
        <f t="shared" si="107"/>
        <v>574683.93016688048</v>
      </c>
      <c r="L350" s="301">
        <f t="shared" si="108"/>
        <v>143670.98254172012</v>
      </c>
      <c r="M350" s="315">
        <f t="shared" si="109"/>
        <v>718354.91270860063</v>
      </c>
      <c r="N350" s="301">
        <f>M350+M354</f>
        <v>796452.44047315663</v>
      </c>
      <c r="O350" s="301">
        <f t="shared" si="110"/>
        <v>13854.85844017094</v>
      </c>
    </row>
    <row r="351" spans="1:15">
      <c r="A351" s="1036"/>
      <c r="B351" s="1035"/>
      <c r="C351" s="1036"/>
      <c r="D351" s="298">
        <v>4</v>
      </c>
      <c r="E351" s="301">
        <f t="shared" si="106"/>
        <v>608099.78747222223</v>
      </c>
      <c r="F351" s="301">
        <f t="shared" si="106"/>
        <v>62070.132478632484</v>
      </c>
      <c r="G351" s="301">
        <f t="shared" si="106"/>
        <v>4864.9883100961533</v>
      </c>
      <c r="H351" s="301">
        <f t="shared" si="106"/>
        <v>3970.7027777777776</v>
      </c>
      <c r="I351" s="301"/>
      <c r="J351" s="330">
        <f>SUM(J$376,J380,J384,J388,J392,J396)</f>
        <v>5.1445333333333334</v>
      </c>
      <c r="K351" s="301">
        <f t="shared" si="107"/>
        <v>679010.7555720621</v>
      </c>
      <c r="L351" s="301">
        <f t="shared" si="108"/>
        <v>169752.68889301553</v>
      </c>
      <c r="M351" s="315">
        <f t="shared" si="109"/>
        <v>848763.4444650776</v>
      </c>
      <c r="N351" s="301">
        <f>M351+M355</f>
        <v>941098.83505008835</v>
      </c>
      <c r="O351" s="301">
        <f t="shared" si="110"/>
        <v>16517.169871794871</v>
      </c>
    </row>
    <row r="352" spans="1:15">
      <c r="A352" s="1036"/>
      <c r="B352" s="1035" t="s">
        <v>192</v>
      </c>
      <c r="C352" s="1036" t="s">
        <v>21</v>
      </c>
      <c r="D352" s="298">
        <v>1</v>
      </c>
      <c r="E352" s="301">
        <f t="shared" ref="E352:H355" si="111">(E398+SUM(E$402:E$407))</f>
        <v>37322.055405555569</v>
      </c>
      <c r="F352" s="301">
        <f t="shared" si="111"/>
        <v>0</v>
      </c>
      <c r="G352" s="301">
        <f t="shared" si="111"/>
        <v>424.28791749762581</v>
      </c>
      <c r="H352" s="301">
        <f t="shared" si="111"/>
        <v>13138.755555555555</v>
      </c>
      <c r="I352" s="301"/>
      <c r="J352" s="301">
        <f>(J398+SUM(J$402:J$407))</f>
        <v>1660.0024000000003</v>
      </c>
      <c r="K352" s="301">
        <f t="shared" si="107"/>
        <v>52545.101278608752</v>
      </c>
      <c r="L352" s="301">
        <f>K352*0.15</f>
        <v>7881.7651917913126</v>
      </c>
      <c r="M352" s="315">
        <f t="shared" si="109"/>
        <v>60426.866470400062</v>
      </c>
      <c r="N352" s="301"/>
      <c r="O352" s="301">
        <f>(O398+SUM(O$463:O$468))</f>
        <v>643.47414529914533</v>
      </c>
    </row>
    <row r="353" spans="1:15">
      <c r="A353" s="1036"/>
      <c r="B353" s="1035"/>
      <c r="C353" s="1036"/>
      <c r="D353" s="298">
        <v>2</v>
      </c>
      <c r="E353" s="301">
        <f t="shared" si="111"/>
        <v>43271.892950000009</v>
      </c>
      <c r="F353" s="301">
        <f t="shared" si="111"/>
        <v>0</v>
      </c>
      <c r="G353" s="301">
        <f t="shared" si="111"/>
        <v>456.10161448243116</v>
      </c>
      <c r="H353" s="301">
        <f t="shared" si="111"/>
        <v>13138.755555555555</v>
      </c>
      <c r="I353" s="301"/>
      <c r="J353" s="301">
        <f>(J399+SUM(J$402:J$407))</f>
        <v>1873.9704666666671</v>
      </c>
      <c r="K353" s="301">
        <f t="shared" si="107"/>
        <v>58740.720586704658</v>
      </c>
      <c r="L353" s="301">
        <f>K353*0.15</f>
        <v>8811.1080880056979</v>
      </c>
      <c r="M353" s="315">
        <f t="shared" si="109"/>
        <v>67551.828674710356</v>
      </c>
      <c r="N353" s="301"/>
      <c r="O353" s="301">
        <f>(O399+SUM(O$463:O$468))</f>
        <v>811.92457264957272</v>
      </c>
    </row>
    <row r="354" spans="1:15">
      <c r="A354" s="1036"/>
      <c r="B354" s="1035"/>
      <c r="C354" s="1036"/>
      <c r="D354" s="298">
        <v>3</v>
      </c>
      <c r="E354" s="301">
        <f t="shared" si="111"/>
        <v>51299.209072222235</v>
      </c>
      <c r="F354" s="301">
        <f t="shared" si="111"/>
        <v>0</v>
      </c>
      <c r="G354" s="301">
        <f t="shared" si="111"/>
        <v>499.63614719848056</v>
      </c>
      <c r="H354" s="301">
        <f t="shared" si="111"/>
        <v>13138.755555555555</v>
      </c>
      <c r="I354" s="301"/>
      <c r="J354" s="301">
        <f>(J400+SUM(J$402:J$407))</f>
        <v>2973.2929333333336</v>
      </c>
      <c r="K354" s="301">
        <f t="shared" si="107"/>
        <v>67910.893708309595</v>
      </c>
      <c r="L354" s="301">
        <f>K354*0.15</f>
        <v>10186.634056246439</v>
      </c>
      <c r="M354" s="315">
        <f t="shared" si="109"/>
        <v>78097.527764556027</v>
      </c>
      <c r="N354" s="301"/>
      <c r="O354" s="301">
        <f>(O400+SUM(O$463:O$468))</f>
        <v>1039.192094017094</v>
      </c>
    </row>
    <row r="355" spans="1:15">
      <c r="A355" s="1036"/>
      <c r="B355" s="1035"/>
      <c r="C355" s="1036"/>
      <c r="D355" s="298">
        <v>4</v>
      </c>
      <c r="E355" s="301">
        <f t="shared" si="111"/>
        <v>62137.231505555581</v>
      </c>
      <c r="F355" s="301">
        <f t="shared" si="111"/>
        <v>0</v>
      </c>
      <c r="G355" s="301">
        <f t="shared" si="111"/>
        <v>558.24032585470081</v>
      </c>
      <c r="H355" s="301">
        <f t="shared" si="111"/>
        <v>13138.755555555555</v>
      </c>
      <c r="I355" s="301"/>
      <c r="J355" s="301">
        <f>(J401+SUM(J$402:J$407))</f>
        <v>4457.4166000000005</v>
      </c>
      <c r="K355" s="301">
        <f t="shared" si="107"/>
        <v>80291.643986965835</v>
      </c>
      <c r="L355" s="301">
        <f>K355*0.15</f>
        <v>12043.746598044874</v>
      </c>
      <c r="M355" s="315">
        <f t="shared" si="109"/>
        <v>92335.390585010711</v>
      </c>
      <c r="N355" s="301"/>
      <c r="O355" s="301">
        <f>(O401+SUM(O$463:O$468))</f>
        <v>1346.0356837606839</v>
      </c>
    </row>
    <row r="356" spans="1:15">
      <c r="A356" s="298"/>
      <c r="B356" s="314" t="s">
        <v>322</v>
      </c>
      <c r="C356" s="300"/>
      <c r="D356" s="300"/>
      <c r="E356" s="301"/>
      <c r="F356" s="301"/>
      <c r="G356" s="301"/>
      <c r="H356" s="301"/>
      <c r="I356" s="301"/>
      <c r="J356" s="301"/>
      <c r="K356" s="301"/>
      <c r="L356" s="301"/>
      <c r="M356" s="315"/>
      <c r="N356" s="301"/>
      <c r="O356" s="301"/>
    </row>
    <row r="357" spans="1:15">
      <c r="A357" s="298" t="s">
        <v>323</v>
      </c>
      <c r="B357" s="314" t="s">
        <v>324</v>
      </c>
      <c r="C357" s="300"/>
      <c r="D357" s="300"/>
      <c r="E357" s="301"/>
      <c r="F357" s="301"/>
      <c r="G357" s="301"/>
      <c r="H357" s="301"/>
      <c r="I357" s="301"/>
      <c r="J357" s="301"/>
      <c r="K357" s="301"/>
      <c r="L357" s="301"/>
      <c r="M357" s="315"/>
      <c r="N357" s="301"/>
      <c r="O357" s="301"/>
    </row>
    <row r="358" spans="1:15">
      <c r="A358" s="1036"/>
      <c r="B358" s="1035" t="s">
        <v>190</v>
      </c>
      <c r="C358" s="1036" t="s">
        <v>21</v>
      </c>
      <c r="D358" s="298">
        <v>1</v>
      </c>
      <c r="E358" s="301">
        <f t="shared" ref="E358:F365" si="112">E348*0.1</f>
        <v>37047.38542847224</v>
      </c>
      <c r="F358" s="301">
        <f t="shared" si="112"/>
        <v>3708.1987179487187</v>
      </c>
      <c r="G358" s="330">
        <f>G385*0.1/$M$347</f>
        <v>0.13825614733202751</v>
      </c>
      <c r="H358" s="329">
        <f>H348*0.1</f>
        <v>397.07027777777779</v>
      </c>
      <c r="I358" s="331"/>
      <c r="J358" s="301">
        <f>J385*0.1/$M$347</f>
        <v>0</v>
      </c>
      <c r="K358" s="301">
        <f t="shared" ref="K358:K365" si="113">SUM(E358:J358)</f>
        <v>41152.792680346065</v>
      </c>
      <c r="L358" s="301">
        <f>K358*0.25</f>
        <v>10288.198170086516</v>
      </c>
      <c r="M358" s="315">
        <f t="shared" ref="M358:M365" si="114">K358+L358</f>
        <v>51440.990850432579</v>
      </c>
      <c r="N358" s="301">
        <f>M358+M362</f>
        <v>55733.549018677717</v>
      </c>
      <c r="O358" s="301">
        <f t="shared" ref="O358:O365" si="115">O348*0.1</f>
        <v>978.95592948717933</v>
      </c>
    </row>
    <row r="359" spans="1:15">
      <c r="A359" s="1036"/>
      <c r="B359" s="1035"/>
      <c r="C359" s="1036"/>
      <c r="D359" s="298">
        <v>2</v>
      </c>
      <c r="E359" s="301">
        <f t="shared" si="112"/>
        <v>43575.785481250015</v>
      </c>
      <c r="F359" s="301">
        <f t="shared" si="112"/>
        <v>4394.8572649572652</v>
      </c>
      <c r="G359" s="330">
        <f>G386*0.1/$M$347</f>
        <v>0.16518916304605888</v>
      </c>
      <c r="H359" s="329">
        <f>H349*0.1</f>
        <v>397.07027777777779</v>
      </c>
      <c r="I359" s="331"/>
      <c r="J359" s="301">
        <f>J386*0.1/$M$347</f>
        <v>0</v>
      </c>
      <c r="K359" s="301">
        <f t="shared" si="113"/>
        <v>48367.878213148106</v>
      </c>
      <c r="L359" s="301">
        <f>K359*0.25</f>
        <v>12091.969553287026</v>
      </c>
      <c r="M359" s="315">
        <f t="shared" si="114"/>
        <v>60459.84776643513</v>
      </c>
      <c r="N359" s="301">
        <f>M359+M363</f>
        <v>65436.641317374881</v>
      </c>
      <c r="O359" s="301">
        <f t="shared" si="115"/>
        <v>1163.7864850427352</v>
      </c>
    </row>
    <row r="360" spans="1:15">
      <c r="A360" s="1036"/>
      <c r="B360" s="1035"/>
      <c r="C360" s="1036"/>
      <c r="D360" s="298">
        <v>3</v>
      </c>
      <c r="E360" s="301">
        <f t="shared" si="112"/>
        <v>51406.428539583343</v>
      </c>
      <c r="F360" s="301">
        <f t="shared" si="112"/>
        <v>5218.5645299145299</v>
      </c>
      <c r="G360" s="330">
        <f>G387*0.1/$M$347</f>
        <v>0.17955343809354224</v>
      </c>
      <c r="H360" s="329">
        <f>H350*0.1</f>
        <v>397.07027777777779</v>
      </c>
      <c r="I360" s="331"/>
      <c r="J360" s="301">
        <f>J387*0.1/$M$347</f>
        <v>0</v>
      </c>
      <c r="K360" s="301">
        <f t="shared" si="113"/>
        <v>57022.242900713747</v>
      </c>
      <c r="L360" s="301">
        <f>K360*0.25</f>
        <v>14255.560725178437</v>
      </c>
      <c r="M360" s="315">
        <f t="shared" si="114"/>
        <v>71277.803625892178</v>
      </c>
      <c r="N360" s="301">
        <f>M360+M364</f>
        <v>77177.74409363333</v>
      </c>
      <c r="O360" s="301">
        <f t="shared" si="115"/>
        <v>1385.485844017094</v>
      </c>
    </row>
    <row r="361" spans="1:15">
      <c r="A361" s="1036"/>
      <c r="B361" s="1035"/>
      <c r="C361" s="1036"/>
      <c r="D361" s="298">
        <v>4</v>
      </c>
      <c r="E361" s="301">
        <f t="shared" si="112"/>
        <v>60809.978747222223</v>
      </c>
      <c r="F361" s="301">
        <f t="shared" si="112"/>
        <v>6207.0132478632486</v>
      </c>
      <c r="G361" s="330">
        <f>G388*0.1/$M$347</f>
        <v>0.19750878190289647</v>
      </c>
      <c r="H361" s="329">
        <f>H351*0.1</f>
        <v>397.07027777777779</v>
      </c>
      <c r="I361" s="331"/>
      <c r="J361" s="301">
        <f>J388*0.1/$M$347</f>
        <v>0</v>
      </c>
      <c r="K361" s="301">
        <f t="shared" si="113"/>
        <v>67414.259781645145</v>
      </c>
      <c r="L361" s="301">
        <f>K361*0.25</f>
        <v>16853.564945411286</v>
      </c>
      <c r="M361" s="315">
        <f t="shared" si="114"/>
        <v>84267.824727056432</v>
      </c>
      <c r="N361" s="301">
        <f>M361+M365</f>
        <v>91414.145262942635</v>
      </c>
      <c r="O361" s="301">
        <f t="shared" si="115"/>
        <v>1651.7169871794872</v>
      </c>
    </row>
    <row r="362" spans="1:15">
      <c r="A362" s="1036"/>
      <c r="B362" s="1035" t="s">
        <v>192</v>
      </c>
      <c r="C362" s="1036" t="s">
        <v>21</v>
      </c>
      <c r="D362" s="298">
        <v>1</v>
      </c>
      <c r="E362" s="301">
        <f t="shared" si="112"/>
        <v>3732.205540555557</v>
      </c>
      <c r="F362" s="301">
        <f t="shared" si="112"/>
        <v>0</v>
      </c>
      <c r="G362" s="330">
        <f t="shared" ref="G362:H365" si="116">G398*0.1/$M$347</f>
        <v>1.0232475638387676E-2</v>
      </c>
      <c r="H362" s="329">
        <f t="shared" si="116"/>
        <v>0.44350370370370373</v>
      </c>
      <c r="I362" s="331"/>
      <c r="J362" s="301"/>
      <c r="K362" s="301">
        <f t="shared" si="113"/>
        <v>3732.6592767348993</v>
      </c>
      <c r="L362" s="301">
        <f>K362*0.15</f>
        <v>559.89889151023488</v>
      </c>
      <c r="M362" s="315">
        <f t="shared" si="114"/>
        <v>4292.5581682451339</v>
      </c>
      <c r="N362" s="301"/>
      <c r="O362" s="301">
        <f t="shared" si="115"/>
        <v>64.347414529914531</v>
      </c>
    </row>
    <row r="363" spans="1:15">
      <c r="A363" s="1036"/>
      <c r="B363" s="1035"/>
      <c r="C363" s="1036"/>
      <c r="D363" s="298">
        <v>2</v>
      </c>
      <c r="E363" s="301">
        <f t="shared" si="112"/>
        <v>4327.189295000001</v>
      </c>
      <c r="F363" s="301">
        <f t="shared" si="112"/>
        <v>0</v>
      </c>
      <c r="G363" s="330">
        <f t="shared" si="116"/>
        <v>1.3767330858921602E-2</v>
      </c>
      <c r="H363" s="329">
        <f t="shared" si="116"/>
        <v>0.44350370370370373</v>
      </c>
      <c r="I363" s="331"/>
      <c r="J363" s="301"/>
      <c r="K363" s="301">
        <f t="shared" si="113"/>
        <v>4327.6465660345639</v>
      </c>
      <c r="L363" s="301">
        <f>K363*0.15</f>
        <v>649.14698490518458</v>
      </c>
      <c r="M363" s="315">
        <f t="shared" si="114"/>
        <v>4976.7935509397485</v>
      </c>
      <c r="N363" s="301"/>
      <c r="O363" s="301">
        <f t="shared" si="115"/>
        <v>81.192457264957284</v>
      </c>
    </row>
    <row r="364" spans="1:15">
      <c r="A364" s="1036"/>
      <c r="B364" s="1035"/>
      <c r="C364" s="1036"/>
      <c r="D364" s="298">
        <v>3</v>
      </c>
      <c r="E364" s="301">
        <f t="shared" si="112"/>
        <v>5129.9209072222238</v>
      </c>
      <c r="F364" s="301">
        <f t="shared" si="112"/>
        <v>0</v>
      </c>
      <c r="G364" s="330">
        <f t="shared" si="116"/>
        <v>1.8604501160704865E-2</v>
      </c>
      <c r="H364" s="329">
        <f t="shared" si="116"/>
        <v>0.44350370370370373</v>
      </c>
      <c r="I364" s="331"/>
      <c r="J364" s="301"/>
      <c r="K364" s="301">
        <f t="shared" si="113"/>
        <v>5130.3830154270881</v>
      </c>
      <c r="L364" s="301">
        <f>K364*0.15</f>
        <v>769.5574523140632</v>
      </c>
      <c r="M364" s="315">
        <f t="shared" si="114"/>
        <v>5899.9404677411512</v>
      </c>
      <c r="N364" s="301"/>
      <c r="O364" s="301">
        <f t="shared" si="115"/>
        <v>103.9192094017094</v>
      </c>
    </row>
    <row r="365" spans="1:15">
      <c r="A365" s="1036"/>
      <c r="B365" s="1035"/>
      <c r="C365" s="1036"/>
      <c r="D365" s="298">
        <v>4</v>
      </c>
      <c r="E365" s="301">
        <f t="shared" si="112"/>
        <v>6213.7231505555583</v>
      </c>
      <c r="F365" s="301">
        <f t="shared" si="112"/>
        <v>0</v>
      </c>
      <c r="G365" s="330">
        <f t="shared" si="116"/>
        <v>2.5116076566951574E-2</v>
      </c>
      <c r="H365" s="329">
        <f t="shared" si="116"/>
        <v>0.44350370370370373</v>
      </c>
      <c r="I365" s="331"/>
      <c r="J365" s="301"/>
      <c r="K365" s="301">
        <f t="shared" si="113"/>
        <v>6214.1917703358286</v>
      </c>
      <c r="L365" s="301">
        <f>K365*0.15</f>
        <v>932.12876555037428</v>
      </c>
      <c r="M365" s="315">
        <f t="shared" si="114"/>
        <v>7146.3205358862033</v>
      </c>
      <c r="N365" s="301"/>
      <c r="O365" s="301">
        <f t="shared" si="115"/>
        <v>134.60356837606841</v>
      </c>
    </row>
    <row r="366" spans="1:15">
      <c r="A366" s="298" t="s">
        <v>508</v>
      </c>
      <c r="B366" s="314" t="s">
        <v>326</v>
      </c>
      <c r="C366" s="300"/>
      <c r="D366" s="300"/>
      <c r="E366" s="301"/>
      <c r="F366" s="301"/>
      <c r="G366" s="301"/>
      <c r="H366" s="301"/>
      <c r="I366" s="301"/>
      <c r="J366" s="301"/>
      <c r="K366" s="301"/>
      <c r="L366" s="301"/>
      <c r="M366" s="315"/>
      <c r="N366" s="301"/>
      <c r="O366" s="301"/>
    </row>
    <row r="367" spans="1:15">
      <c r="A367" s="1036"/>
      <c r="B367" s="1035" t="s">
        <v>190</v>
      </c>
      <c r="C367" s="1036" t="s">
        <v>21</v>
      </c>
      <c r="D367" s="298">
        <v>1</v>
      </c>
      <c r="E367" s="301">
        <f t="shared" ref="E367:F370" si="117">E348*1.15</f>
        <v>426044.9324274307</v>
      </c>
      <c r="F367" s="301">
        <f t="shared" si="117"/>
        <v>42644.285256410265</v>
      </c>
      <c r="G367" s="301">
        <f t="shared" ref="G367:H374" si="118">G348</f>
        <v>3560.9192737980766</v>
      </c>
      <c r="H367" s="301">
        <f t="shared" si="118"/>
        <v>3970.7027777777776</v>
      </c>
      <c r="I367" s="301"/>
      <c r="J367" s="301">
        <f t="shared" ref="J367:J374" si="119">J348</f>
        <v>5.1445333333333334</v>
      </c>
      <c r="K367" s="301">
        <f t="shared" ref="K367:K374" si="120">SUM(E367:J367)</f>
        <v>476225.98426875012</v>
      </c>
      <c r="L367" s="301">
        <f>K367*0.25</f>
        <v>119056.49606718753</v>
      </c>
      <c r="M367" s="315">
        <f t="shared" ref="M367:M374" si="121">K367+L367</f>
        <v>595282.4803359377</v>
      </c>
      <c r="N367" s="301">
        <f>M367+M371</f>
        <v>660001.38317797671</v>
      </c>
      <c r="O367" s="301">
        <f>O348*1.15</f>
        <v>11257.993189102561</v>
      </c>
    </row>
    <row r="368" spans="1:15">
      <c r="A368" s="1036"/>
      <c r="B368" s="1035"/>
      <c r="C368" s="1036"/>
      <c r="D368" s="298">
        <v>2</v>
      </c>
      <c r="E368" s="301">
        <f t="shared" si="117"/>
        <v>501121.53303437511</v>
      </c>
      <c r="F368" s="301">
        <f t="shared" si="117"/>
        <v>50540.858547008545</v>
      </c>
      <c r="G368" s="301">
        <f t="shared" si="118"/>
        <v>4130.1172242521361</v>
      </c>
      <c r="H368" s="301">
        <f t="shared" si="118"/>
        <v>3970.7027777777776</v>
      </c>
      <c r="I368" s="301"/>
      <c r="J368" s="301">
        <f t="shared" si="119"/>
        <v>5.1445333333333334</v>
      </c>
      <c r="K368" s="301">
        <f t="shared" si="120"/>
        <v>559768.3561167469</v>
      </c>
      <c r="L368" s="301">
        <f>K368*0.25</f>
        <v>139942.08902918673</v>
      </c>
      <c r="M368" s="315">
        <f t="shared" si="121"/>
        <v>699710.44514593366</v>
      </c>
      <c r="N368" s="301">
        <f>M368+M372</f>
        <v>772238.54150989396</v>
      </c>
      <c r="O368" s="301">
        <f>O349*1.15</f>
        <v>13383.544577991453</v>
      </c>
    </row>
    <row r="369" spans="1:15">
      <c r="A369" s="1036"/>
      <c r="B369" s="1035"/>
      <c r="C369" s="1036"/>
      <c r="D369" s="298">
        <v>3</v>
      </c>
      <c r="E369" s="301">
        <f t="shared" si="117"/>
        <v>591173.92820520839</v>
      </c>
      <c r="F369" s="301">
        <f t="shared" si="117"/>
        <v>60013.492094017085</v>
      </c>
      <c r="G369" s="301">
        <f t="shared" si="118"/>
        <v>4458.1521607905979</v>
      </c>
      <c r="H369" s="301">
        <f t="shared" si="118"/>
        <v>3970.7027777777776</v>
      </c>
      <c r="I369" s="301"/>
      <c r="J369" s="301">
        <f t="shared" si="119"/>
        <v>5.1445333333333334</v>
      </c>
      <c r="K369" s="301">
        <f t="shared" si="120"/>
        <v>659621.41977112729</v>
      </c>
      <c r="L369" s="301">
        <f>K369*0.25</f>
        <v>164905.35494278182</v>
      </c>
      <c r="M369" s="315">
        <f t="shared" si="121"/>
        <v>824526.77471390914</v>
      </c>
      <c r="N369" s="301">
        <f>M369+M373</f>
        <v>908523.71152177069</v>
      </c>
      <c r="O369" s="301">
        <f>O350*1.15</f>
        <v>15933.087206196578</v>
      </c>
    </row>
    <row r="370" spans="1:15">
      <c r="A370" s="1036"/>
      <c r="B370" s="1035"/>
      <c r="C370" s="1036"/>
      <c r="D370" s="298">
        <v>4</v>
      </c>
      <c r="E370" s="301">
        <f t="shared" si="117"/>
        <v>699314.75559305551</v>
      </c>
      <c r="F370" s="301">
        <f t="shared" si="117"/>
        <v>71380.65235042735</v>
      </c>
      <c r="G370" s="301">
        <f t="shared" si="118"/>
        <v>4864.9883100961533</v>
      </c>
      <c r="H370" s="301">
        <f t="shared" si="118"/>
        <v>3970.7027777777776</v>
      </c>
      <c r="I370" s="301"/>
      <c r="J370" s="301">
        <f t="shared" si="119"/>
        <v>5.1445333333333334</v>
      </c>
      <c r="K370" s="301">
        <f t="shared" si="120"/>
        <v>779536.24356469023</v>
      </c>
      <c r="L370" s="301">
        <f>K370*0.25</f>
        <v>194884.06089117256</v>
      </c>
      <c r="M370" s="315">
        <f t="shared" si="121"/>
        <v>974420.30445586285</v>
      </c>
      <c r="N370" s="301">
        <f>M370+M374</f>
        <v>1073901.4766640125</v>
      </c>
      <c r="O370" s="301">
        <f>O351*1.15</f>
        <v>18994.745352564099</v>
      </c>
    </row>
    <row r="371" spans="1:15">
      <c r="A371" s="1036"/>
      <c r="B371" s="1035" t="s">
        <v>192</v>
      </c>
      <c r="C371" s="1036" t="s">
        <v>21</v>
      </c>
      <c r="D371" s="298">
        <v>1</v>
      </c>
      <c r="E371" s="301">
        <f t="shared" ref="E371:F374" si="122">E352*1.1</f>
        <v>41054.260946111128</v>
      </c>
      <c r="F371" s="301">
        <f t="shared" si="122"/>
        <v>0</v>
      </c>
      <c r="G371" s="301">
        <f t="shared" si="118"/>
        <v>424.28791749762581</v>
      </c>
      <c r="H371" s="301">
        <f t="shared" si="118"/>
        <v>13138.755555555555</v>
      </c>
      <c r="I371" s="301"/>
      <c r="J371" s="301">
        <f t="shared" si="119"/>
        <v>1660.0024000000003</v>
      </c>
      <c r="K371" s="301">
        <f t="shared" si="120"/>
        <v>56277.306819164311</v>
      </c>
      <c r="L371" s="301">
        <f>K371*0.15</f>
        <v>8441.5960228746462</v>
      </c>
      <c r="M371" s="315">
        <f t="shared" si="121"/>
        <v>64718.902842038959</v>
      </c>
      <c r="N371" s="301"/>
      <c r="O371" s="301">
        <f>O352*1.1</f>
        <v>707.82155982905988</v>
      </c>
    </row>
    <row r="372" spans="1:15">
      <c r="A372" s="1036"/>
      <c r="B372" s="1035"/>
      <c r="C372" s="1036"/>
      <c r="D372" s="298">
        <v>2</v>
      </c>
      <c r="E372" s="301">
        <f t="shared" si="122"/>
        <v>47599.082245000012</v>
      </c>
      <c r="F372" s="301">
        <f t="shared" si="122"/>
        <v>0</v>
      </c>
      <c r="G372" s="301">
        <f t="shared" si="118"/>
        <v>456.10161448243116</v>
      </c>
      <c r="H372" s="301">
        <f t="shared" si="118"/>
        <v>13138.755555555555</v>
      </c>
      <c r="I372" s="301"/>
      <c r="J372" s="301">
        <f t="shared" si="119"/>
        <v>1873.9704666666671</v>
      </c>
      <c r="K372" s="301">
        <f t="shared" si="120"/>
        <v>63067.909881704662</v>
      </c>
      <c r="L372" s="301">
        <f>K372*0.15</f>
        <v>9460.1864822556981</v>
      </c>
      <c r="M372" s="315">
        <f t="shared" si="121"/>
        <v>72528.096363960358</v>
      </c>
      <c r="N372" s="301"/>
      <c r="O372" s="301">
        <f>O353*1.1</f>
        <v>893.11702991453012</v>
      </c>
    </row>
    <row r="373" spans="1:15">
      <c r="A373" s="1036"/>
      <c r="B373" s="1035"/>
      <c r="C373" s="1036"/>
      <c r="D373" s="298">
        <v>3</v>
      </c>
      <c r="E373" s="301">
        <f t="shared" si="122"/>
        <v>56429.129979444464</v>
      </c>
      <c r="F373" s="301">
        <f t="shared" si="122"/>
        <v>0</v>
      </c>
      <c r="G373" s="301">
        <f t="shared" si="118"/>
        <v>499.63614719848056</v>
      </c>
      <c r="H373" s="301">
        <f t="shared" si="118"/>
        <v>13138.755555555555</v>
      </c>
      <c r="I373" s="301"/>
      <c r="J373" s="301">
        <f t="shared" si="119"/>
        <v>2973.2929333333336</v>
      </c>
      <c r="K373" s="301">
        <f t="shared" si="120"/>
        <v>73040.814615531825</v>
      </c>
      <c r="L373" s="301">
        <f>K373*0.15</f>
        <v>10956.122192329773</v>
      </c>
      <c r="M373" s="315">
        <f t="shared" si="121"/>
        <v>83996.936807861595</v>
      </c>
      <c r="N373" s="301"/>
      <c r="O373" s="301">
        <f>O354*1.1</f>
        <v>1143.1113034188033</v>
      </c>
    </row>
    <row r="374" spans="1:15">
      <c r="A374" s="1036"/>
      <c r="B374" s="1035"/>
      <c r="C374" s="1036"/>
      <c r="D374" s="298">
        <v>4</v>
      </c>
      <c r="E374" s="301">
        <f t="shared" si="122"/>
        <v>68350.954656111149</v>
      </c>
      <c r="F374" s="301">
        <f t="shared" si="122"/>
        <v>0</v>
      </c>
      <c r="G374" s="301">
        <f t="shared" si="118"/>
        <v>558.24032585470081</v>
      </c>
      <c r="H374" s="301">
        <f t="shared" si="118"/>
        <v>13138.755555555555</v>
      </c>
      <c r="I374" s="301"/>
      <c r="J374" s="301">
        <f t="shared" si="119"/>
        <v>4457.4166000000005</v>
      </c>
      <c r="K374" s="301">
        <f t="shared" si="120"/>
        <v>86505.367137521403</v>
      </c>
      <c r="L374" s="301">
        <f>K374*0.15</f>
        <v>12975.80507062821</v>
      </c>
      <c r="M374" s="315">
        <f t="shared" si="121"/>
        <v>99481.172208149612</v>
      </c>
      <c r="N374" s="301"/>
      <c r="O374" s="301">
        <f>O355*1.1</f>
        <v>1480.6392521367525</v>
      </c>
    </row>
    <row r="375" spans="1:15">
      <c r="A375" s="298">
        <v>1</v>
      </c>
      <c r="B375" s="316" t="s">
        <v>57</v>
      </c>
      <c r="C375" s="300"/>
      <c r="D375" s="300"/>
      <c r="E375" s="301"/>
      <c r="F375" s="301"/>
      <c r="G375" s="301"/>
      <c r="H375" s="301"/>
      <c r="I375" s="301"/>
      <c r="J375" s="301"/>
      <c r="K375" s="301"/>
      <c r="L375" s="301"/>
      <c r="M375" s="315">
        <v>900</v>
      </c>
      <c r="N375" s="327" t="s">
        <v>21</v>
      </c>
      <c r="O375" s="301"/>
    </row>
    <row r="376" spans="1:15">
      <c r="A376" s="323" t="s">
        <v>359</v>
      </c>
      <c r="B376" s="324" t="str">
        <f>NhanCong!B$61</f>
        <v>Công tác chuẩn bị</v>
      </c>
      <c r="C376" s="319" t="s">
        <v>317</v>
      </c>
      <c r="D376" s="319" t="s">
        <v>622</v>
      </c>
      <c r="E376" s="301">
        <f>NhanCong!Y$61</f>
        <v>44029.983555555576</v>
      </c>
      <c r="F376" s="301">
        <f>NhanCong!Y$62</f>
        <v>2753.102564102564</v>
      </c>
      <c r="G376" s="320">
        <f>Dcu!Q$102*0.4</f>
        <v>646.39237713675209</v>
      </c>
      <c r="H376" s="320">
        <f>VLieu!O$66</f>
        <v>589.70833333333326</v>
      </c>
      <c r="I376" s="320"/>
      <c r="J376" s="320"/>
      <c r="K376" s="320">
        <f>SUM(E376:J376)</f>
        <v>48019.18683012823</v>
      </c>
      <c r="L376" s="320">
        <f>K376*0.25</f>
        <v>12004.796707532058</v>
      </c>
      <c r="M376" s="321">
        <f>K376+L376</f>
        <v>60023.983537660286</v>
      </c>
      <c r="N376" s="320"/>
      <c r="O376" s="320">
        <f>NhanCong!Z$61</f>
        <v>1204.4529914529915</v>
      </c>
    </row>
    <row r="377" spans="1:15">
      <c r="A377" s="1041" t="s">
        <v>269</v>
      </c>
      <c r="B377" s="1038" t="str">
        <f>NhanCong!B$63</f>
        <v>Lập lưới khống chế đo vẽ</v>
      </c>
      <c r="C377" s="1039" t="s">
        <v>317</v>
      </c>
      <c r="D377" s="319">
        <v>1</v>
      </c>
      <c r="E377" s="301">
        <f>NhanCong!Y$63</f>
        <v>29429.355312500007</v>
      </c>
      <c r="F377" s="301"/>
      <c r="G377" s="320">
        <f>Dcu!Q$82</f>
        <v>177.05517948717946</v>
      </c>
      <c r="H377" s="320">
        <f>VLieu!O$67</f>
        <v>393.13888888888891</v>
      </c>
      <c r="I377" s="320"/>
      <c r="J377" s="332">
        <f>TBi!N$54</f>
        <v>5.1445333333333334</v>
      </c>
      <c r="K377" s="320">
        <f t="shared" ref="K377:K380" si="123">SUM(E377:J377)</f>
        <v>30004.693914209409</v>
      </c>
      <c r="L377" s="320">
        <f t="shared" ref="L377:L396" si="124">K377*0.25</f>
        <v>7501.1734785523522</v>
      </c>
      <c r="M377" s="321">
        <f t="shared" ref="M377:M396" si="125">K377+L377</f>
        <v>37505.867392761764</v>
      </c>
      <c r="N377" s="320"/>
      <c r="O377" s="320">
        <f>NhanCong!Z$63</f>
        <v>833.19711538461524</v>
      </c>
    </row>
    <row r="378" spans="1:15">
      <c r="A378" s="1041"/>
      <c r="B378" s="1038"/>
      <c r="C378" s="1039"/>
      <c r="D378" s="319">
        <v>2</v>
      </c>
      <c r="E378" s="301">
        <f>NhanCong!Y$64</f>
        <v>35324.773611111123</v>
      </c>
      <c r="F378" s="301"/>
      <c r="G378" s="320">
        <f>Dcu!Q$83</f>
        <v>212.97941880341878</v>
      </c>
      <c r="H378" s="320">
        <f>VLieu!O$67</f>
        <v>393.13888888888891</v>
      </c>
      <c r="I378" s="320"/>
      <c r="J378" s="332">
        <f>TBi!O$54</f>
        <v>5.1445333333333334</v>
      </c>
      <c r="K378" s="320">
        <f t="shared" si="123"/>
        <v>35936.036452136766</v>
      </c>
      <c r="L378" s="320">
        <f t="shared" si="124"/>
        <v>8984.0091130341916</v>
      </c>
      <c r="M378" s="321">
        <f t="shared" si="125"/>
        <v>44920.045565170956</v>
      </c>
      <c r="N378" s="320"/>
      <c r="O378" s="320">
        <f>NhanCong!Z$64</f>
        <v>1000.1068376068375</v>
      </c>
    </row>
    <row r="379" spans="1:15">
      <c r="A379" s="1041"/>
      <c r="B379" s="1038"/>
      <c r="C379" s="1039"/>
      <c r="D379" s="319">
        <v>3</v>
      </c>
      <c r="E379" s="301">
        <f>NhanCong!Y$65</f>
        <v>42365.860243055562</v>
      </c>
      <c r="F379" s="301"/>
      <c r="G379" s="320">
        <f>Dcu!Q$84</f>
        <v>256.6017094017094</v>
      </c>
      <c r="H379" s="320">
        <f>VLieu!O$67</f>
        <v>393.13888888888891</v>
      </c>
      <c r="I379" s="320"/>
      <c r="J379" s="332">
        <f>TBi!P$54</f>
        <v>5.1445333333333334</v>
      </c>
      <c r="K379" s="320">
        <f t="shared" si="123"/>
        <v>43020.745374679493</v>
      </c>
      <c r="L379" s="320">
        <f t="shared" si="124"/>
        <v>10755.186343669873</v>
      </c>
      <c r="M379" s="321">
        <f t="shared" si="125"/>
        <v>53775.931718349369</v>
      </c>
      <c r="N379" s="320"/>
      <c r="O379" s="320">
        <f>NhanCong!Z$65</f>
        <v>1199.4524572649573</v>
      </c>
    </row>
    <row r="380" spans="1:15">
      <c r="A380" s="1041"/>
      <c r="B380" s="1038"/>
      <c r="C380" s="1039"/>
      <c r="D380" s="319">
        <v>4</v>
      </c>
      <c r="E380" s="301">
        <f>NhanCong!Y$66</f>
        <v>50862.900381944455</v>
      </c>
      <c r="F380" s="301"/>
      <c r="G380" s="320">
        <f>Dcu!Q$85</f>
        <v>307.92205128205126</v>
      </c>
      <c r="H380" s="320">
        <f>VLieu!O$67</f>
        <v>393.13888888888891</v>
      </c>
      <c r="I380" s="320"/>
      <c r="J380" s="332">
        <f>TBi!Q$54</f>
        <v>5.1445333333333334</v>
      </c>
      <c r="K380" s="320">
        <f t="shared" si="123"/>
        <v>51569.105855448732</v>
      </c>
      <c r="L380" s="320">
        <f t="shared" si="124"/>
        <v>12892.276463862183</v>
      </c>
      <c r="M380" s="321">
        <f t="shared" si="125"/>
        <v>64461.382319310913</v>
      </c>
      <c r="N380" s="320"/>
      <c r="O380" s="320">
        <f>NhanCong!Z$66</f>
        <v>1440.0186965811968</v>
      </c>
    </row>
    <row r="381" spans="1:15">
      <c r="A381" s="1041" t="s">
        <v>36</v>
      </c>
      <c r="B381" s="1038" t="str">
        <f>NhanCong!B$68</f>
        <v>Xác định ranh giới thửa đất trên thực địa</v>
      </c>
      <c r="C381" s="1039" t="s">
        <v>317</v>
      </c>
      <c r="D381" s="319">
        <v>1</v>
      </c>
      <c r="E381" s="301">
        <f>NhanCong!Y$68</f>
        <v>78764.697916666686</v>
      </c>
      <c r="F381" s="301">
        <f>NhanCong!Y$69</f>
        <v>16676.282051282054</v>
      </c>
      <c r="G381" s="320">
        <f>Dcu!Q$103*0.4</f>
        <v>497.72213039529908</v>
      </c>
      <c r="H381" s="320">
        <f>VLieu!O$68</f>
        <v>982.84722222222217</v>
      </c>
      <c r="I381" s="320"/>
      <c r="J381" s="320"/>
      <c r="K381" s="320">
        <f>SUM(E381:J381)</f>
        <v>96921.549320566264</v>
      </c>
      <c r="L381" s="320">
        <f t="shared" si="124"/>
        <v>24230.387330141566</v>
      </c>
      <c r="M381" s="321">
        <f t="shared" si="125"/>
        <v>121151.93665070782</v>
      </c>
      <c r="N381" s="320"/>
      <c r="O381" s="320">
        <f>NhanCong!Z$68</f>
        <v>2229.9679487179487</v>
      </c>
    </row>
    <row r="382" spans="1:15">
      <c r="A382" s="1041"/>
      <c r="B382" s="1038"/>
      <c r="C382" s="1039"/>
      <c r="D382" s="319">
        <v>2</v>
      </c>
      <c r="E382" s="301">
        <f>NhanCong!Y$70</f>
        <v>94517.637500000012</v>
      </c>
      <c r="F382" s="301">
        <f>NhanCong!Y$71</f>
        <v>20011.538461538461</v>
      </c>
      <c r="G382" s="320">
        <f>Dcu!Q$104*0.4</f>
        <v>594.68098696581194</v>
      </c>
      <c r="H382" s="320">
        <f>VLieu!O$68</f>
        <v>982.84722222222217</v>
      </c>
      <c r="I382" s="320"/>
      <c r="J382" s="320"/>
      <c r="K382" s="320">
        <f t="shared" ref="K382:K396" si="126">SUM(E382:J382)</f>
        <v>116106.70417072652</v>
      </c>
      <c r="L382" s="320">
        <f t="shared" si="124"/>
        <v>29026.676042681629</v>
      </c>
      <c r="M382" s="321">
        <f t="shared" si="125"/>
        <v>145133.38021340815</v>
      </c>
      <c r="N382" s="320"/>
      <c r="O382" s="320">
        <f>NhanCong!Z$70</f>
        <v>2675.9615384615386</v>
      </c>
    </row>
    <row r="383" spans="1:15">
      <c r="A383" s="1041"/>
      <c r="B383" s="1038"/>
      <c r="C383" s="1039"/>
      <c r="D383" s="319">
        <v>3</v>
      </c>
      <c r="E383" s="301">
        <f>NhanCong!Y$72</f>
        <v>113421.16500000002</v>
      </c>
      <c r="F383" s="301">
        <f>NhanCong!Y$73</f>
        <v>24013.846153846156</v>
      </c>
      <c r="G383" s="320">
        <f>Dcu!Q$105*0.4</f>
        <v>646.39237713675209</v>
      </c>
      <c r="H383" s="320">
        <f>VLieu!O$68</f>
        <v>982.84722222222217</v>
      </c>
      <c r="I383" s="320"/>
      <c r="J383" s="320"/>
      <c r="K383" s="320">
        <f t="shared" si="126"/>
        <v>139064.25075320512</v>
      </c>
      <c r="L383" s="320">
        <f t="shared" si="124"/>
        <v>34766.062688301281</v>
      </c>
      <c r="M383" s="321">
        <f t="shared" si="125"/>
        <v>173830.31344150641</v>
      </c>
      <c r="N383" s="320"/>
      <c r="O383" s="320">
        <f>NhanCong!Z$72</f>
        <v>3211.1538461538457</v>
      </c>
    </row>
    <row r="384" spans="1:15">
      <c r="A384" s="1041"/>
      <c r="B384" s="1038"/>
      <c r="C384" s="1039"/>
      <c r="D384" s="319">
        <v>4</v>
      </c>
      <c r="E384" s="301">
        <f>NhanCong!Y$74</f>
        <v>136105.39800000002</v>
      </c>
      <c r="F384" s="301">
        <f>NhanCong!Y$75</f>
        <v>28816.615384615387</v>
      </c>
      <c r="G384" s="320">
        <f>Dcu!Q$106*0.4</f>
        <v>711.03161485042733</v>
      </c>
      <c r="H384" s="320">
        <f>VLieu!O$68</f>
        <v>982.84722222222217</v>
      </c>
      <c r="I384" s="320"/>
      <c r="J384" s="320"/>
      <c r="K384" s="320">
        <f t="shared" si="126"/>
        <v>166615.89222168803</v>
      </c>
      <c r="L384" s="320">
        <f t="shared" si="124"/>
        <v>41653.973055422008</v>
      </c>
      <c r="M384" s="321">
        <f t="shared" si="125"/>
        <v>208269.86527711005</v>
      </c>
      <c r="N384" s="320"/>
      <c r="O384" s="320">
        <f>NhanCong!Z$74</f>
        <v>3853.3846153846157</v>
      </c>
    </row>
    <row r="385" spans="1:15">
      <c r="A385" s="1041" t="s">
        <v>270</v>
      </c>
      <c r="B385" s="1038" t="str">
        <f>NhanCong!B$78</f>
        <v>Đo đạc ranh giới thửa đất và các đối tượng địa lý có liên quan</v>
      </c>
      <c r="C385" s="1039" t="s">
        <v>317</v>
      </c>
      <c r="D385" s="319" t="s">
        <v>18</v>
      </c>
      <c r="E385" s="301">
        <f>NhanCong!Y$78</f>
        <v>183736.55895833339</v>
      </c>
      <c r="F385" s="301">
        <f>NhanCong!Y$79</f>
        <v>6225.8119658119667</v>
      </c>
      <c r="G385" s="320">
        <f>Dcu!Q$103</f>
        <v>1244.3053259882477</v>
      </c>
      <c r="H385" s="320">
        <f>VLieu!O$69</f>
        <v>982.84722222222217</v>
      </c>
      <c r="I385" s="320"/>
      <c r="J385" s="320"/>
      <c r="K385" s="320">
        <f t="shared" si="126"/>
        <v>192189.52347235582</v>
      </c>
      <c r="L385" s="320">
        <f t="shared" si="124"/>
        <v>48047.380868088956</v>
      </c>
      <c r="M385" s="321">
        <f t="shared" si="125"/>
        <v>240236.90434044477</v>
      </c>
      <c r="N385" s="320"/>
      <c r="O385" s="320">
        <f>NhanCong!Z$78</f>
        <v>5201.9070512820508</v>
      </c>
    </row>
    <row r="386" spans="1:15">
      <c r="A386" s="1041"/>
      <c r="B386" s="1038"/>
      <c r="C386" s="1039"/>
      <c r="D386" s="319" t="s">
        <v>20</v>
      </c>
      <c r="E386" s="301">
        <f>NhanCong!Y$80</f>
        <v>220469.54989583339</v>
      </c>
      <c r="F386" s="301">
        <f>NhanCong!Y$81</f>
        <v>7470.9743589743603</v>
      </c>
      <c r="G386" s="320">
        <f>Dcu!Q$104</f>
        <v>1486.7024674145298</v>
      </c>
      <c r="H386" s="320">
        <f>VLieu!O$69</f>
        <v>982.84722222222217</v>
      </c>
      <c r="I386" s="320"/>
      <c r="J386" s="320"/>
      <c r="K386" s="320">
        <f t="shared" si="126"/>
        <v>230410.07394444451</v>
      </c>
      <c r="L386" s="320">
        <f t="shared" si="124"/>
        <v>57602.518486111127</v>
      </c>
      <c r="M386" s="321">
        <f t="shared" si="125"/>
        <v>288012.59243055561</v>
      </c>
      <c r="N386" s="320"/>
      <c r="O386" s="320">
        <f>NhanCong!Z$80</f>
        <v>6241.8830128205127</v>
      </c>
    </row>
    <row r="387" spans="1:15">
      <c r="A387" s="1041"/>
      <c r="B387" s="1038"/>
      <c r="C387" s="1039"/>
      <c r="D387" s="319" t="s">
        <v>35</v>
      </c>
      <c r="E387" s="301">
        <f>NhanCong!Y$82</f>
        <v>264553.91263888893</v>
      </c>
      <c r="F387" s="301">
        <f>NhanCong!Y$83</f>
        <v>8964.764957264957</v>
      </c>
      <c r="G387" s="320">
        <f>Dcu!Q$105</f>
        <v>1615.9809428418801</v>
      </c>
      <c r="H387" s="320">
        <f>VLieu!O$69</f>
        <v>982.84722222222217</v>
      </c>
      <c r="I387" s="320"/>
      <c r="J387" s="320"/>
      <c r="K387" s="320">
        <f t="shared" si="126"/>
        <v>276117.50576121797</v>
      </c>
      <c r="L387" s="320">
        <f t="shared" si="124"/>
        <v>69029.376440304492</v>
      </c>
      <c r="M387" s="321">
        <f t="shared" si="125"/>
        <v>345146.88220152247</v>
      </c>
      <c r="N387" s="320"/>
      <c r="O387" s="320">
        <f>NhanCong!Z$82</f>
        <v>7489.9893162393164</v>
      </c>
    </row>
    <row r="388" spans="1:15">
      <c r="A388" s="1041"/>
      <c r="B388" s="1038"/>
      <c r="C388" s="1039"/>
      <c r="D388" s="319" t="s">
        <v>33</v>
      </c>
      <c r="E388" s="301">
        <f>NhanCong!Y$84</f>
        <v>317469.46878472227</v>
      </c>
      <c r="F388" s="301">
        <f>NhanCong!Y$85</f>
        <v>10757.717948717949</v>
      </c>
      <c r="G388" s="320">
        <f>Dcu!Q$106</f>
        <v>1777.5790371260682</v>
      </c>
      <c r="H388" s="320">
        <f>VLieu!O$69</f>
        <v>982.84722222222217</v>
      </c>
      <c r="I388" s="320"/>
      <c r="J388" s="320"/>
      <c r="K388" s="320">
        <f t="shared" si="126"/>
        <v>330987.61299278855</v>
      </c>
      <c r="L388" s="320">
        <f t="shared" si="124"/>
        <v>82746.903248197137</v>
      </c>
      <c r="M388" s="321">
        <f t="shared" si="125"/>
        <v>413734.51624098571</v>
      </c>
      <c r="N388" s="320"/>
      <c r="O388" s="320">
        <f>NhanCong!Z$84</f>
        <v>8988.1223290598282</v>
      </c>
    </row>
    <row r="389" spans="1:15">
      <c r="A389" s="1041" t="s">
        <v>363</v>
      </c>
      <c r="B389" s="1038" t="str">
        <f>NhanCong!B$88</f>
        <v>Đối soát, kiểm tra</v>
      </c>
      <c r="C389" s="1039" t="s">
        <v>317</v>
      </c>
      <c r="D389" s="319" t="s">
        <v>18</v>
      </c>
      <c r="E389" s="301">
        <f>NhanCong!Y$88</f>
        <v>12549.841868055559</v>
      </c>
      <c r="F389" s="301">
        <f>NhanCong!Y$89</f>
        <v>2126.4786324786323</v>
      </c>
      <c r="G389" s="320">
        <f>Dcu!Q$103*0.4</f>
        <v>497.72213039529908</v>
      </c>
      <c r="H389" s="320">
        <f>VLieu!O$70</f>
        <v>511.08055555555552</v>
      </c>
      <c r="I389" s="320"/>
      <c r="J389" s="320"/>
      <c r="K389" s="320">
        <f t="shared" si="126"/>
        <v>15685.123186485047</v>
      </c>
      <c r="L389" s="320">
        <f t="shared" si="124"/>
        <v>3921.2807966212617</v>
      </c>
      <c r="M389" s="321">
        <f t="shared" si="125"/>
        <v>19606.403983106309</v>
      </c>
      <c r="N389" s="320"/>
      <c r="O389" s="320">
        <f>NhanCong!Z$88</f>
        <v>355.30822649572644</v>
      </c>
    </row>
    <row r="390" spans="1:15">
      <c r="A390" s="1041"/>
      <c r="B390" s="1038"/>
      <c r="C390" s="1039"/>
      <c r="D390" s="319" t="s">
        <v>20</v>
      </c>
      <c r="E390" s="301">
        <f>NhanCong!Y$90</f>
        <v>15060.764965277782</v>
      </c>
      <c r="F390" s="301">
        <f>NhanCong!Y$91</f>
        <v>2552.9871794871801</v>
      </c>
      <c r="G390" s="320">
        <f>Dcu!Q$104*0.4</f>
        <v>594.68098696581194</v>
      </c>
      <c r="H390" s="320">
        <f>VLieu!O$70</f>
        <v>511.08055555555552</v>
      </c>
      <c r="I390" s="320"/>
      <c r="J390" s="320"/>
      <c r="K390" s="320">
        <f t="shared" si="126"/>
        <v>18719.513687286333</v>
      </c>
      <c r="L390" s="320">
        <f t="shared" si="124"/>
        <v>4679.8784218215833</v>
      </c>
      <c r="M390" s="321">
        <f t="shared" si="125"/>
        <v>23399.392109107917</v>
      </c>
      <c r="N390" s="320"/>
      <c r="O390" s="320">
        <f>NhanCong!Z$90</f>
        <v>426.39690170940173</v>
      </c>
    </row>
    <row r="391" spans="1:15">
      <c r="A391" s="1041"/>
      <c r="B391" s="1038"/>
      <c r="C391" s="1039"/>
      <c r="D391" s="319" t="s">
        <v>35</v>
      </c>
      <c r="E391" s="301">
        <f>NhanCong!Y$92</f>
        <v>18068.14434027778</v>
      </c>
      <c r="F391" s="301">
        <f>NhanCong!Y$93</f>
        <v>3062.3717948717949</v>
      </c>
      <c r="G391" s="320">
        <f>Dcu!Q$105*0.4</f>
        <v>646.39237713675209</v>
      </c>
      <c r="H391" s="320">
        <f>VLieu!O$70</f>
        <v>511.08055555555552</v>
      </c>
      <c r="I391" s="320"/>
      <c r="J391" s="320"/>
      <c r="K391" s="320">
        <f t="shared" si="126"/>
        <v>22287.989067841885</v>
      </c>
      <c r="L391" s="320">
        <f t="shared" si="124"/>
        <v>5571.9972669604713</v>
      </c>
      <c r="M391" s="321">
        <f t="shared" si="125"/>
        <v>27859.986334802357</v>
      </c>
      <c r="N391" s="320"/>
      <c r="O391" s="320">
        <f>NhanCong!Z$92</f>
        <v>511.54113247863251</v>
      </c>
    </row>
    <row r="392" spans="1:15">
      <c r="A392" s="1041"/>
      <c r="B392" s="1038"/>
      <c r="C392" s="1039"/>
      <c r="D392" s="319" t="s">
        <v>33</v>
      </c>
      <c r="E392" s="301">
        <f>NhanCong!Y$94</f>
        <v>21681.773208333336</v>
      </c>
      <c r="F392" s="301">
        <f>NhanCong!Y$95</f>
        <v>3672.8247863247871</v>
      </c>
      <c r="G392" s="320">
        <f>Dcu!Q$106*0.4</f>
        <v>711.03161485042733</v>
      </c>
      <c r="H392" s="320">
        <f>VLieu!O$70</f>
        <v>511.08055555555552</v>
      </c>
      <c r="I392" s="320"/>
      <c r="J392" s="320"/>
      <c r="K392" s="320">
        <f t="shared" si="126"/>
        <v>26576.710165064105</v>
      </c>
      <c r="L392" s="320">
        <f t="shared" si="124"/>
        <v>6644.1775412660263</v>
      </c>
      <c r="M392" s="321">
        <f t="shared" si="125"/>
        <v>33220.887706330133</v>
      </c>
      <c r="N392" s="320"/>
      <c r="O392" s="320">
        <f>NhanCong!Z$94</f>
        <v>613.84935897435889</v>
      </c>
    </row>
    <row r="393" spans="1:15" ht="12.75" customHeight="1">
      <c r="A393" s="1041" t="s">
        <v>364</v>
      </c>
      <c r="B393" s="1038" t="str">
        <f>NhanCong!B$98</f>
        <v>Giao nhận Phiếu kết quả đo đạc hiện trạng thửa đất</v>
      </c>
      <c r="C393" s="1039" t="s">
        <v>317</v>
      </c>
      <c r="D393" s="319" t="s">
        <v>18</v>
      </c>
      <c r="E393" s="301">
        <f>NhanCong!Y$98</f>
        <v>21963.416673611111</v>
      </c>
      <c r="F393" s="301">
        <f>NhanCong!Y$99</f>
        <v>9300.3119658119667</v>
      </c>
      <c r="G393" s="320">
        <f>Dcu!Q$103*0.4</f>
        <v>497.72213039529908</v>
      </c>
      <c r="H393" s="320">
        <f>VLieu!O$71</f>
        <v>511.08055555555552</v>
      </c>
      <c r="I393" s="320"/>
      <c r="J393" s="320"/>
      <c r="K393" s="320">
        <f t="shared" si="126"/>
        <v>32272.53132537393</v>
      </c>
      <c r="L393" s="320">
        <f t="shared" si="124"/>
        <v>8068.1328313434824</v>
      </c>
      <c r="M393" s="321">
        <f t="shared" si="125"/>
        <v>40340.664156717408</v>
      </c>
      <c r="N393" s="320"/>
      <c r="O393" s="320">
        <f>NhanCong!Z$98</f>
        <v>621.82318376068361</v>
      </c>
    </row>
    <row r="394" spans="1:15">
      <c r="A394" s="1041"/>
      <c r="B394" s="1038"/>
      <c r="C394" s="1039"/>
      <c r="D394" s="319" t="s">
        <v>20</v>
      </c>
      <c r="E394" s="301">
        <f>NhanCong!Y$100</f>
        <v>26355.145284722228</v>
      </c>
      <c r="F394" s="301">
        <f>NhanCong!Y$101</f>
        <v>11159.970085470086</v>
      </c>
      <c r="G394" s="320">
        <f>Dcu!Q$104*0.4</f>
        <v>594.68098696581194</v>
      </c>
      <c r="H394" s="320">
        <f>VLieu!O$71</f>
        <v>511.08055555555552</v>
      </c>
      <c r="I394" s="320"/>
      <c r="J394" s="320"/>
      <c r="K394" s="320">
        <f t="shared" si="126"/>
        <v>38620.876912713684</v>
      </c>
      <c r="L394" s="320">
        <f t="shared" si="124"/>
        <v>9655.219228178421</v>
      </c>
      <c r="M394" s="321">
        <f t="shared" si="125"/>
        <v>48276.096140892107</v>
      </c>
      <c r="N394" s="320"/>
      <c r="O394" s="320">
        <f>NhanCong!Z$100</f>
        <v>746.16079059829053</v>
      </c>
    </row>
    <row r="395" spans="1:15">
      <c r="A395" s="1041"/>
      <c r="B395" s="1038"/>
      <c r="C395" s="1039"/>
      <c r="D395" s="319" t="s">
        <v>35</v>
      </c>
      <c r="E395" s="301">
        <f>NhanCong!Y$102</f>
        <v>31625.219618055558</v>
      </c>
      <c r="F395" s="301">
        <f>NhanCong!Y$103</f>
        <v>13391.559829059832</v>
      </c>
      <c r="G395" s="320">
        <f>Dcu!Q$105*0.4</f>
        <v>646.39237713675209</v>
      </c>
      <c r="H395" s="320">
        <f>VLieu!O$71</f>
        <v>511.08055555555552</v>
      </c>
      <c r="I395" s="320"/>
      <c r="J395" s="320"/>
      <c r="K395" s="320">
        <f t="shared" si="126"/>
        <v>46174.252379807702</v>
      </c>
      <c r="L395" s="320">
        <f t="shared" si="124"/>
        <v>11543.563094951925</v>
      </c>
      <c r="M395" s="321">
        <f t="shared" si="125"/>
        <v>57717.815474759627</v>
      </c>
      <c r="N395" s="320"/>
      <c r="O395" s="320">
        <f>NhanCong!Z$102</f>
        <v>895.36591880341871</v>
      </c>
    </row>
    <row r="396" spans="1:15">
      <c r="A396" s="1041"/>
      <c r="B396" s="1038"/>
      <c r="C396" s="1039"/>
      <c r="D396" s="319" t="s">
        <v>33</v>
      </c>
      <c r="E396" s="301">
        <f>NhanCong!Y$104</f>
        <v>37950.263541666674</v>
      </c>
      <c r="F396" s="301">
        <f>NhanCong!Y$105</f>
        <v>16069.871794871795</v>
      </c>
      <c r="G396" s="320">
        <f>Dcu!Q$106*0.4</f>
        <v>711.03161485042733</v>
      </c>
      <c r="H396" s="320">
        <f>VLieu!O$71</f>
        <v>511.08055555555552</v>
      </c>
      <c r="I396" s="320"/>
      <c r="J396" s="320"/>
      <c r="K396" s="320">
        <f t="shared" si="126"/>
        <v>55242.247506944455</v>
      </c>
      <c r="L396" s="320">
        <f t="shared" si="124"/>
        <v>13810.561876736114</v>
      </c>
      <c r="M396" s="321">
        <f t="shared" si="125"/>
        <v>69052.809383680564</v>
      </c>
      <c r="N396" s="320"/>
      <c r="O396" s="320">
        <f>NhanCong!Z$104</f>
        <v>1074.4391025641025</v>
      </c>
    </row>
    <row r="397" spans="1:15">
      <c r="A397" s="298">
        <v>2</v>
      </c>
      <c r="B397" s="316" t="s">
        <v>58</v>
      </c>
      <c r="C397" s="319" t="s">
        <v>43</v>
      </c>
      <c r="D397" s="319"/>
      <c r="E397" s="301">
        <f>NhanCong!Y$108</f>
        <v>0</v>
      </c>
      <c r="F397" s="301"/>
      <c r="G397" s="320"/>
      <c r="H397" s="320"/>
      <c r="I397" s="320"/>
      <c r="J397" s="320"/>
      <c r="K397" s="320">
        <f>E397+F397+G397+I397+J397</f>
        <v>0</v>
      </c>
      <c r="L397" s="320"/>
      <c r="M397" s="321"/>
      <c r="N397" s="320"/>
      <c r="O397" s="320"/>
    </row>
    <row r="398" spans="1:15">
      <c r="A398" s="1041" t="s">
        <v>268</v>
      </c>
      <c r="B398" s="1038" t="str">
        <f>NhanCong!B$109</f>
        <v>Biên tập bản đồ địa chính</v>
      </c>
      <c r="C398" s="1039" t="s">
        <v>317</v>
      </c>
      <c r="D398" s="319" t="s">
        <v>18</v>
      </c>
      <c r="E398" s="301">
        <f>NhanCong!Y$109</f>
        <v>16994.080277777779</v>
      </c>
      <c r="F398" s="301"/>
      <c r="G398" s="320">
        <f>Dcu!Q$123</f>
        <v>92.092280745489091</v>
      </c>
      <c r="H398" s="320">
        <f>VLieu!O$90</f>
        <v>3991.5333333333333</v>
      </c>
      <c r="I398" s="320"/>
      <c r="J398" s="320">
        <f>TBi!N$121</f>
        <v>606.65920000000006</v>
      </c>
      <c r="K398" s="320">
        <f>SUM(E398:J398)</f>
        <v>21684.365091856598</v>
      </c>
      <c r="L398" s="320">
        <f>K398*0.15</f>
        <v>3252.6547637784897</v>
      </c>
      <c r="M398" s="321">
        <f>K398+L398</f>
        <v>24937.019855635088</v>
      </c>
      <c r="N398" s="320"/>
      <c r="O398" s="320">
        <f>NhanCong!Z$109</f>
        <v>481.13247863247864</v>
      </c>
    </row>
    <row r="399" spans="1:15">
      <c r="A399" s="1041"/>
      <c r="B399" s="1038"/>
      <c r="C399" s="1039"/>
      <c r="D399" s="319" t="s">
        <v>20</v>
      </c>
      <c r="E399" s="301">
        <f>NhanCong!Y$110</f>
        <v>22943.917822222225</v>
      </c>
      <c r="F399" s="301"/>
      <c r="G399" s="320">
        <f>Dcu!Q$124</f>
        <v>123.9059777302944</v>
      </c>
      <c r="H399" s="320">
        <f>VLieu!O$90</f>
        <v>3991.5333333333333</v>
      </c>
      <c r="I399" s="320"/>
      <c r="J399" s="320">
        <f>TBi!O$121</f>
        <v>820.62726666666674</v>
      </c>
      <c r="K399" s="320">
        <f>SUM(E399:J399)</f>
        <v>27879.984399952518</v>
      </c>
      <c r="L399" s="320">
        <f>K399*0.15</f>
        <v>4181.9976599928777</v>
      </c>
      <c r="M399" s="321">
        <f>K399+L399</f>
        <v>32061.982059945396</v>
      </c>
      <c r="N399" s="320"/>
      <c r="O399" s="320">
        <f>NhanCong!Z$110</f>
        <v>649.58290598290603</v>
      </c>
    </row>
    <row r="400" spans="1:15">
      <c r="A400" s="1041"/>
      <c r="B400" s="1038"/>
      <c r="C400" s="1039"/>
      <c r="D400" s="319" t="s">
        <v>35</v>
      </c>
      <c r="E400" s="301">
        <f>NhanCong!Y$111</f>
        <v>30971.233944444448</v>
      </c>
      <c r="F400" s="301"/>
      <c r="G400" s="320">
        <f>Dcu!Q$125</f>
        <v>167.44051044634378</v>
      </c>
      <c r="H400" s="320">
        <f>VLieu!O$90</f>
        <v>3991.5333333333333</v>
      </c>
      <c r="I400" s="320"/>
      <c r="J400" s="320">
        <f>TBi!P$121</f>
        <v>1919.9497333333334</v>
      </c>
      <c r="K400" s="320">
        <f>SUM(E400:J400)</f>
        <v>37050.157521557463</v>
      </c>
      <c r="L400" s="320">
        <f>K400*0.15</f>
        <v>5557.5236282336191</v>
      </c>
      <c r="M400" s="321">
        <f>K400+L400</f>
        <v>42607.681149791082</v>
      </c>
      <c r="N400" s="320"/>
      <c r="O400" s="320">
        <f>NhanCong!Z$111</f>
        <v>876.85042735042725</v>
      </c>
    </row>
    <row r="401" spans="1:15">
      <c r="A401" s="1041"/>
      <c r="B401" s="1038"/>
      <c r="C401" s="1039"/>
      <c r="D401" s="319" t="s">
        <v>33</v>
      </c>
      <c r="E401" s="301">
        <f>NhanCong!Y$112</f>
        <v>41809.25637777779</v>
      </c>
      <c r="F401" s="301"/>
      <c r="G401" s="320">
        <f>Dcu!Q$126</f>
        <v>226.04468910256412</v>
      </c>
      <c r="H401" s="320">
        <f>VLieu!O$90</f>
        <v>3991.5333333333333</v>
      </c>
      <c r="I401" s="320"/>
      <c r="J401" s="320">
        <f>TBi!Q$121</f>
        <v>3404.0734000000002</v>
      </c>
      <c r="K401" s="320">
        <f>SUM(E401:J401)</f>
        <v>49430.907800213688</v>
      </c>
      <c r="L401" s="320">
        <f>K401*0.15</f>
        <v>7414.6361700320531</v>
      </c>
      <c r="M401" s="321">
        <f>K401+L401</f>
        <v>56845.543970245744</v>
      </c>
      <c r="N401" s="320"/>
      <c r="O401" s="320">
        <f>NhanCong!Z$112</f>
        <v>1183.6940170940172</v>
      </c>
    </row>
    <row r="402" spans="1:15" ht="26">
      <c r="A402" s="323">
        <v>2.2000000000000002</v>
      </c>
      <c r="B402" s="324" t="str">
        <f>NhanCong!B$114</f>
        <v>Lập Phiếu xác nhận kết quả đo đạc hiện trạng thửa đất</v>
      </c>
      <c r="C402" s="319" t="s">
        <v>317</v>
      </c>
      <c r="D402" s="319" t="s">
        <v>15</v>
      </c>
      <c r="E402" s="301">
        <f>NhanCong!Y$114</f>
        <v>7561.4110000000019</v>
      </c>
      <c r="F402" s="301"/>
      <c r="G402" s="320">
        <f>Dcu!Q$138</f>
        <v>78.563702754036086</v>
      </c>
      <c r="H402" s="320">
        <f>VLieu!O$91</f>
        <v>3265.7999999999997</v>
      </c>
      <c r="I402" s="320"/>
      <c r="J402" s="320">
        <f>TBi!N$149</f>
        <v>623.23053333333337</v>
      </c>
      <c r="K402" s="320">
        <f t="shared" ref="K402:K407" si="127">SUM(E402:J402)</f>
        <v>11529.005236087371</v>
      </c>
      <c r="L402" s="320">
        <f t="shared" ref="L402:L407" si="128">K402*0.15</f>
        <v>1729.3507854131055</v>
      </c>
      <c r="M402" s="321">
        <f t="shared" ref="M402:M407" si="129">K402+L402</f>
        <v>13258.356021500476</v>
      </c>
      <c r="N402" s="320"/>
      <c r="O402" s="320">
        <f>NhanCong!Z$114</f>
        <v>214.07692307692309</v>
      </c>
    </row>
    <row r="403" spans="1:15" ht="26">
      <c r="A403" s="323" t="s">
        <v>246</v>
      </c>
      <c r="B403" s="324" t="str">
        <f>NhanCong!B$115</f>
        <v>Công khai bản đồ địa chính, Hoàn thiện bản đồ địa chính</v>
      </c>
      <c r="C403" s="319" t="s">
        <v>317</v>
      </c>
      <c r="D403" s="319" t="s">
        <v>15</v>
      </c>
      <c r="E403" s="301">
        <f>NhanCong!Y$115</f>
        <v>9730.5430444444464</v>
      </c>
      <c r="F403" s="301"/>
      <c r="G403" s="320">
        <f>Dcu!Q$130</f>
        <v>63.627393969610637</v>
      </c>
      <c r="H403" s="320">
        <f>VLieu!O$94</f>
        <v>1451.4666666666667</v>
      </c>
      <c r="I403" s="320"/>
      <c r="J403" s="320">
        <f>TBi!N$175</f>
        <v>417.89440000000002</v>
      </c>
      <c r="K403" s="320">
        <f t="shared" si="127"/>
        <v>11663.531505080724</v>
      </c>
      <c r="L403" s="320">
        <f t="shared" si="128"/>
        <v>1749.5297257621085</v>
      </c>
      <c r="M403" s="321">
        <f t="shared" si="129"/>
        <v>13413.061230842832</v>
      </c>
      <c r="N403" s="320"/>
      <c r="O403" s="320">
        <f>NhanCong!Z$115</f>
        <v>275.48888888888888</v>
      </c>
    </row>
    <row r="404" spans="1:15">
      <c r="A404" s="323">
        <v>2.4</v>
      </c>
      <c r="B404" s="324" t="str">
        <f>NhanCong!B$116</f>
        <v>Lập sổ mục kê đất đai phạm vi khu đo</v>
      </c>
      <c r="C404" s="319" t="s">
        <v>317</v>
      </c>
      <c r="D404" s="319" t="s">
        <v>15</v>
      </c>
      <c r="E404" s="301">
        <f>NhanCong!Y$116</f>
        <v>763.77888888888901</v>
      </c>
      <c r="F404" s="301"/>
      <c r="G404" s="320">
        <f>Dcu!Q$140</f>
        <v>50.232153133903132</v>
      </c>
      <c r="H404" s="320">
        <f>VLieu!O$94</f>
        <v>1451.4666666666667</v>
      </c>
      <c r="I404" s="320"/>
      <c r="J404" s="320"/>
      <c r="K404" s="320">
        <f t="shared" si="127"/>
        <v>2265.4777086894587</v>
      </c>
      <c r="L404" s="320">
        <f t="shared" si="128"/>
        <v>339.82165630341882</v>
      </c>
      <c r="M404" s="321">
        <f t="shared" si="129"/>
        <v>2605.2993649928776</v>
      </c>
      <c r="N404" s="320"/>
      <c r="O404" s="320">
        <f>NhanCong!Z$116</f>
        <v>21.623931623931622</v>
      </c>
    </row>
    <row r="405" spans="1:15" ht="39">
      <c r="A405" s="323">
        <v>2.5</v>
      </c>
      <c r="B405" s="324" t="str">
        <f>NhanCong!B$117</f>
        <v>In sản phẩm đo đạc lập bản đồ địa chính gồm sản phẩm chính và sản phẩm trung gian</v>
      </c>
      <c r="C405" s="319" t="s">
        <v>317</v>
      </c>
      <c r="D405" s="319" t="s">
        <v>15</v>
      </c>
      <c r="E405" s="301">
        <f>NhanCong!Y$117</f>
        <v>324.60602777777785</v>
      </c>
      <c r="F405" s="301"/>
      <c r="G405" s="320">
        <f>Dcu!Q$152</f>
        <v>85.276413105413098</v>
      </c>
      <c r="H405" s="320">
        <f>VLieu!O$102</f>
        <v>75.555555555555557</v>
      </c>
      <c r="I405" s="320"/>
      <c r="J405" s="320">
        <f>TBi!N$206</f>
        <v>12.218266666666667</v>
      </c>
      <c r="K405" s="320">
        <f t="shared" si="127"/>
        <v>497.65626310541319</v>
      </c>
      <c r="L405" s="320">
        <f t="shared" si="128"/>
        <v>74.648439465811975</v>
      </c>
      <c r="M405" s="321">
        <f t="shared" si="129"/>
        <v>572.30470257122511</v>
      </c>
      <c r="N405" s="320"/>
      <c r="O405" s="320">
        <f>NhanCong!Z$117</f>
        <v>9.1901709401709404</v>
      </c>
    </row>
    <row r="406" spans="1:15">
      <c r="A406" s="300">
        <v>2.6</v>
      </c>
      <c r="B406" s="324" t="str">
        <f>NhanCong!B$118</f>
        <v>Trình ký xác nhận hồ sơ</v>
      </c>
      <c r="C406" s="319" t="s">
        <v>317</v>
      </c>
      <c r="D406" s="319" t="s">
        <v>15</v>
      </c>
      <c r="E406" s="301">
        <f>NhanCong!Y$118</f>
        <v>649.21205555555571</v>
      </c>
      <c r="F406" s="301"/>
      <c r="G406" s="320">
        <f>Dcu!Q$140</f>
        <v>50.232153133903132</v>
      </c>
      <c r="H406" s="320">
        <f>VLieu!O$94</f>
        <v>1451.4666666666667</v>
      </c>
      <c r="I406" s="320"/>
      <c r="J406" s="320"/>
      <c r="K406" s="320">
        <f t="shared" si="127"/>
        <v>2150.9108753561254</v>
      </c>
      <c r="L406" s="320">
        <f t="shared" si="128"/>
        <v>322.63663130341882</v>
      </c>
      <c r="M406" s="321">
        <f t="shared" si="129"/>
        <v>2473.5475066595441</v>
      </c>
      <c r="N406" s="320"/>
      <c r="O406" s="320">
        <f>NhanCong!Z$118</f>
        <v>18.380341880341881</v>
      </c>
    </row>
    <row r="407" spans="1:15" ht="26">
      <c r="A407" s="300">
        <v>2.7</v>
      </c>
      <c r="B407" s="324" t="str">
        <f>NhanCong!B$119</f>
        <v>Giao nộp sản phẩm đo đạc lập bản đồ địa chính</v>
      </c>
      <c r="C407" s="319" t="s">
        <v>317</v>
      </c>
      <c r="D407" s="319" t="s">
        <v>15</v>
      </c>
      <c r="E407" s="301">
        <f>NhanCong!Y$119</f>
        <v>1298.4241111111114</v>
      </c>
      <c r="F407" s="301"/>
      <c r="G407" s="320">
        <f>Dcu!Q$154</f>
        <v>4.2638206552706555</v>
      </c>
      <c r="H407" s="320">
        <f>VLieu!O$94</f>
        <v>1451.4666666666667</v>
      </c>
      <c r="I407" s="320"/>
      <c r="J407" s="320"/>
      <c r="K407" s="320">
        <f t="shared" si="127"/>
        <v>2754.1545984330487</v>
      </c>
      <c r="L407" s="320">
        <f t="shared" si="128"/>
        <v>413.12318976495732</v>
      </c>
      <c r="M407" s="321">
        <f t="shared" si="129"/>
        <v>3167.277788198006</v>
      </c>
      <c r="N407" s="320"/>
      <c r="O407" s="320">
        <f>NhanCong!Z$119</f>
        <v>36.760683760683762</v>
      </c>
    </row>
    <row r="408" spans="1:15">
      <c r="A408" s="298" t="s">
        <v>37</v>
      </c>
      <c r="B408" s="316" t="s">
        <v>422</v>
      </c>
      <c r="C408" s="300"/>
      <c r="D408" s="300"/>
      <c r="E408" s="301"/>
      <c r="F408" s="301"/>
      <c r="G408" s="301"/>
      <c r="H408" s="301"/>
      <c r="I408" s="301"/>
      <c r="J408" s="301"/>
      <c r="K408" s="301"/>
      <c r="L408" s="301"/>
      <c r="M408" s="315">
        <v>3600</v>
      </c>
      <c r="N408" s="301" t="s">
        <v>21</v>
      </c>
      <c r="O408" s="301"/>
    </row>
    <row r="409" spans="1:15" s="308" customFormat="1" ht="13.5" customHeight="1">
      <c r="A409" s="1036"/>
      <c r="B409" s="1035" t="s">
        <v>190</v>
      </c>
      <c r="C409" s="1036" t="s">
        <v>21</v>
      </c>
      <c r="D409" s="298">
        <v>1</v>
      </c>
      <c r="E409" s="301">
        <f t="shared" ref="E409:H412" si="130">SUM(E$437,E438,E442,E446,E450,E454)</f>
        <v>178760.5795555556</v>
      </c>
      <c r="F409" s="301">
        <f t="shared" si="130"/>
        <v>18991.253205128207</v>
      </c>
      <c r="G409" s="301">
        <f t="shared" si="130"/>
        <v>1543.4713166547956</v>
      </c>
      <c r="H409" s="301">
        <f t="shared" si="130"/>
        <v>1353.2316666666666</v>
      </c>
      <c r="I409" s="301"/>
      <c r="J409" s="301">
        <f>SUM(J$437,J438,J442,J446,J450,J454)</f>
        <v>2.3372999999999995</v>
      </c>
      <c r="K409" s="301">
        <f t="shared" ref="K409:K416" si="131">SUM(E409:J409)</f>
        <v>200650.87304400528</v>
      </c>
      <c r="L409" s="301">
        <f t="shared" ref="L409:L412" si="132">K409*0.25</f>
        <v>50162.718261001319</v>
      </c>
      <c r="M409" s="315">
        <f t="shared" ref="M409:M416" si="133">K409+L409</f>
        <v>250813.59130500659</v>
      </c>
      <c r="N409" s="301">
        <f>M409+M413</f>
        <v>268475.9088585815</v>
      </c>
      <c r="O409" s="301">
        <f>SUM(O$437,O438,O442,O446,O450,O454)</f>
        <v>5041.889957264958</v>
      </c>
    </row>
    <row r="410" spans="1:15" s="308" customFormat="1" ht="15" customHeight="1">
      <c r="A410" s="1036"/>
      <c r="B410" s="1035"/>
      <c r="C410" s="1036"/>
      <c r="D410" s="298">
        <v>2</v>
      </c>
      <c r="E410" s="301">
        <f t="shared" si="130"/>
        <v>210508.71983854173</v>
      </c>
      <c r="F410" s="301">
        <f t="shared" si="130"/>
        <v>22539.258547008551</v>
      </c>
      <c r="G410" s="301">
        <f t="shared" si="130"/>
        <v>1790.5088186728394</v>
      </c>
      <c r="H410" s="301">
        <f t="shared" si="130"/>
        <v>1353.2316666666666</v>
      </c>
      <c r="I410" s="301"/>
      <c r="J410" s="301">
        <f>SUM(J$437,J439,J443,J447,J451,J455)</f>
        <v>2.3372999999999995</v>
      </c>
      <c r="K410" s="301">
        <f t="shared" si="131"/>
        <v>236194.05617088982</v>
      </c>
      <c r="L410" s="301">
        <f t="shared" si="132"/>
        <v>59048.514042722454</v>
      </c>
      <c r="M410" s="315">
        <f t="shared" si="133"/>
        <v>295242.57021361229</v>
      </c>
      <c r="N410" s="301">
        <f>M410+M414</f>
        <v>315219.80529517413</v>
      </c>
      <c r="O410" s="301">
        <f t="shared" ref="O410:O412" si="134">SUM(O$437,O439,O443,O447,O451,O455)</f>
        <v>5940.7359775641016</v>
      </c>
    </row>
    <row r="411" spans="1:15" s="308" customFormat="1" ht="15" customHeight="1">
      <c r="A411" s="1036"/>
      <c r="B411" s="1035"/>
      <c r="C411" s="1036"/>
      <c r="D411" s="298">
        <v>3</v>
      </c>
      <c r="E411" s="301">
        <f t="shared" si="130"/>
        <v>248610.54575347225</v>
      </c>
      <c r="F411" s="301">
        <f t="shared" si="130"/>
        <v>26797.269230769234</v>
      </c>
      <c r="G411" s="301">
        <f t="shared" si="130"/>
        <v>1934.4422691120606</v>
      </c>
      <c r="H411" s="301">
        <f t="shared" si="130"/>
        <v>1353.2316666666666</v>
      </c>
      <c r="I411" s="301"/>
      <c r="J411" s="301">
        <f>SUM(J$437,J440,J444,J448,J452,J456)</f>
        <v>2.3372999999999995</v>
      </c>
      <c r="K411" s="301">
        <f t="shared" si="131"/>
        <v>278697.82622002024</v>
      </c>
      <c r="L411" s="301">
        <f t="shared" si="132"/>
        <v>69674.456555005061</v>
      </c>
      <c r="M411" s="315">
        <f t="shared" si="133"/>
        <v>348372.28277502529</v>
      </c>
      <c r="N411" s="301">
        <f>M411+M415</f>
        <v>371776.27690006042</v>
      </c>
      <c r="O411" s="301">
        <f t="shared" si="134"/>
        <v>7019.4660790598291</v>
      </c>
    </row>
    <row r="412" spans="1:15" s="308" customFormat="1" ht="15" customHeight="1">
      <c r="A412" s="1036"/>
      <c r="B412" s="1035"/>
      <c r="C412" s="1036"/>
      <c r="D412" s="298">
        <v>4</v>
      </c>
      <c r="E412" s="301">
        <f t="shared" si="130"/>
        <v>294328.67927604174</v>
      </c>
      <c r="F412" s="301">
        <f t="shared" si="130"/>
        <v>31906.275641025641</v>
      </c>
      <c r="G412" s="301">
        <f t="shared" si="130"/>
        <v>2111.4682318376067</v>
      </c>
      <c r="H412" s="301">
        <f t="shared" si="130"/>
        <v>1353.2316666666666</v>
      </c>
      <c r="I412" s="301"/>
      <c r="J412" s="301">
        <f>SUM(J$437,J441,J445,J449,J453,J457)</f>
        <v>2.3372999999999995</v>
      </c>
      <c r="K412" s="301">
        <f t="shared" si="131"/>
        <v>329701.99211557169</v>
      </c>
      <c r="L412" s="301">
        <f t="shared" si="132"/>
        <v>82425.498028892922</v>
      </c>
      <c r="M412" s="315">
        <f t="shared" si="133"/>
        <v>412127.49014446459</v>
      </c>
      <c r="N412" s="301">
        <f>M412+M416</f>
        <v>440163.82066033519</v>
      </c>
      <c r="O412" s="301">
        <f t="shared" si="134"/>
        <v>8313.8273237179492</v>
      </c>
    </row>
    <row r="413" spans="1:15" s="308" customFormat="1" ht="13.5" customHeight="1">
      <c r="A413" s="1036"/>
      <c r="B413" s="1035" t="s">
        <v>192</v>
      </c>
      <c r="C413" s="1036" t="s">
        <v>21</v>
      </c>
      <c r="D413" s="298">
        <v>1</v>
      </c>
      <c r="E413" s="301">
        <f t="shared" ref="E413:H416" si="135">(E459+SUM(E$463:E$468))</f>
        <v>11256.191375000002</v>
      </c>
      <c r="F413" s="301">
        <f t="shared" si="135"/>
        <v>0</v>
      </c>
      <c r="G413" s="301">
        <f t="shared" si="135"/>
        <v>162.42553366417377</v>
      </c>
      <c r="H413" s="301">
        <f t="shared" si="135"/>
        <v>3270.8277777777785</v>
      </c>
      <c r="I413" s="301"/>
      <c r="J413" s="301">
        <f>(J459+SUM(J$463:J$468))</f>
        <v>669.09231666666665</v>
      </c>
      <c r="K413" s="301">
        <f t="shared" si="131"/>
        <v>15358.537003108622</v>
      </c>
      <c r="L413" s="301">
        <f>K413*0.15</f>
        <v>2303.7805504662933</v>
      </c>
      <c r="M413" s="315">
        <f t="shared" si="133"/>
        <v>17662.317553574914</v>
      </c>
      <c r="N413" s="301"/>
      <c r="O413" s="301">
        <f>(O459+SUM(O$463:O$468))</f>
        <v>318.68269230769232</v>
      </c>
    </row>
    <row r="414" spans="1:15" s="308" customFormat="1" ht="15" customHeight="1">
      <c r="A414" s="1036"/>
      <c r="B414" s="1035"/>
      <c r="C414" s="1036"/>
      <c r="D414" s="298">
        <v>2</v>
      </c>
      <c r="E414" s="301">
        <f t="shared" si="135"/>
        <v>13190.461411111111</v>
      </c>
      <c r="F414" s="301">
        <f t="shared" si="135"/>
        <v>0</v>
      </c>
      <c r="G414" s="301">
        <f t="shared" si="135"/>
        <v>171.84301101994299</v>
      </c>
      <c r="H414" s="301">
        <f t="shared" si="135"/>
        <v>3270.8277777777785</v>
      </c>
      <c r="I414" s="301"/>
      <c r="J414" s="301">
        <f>(J460+SUM(J$463:J$468))</f>
        <v>738.37656666666658</v>
      </c>
      <c r="K414" s="301">
        <f t="shared" si="131"/>
        <v>17371.508766575498</v>
      </c>
      <c r="L414" s="301">
        <f>K414*0.15</f>
        <v>2605.7263149863247</v>
      </c>
      <c r="M414" s="315">
        <f t="shared" si="133"/>
        <v>19977.235081561823</v>
      </c>
      <c r="N414" s="301"/>
      <c r="O414" s="301">
        <f>(O460+SUM(O$463:O$468))</f>
        <v>373.44529914529915</v>
      </c>
    </row>
    <row r="415" spans="1:15" s="308" customFormat="1" ht="15" customHeight="1">
      <c r="A415" s="1036"/>
      <c r="B415" s="1035"/>
      <c r="C415" s="1036"/>
      <c r="D415" s="298">
        <v>3</v>
      </c>
      <c r="E415" s="301">
        <f t="shared" si="135"/>
        <v>15800.675763888892</v>
      </c>
      <c r="F415" s="301">
        <f t="shared" si="135"/>
        <v>0</v>
      </c>
      <c r="G415" s="301">
        <f t="shared" si="135"/>
        <v>184.39964749430195</v>
      </c>
      <c r="H415" s="301">
        <f t="shared" si="135"/>
        <v>3270.8277777777785</v>
      </c>
      <c r="I415" s="301"/>
      <c r="J415" s="301">
        <f>(J461+SUM(J$463:J$468))</f>
        <v>1095.3960500000001</v>
      </c>
      <c r="K415" s="301">
        <f t="shared" si="131"/>
        <v>20351.29923916097</v>
      </c>
      <c r="L415" s="301">
        <f>K415*0.15</f>
        <v>3052.6948858741453</v>
      </c>
      <c r="M415" s="315">
        <f t="shared" si="133"/>
        <v>23403.994125035115</v>
      </c>
      <c r="N415" s="301"/>
      <c r="O415" s="301">
        <f>(O461+SUM(O$463:O$468))</f>
        <v>447.34508547008545</v>
      </c>
    </row>
    <row r="416" spans="1:15" s="308" customFormat="1" ht="15" customHeight="1">
      <c r="A416" s="1036"/>
      <c r="B416" s="1035"/>
      <c r="C416" s="1036"/>
      <c r="D416" s="298">
        <v>4</v>
      </c>
      <c r="E416" s="301">
        <f t="shared" si="135"/>
        <v>19321.696441666667</v>
      </c>
      <c r="F416" s="301">
        <f t="shared" si="135"/>
        <v>0</v>
      </c>
      <c r="G416" s="301">
        <f t="shared" si="135"/>
        <v>209.51292044301988</v>
      </c>
      <c r="H416" s="301">
        <f t="shared" si="135"/>
        <v>3270.8277777777785</v>
      </c>
      <c r="I416" s="301"/>
      <c r="J416" s="301">
        <f>(J462+SUM(J$463:J$468))</f>
        <v>1577.3807000000002</v>
      </c>
      <c r="K416" s="301">
        <f t="shared" si="131"/>
        <v>24379.417839887465</v>
      </c>
      <c r="L416" s="301">
        <f>K416*0.15</f>
        <v>3656.9126759831197</v>
      </c>
      <c r="M416" s="315">
        <f t="shared" si="133"/>
        <v>28036.330515870584</v>
      </c>
      <c r="N416" s="301"/>
      <c r="O416" s="301">
        <f>(O462+SUM(O$463:O$468))</f>
        <v>547.03141025641025</v>
      </c>
    </row>
    <row r="417" spans="1:15">
      <c r="A417" s="298"/>
      <c r="B417" s="314" t="s">
        <v>322</v>
      </c>
      <c r="C417" s="300"/>
      <c r="D417" s="300"/>
      <c r="E417" s="301"/>
      <c r="F417" s="301"/>
      <c r="G417" s="301"/>
      <c r="H417" s="301"/>
      <c r="I417" s="301"/>
      <c r="J417" s="301"/>
      <c r="K417" s="301"/>
      <c r="L417" s="301"/>
      <c r="M417" s="315"/>
      <c r="N417" s="301"/>
      <c r="O417" s="301"/>
    </row>
    <row r="418" spans="1:15">
      <c r="A418" s="298" t="s">
        <v>323</v>
      </c>
      <c r="B418" s="314" t="s">
        <v>324</v>
      </c>
      <c r="C418" s="300"/>
      <c r="D418" s="300"/>
      <c r="E418" s="301"/>
      <c r="F418" s="301"/>
      <c r="G418" s="301"/>
      <c r="H418" s="301"/>
      <c r="I418" s="301"/>
      <c r="J418" s="301"/>
      <c r="K418" s="301"/>
      <c r="L418" s="301"/>
      <c r="M418" s="315"/>
      <c r="N418" s="301"/>
      <c r="O418" s="301"/>
    </row>
    <row r="419" spans="1:15" s="308" customFormat="1" ht="13.5" customHeight="1">
      <c r="A419" s="1036"/>
      <c r="B419" s="1035" t="s">
        <v>190</v>
      </c>
      <c r="C419" s="1036" t="s">
        <v>21</v>
      </c>
      <c r="D419" s="298">
        <v>1</v>
      </c>
      <c r="E419" s="301">
        <f t="shared" ref="E419:F426" si="136">E409*0.1</f>
        <v>17876.05795555556</v>
      </c>
      <c r="F419" s="301">
        <f t="shared" si="136"/>
        <v>1899.1253205128207</v>
      </c>
      <c r="G419" s="330">
        <f>G446*0.1/$M$347</f>
        <v>5.9849673386884031E-2</v>
      </c>
      <c r="H419" s="330">
        <f>H409*0.1</f>
        <v>135.32316666666665</v>
      </c>
      <c r="I419" s="301"/>
      <c r="J419" s="301">
        <f>J446*0.1/$M$347</f>
        <v>0</v>
      </c>
      <c r="K419" s="301">
        <f t="shared" ref="K419:K426" si="137">SUM(E419:J419)</f>
        <v>19910.566292408432</v>
      </c>
      <c r="L419" s="301">
        <f>K419*0.25</f>
        <v>4977.6415731021079</v>
      </c>
      <c r="M419" s="315">
        <f t="shared" ref="M419:M426" si="138">K419+L419</f>
        <v>24888.20786551054</v>
      </c>
      <c r="N419" s="301">
        <f>M419+M423</f>
        <v>26182.802048837508</v>
      </c>
      <c r="O419" s="301">
        <f t="shared" ref="O419:O426" si="139">O409*0.1</f>
        <v>504.18899572649582</v>
      </c>
    </row>
    <row r="420" spans="1:15" s="308" customFormat="1" ht="15" customHeight="1">
      <c r="A420" s="1036"/>
      <c r="B420" s="1035"/>
      <c r="C420" s="1036"/>
      <c r="D420" s="298">
        <v>2</v>
      </c>
      <c r="E420" s="301">
        <f t="shared" si="136"/>
        <v>21050.871983854173</v>
      </c>
      <c r="F420" s="301">
        <f t="shared" si="136"/>
        <v>2253.9258547008553</v>
      </c>
      <c r="G420" s="330">
        <f>G447*0.1/$M$347</f>
        <v>7.1508700670043265E-2</v>
      </c>
      <c r="H420" s="330">
        <f>H410*0.1</f>
        <v>135.32316666666665</v>
      </c>
      <c r="I420" s="301"/>
      <c r="J420" s="301">
        <f>J447*0.1/$M$347</f>
        <v>0</v>
      </c>
      <c r="K420" s="301">
        <f t="shared" si="137"/>
        <v>23440.19251392236</v>
      </c>
      <c r="L420" s="301">
        <f>K420*0.25</f>
        <v>5860.0481284805901</v>
      </c>
      <c r="M420" s="315">
        <f t="shared" si="138"/>
        <v>29300.24064240295</v>
      </c>
      <c r="N420" s="301">
        <f>M420+M424</f>
        <v>30817.277083227025</v>
      </c>
      <c r="O420" s="301">
        <f t="shared" si="139"/>
        <v>594.07359775641021</v>
      </c>
    </row>
    <row r="421" spans="1:15" s="308" customFormat="1" ht="15" customHeight="1">
      <c r="A421" s="1036"/>
      <c r="B421" s="1035"/>
      <c r="C421" s="1036"/>
      <c r="D421" s="298">
        <v>3</v>
      </c>
      <c r="E421" s="301">
        <f t="shared" si="136"/>
        <v>24861.054575347225</v>
      </c>
      <c r="F421" s="301">
        <f t="shared" si="136"/>
        <v>2679.7269230769234</v>
      </c>
      <c r="G421" s="330">
        <f>G448*0.1/$M$347</f>
        <v>7.7726848554394837E-2</v>
      </c>
      <c r="H421" s="330">
        <f>H411*0.1</f>
        <v>135.32316666666665</v>
      </c>
      <c r="I421" s="301"/>
      <c r="J421" s="301">
        <f>J448*0.1/$M$347</f>
        <v>0</v>
      </c>
      <c r="K421" s="301">
        <f t="shared" si="137"/>
        <v>27676.182391939368</v>
      </c>
      <c r="L421" s="301">
        <f>K421*0.25</f>
        <v>6919.0455979848421</v>
      </c>
      <c r="M421" s="315">
        <f t="shared" si="138"/>
        <v>34595.227989924213</v>
      </c>
      <c r="N421" s="301">
        <f>M421+M425</f>
        <v>36412.440685776841</v>
      </c>
      <c r="O421" s="301">
        <f t="shared" si="139"/>
        <v>701.946607905983</v>
      </c>
    </row>
    <row r="422" spans="1:15" s="308" customFormat="1" ht="15" customHeight="1">
      <c r="A422" s="1036"/>
      <c r="B422" s="1035"/>
      <c r="C422" s="1036"/>
      <c r="D422" s="298">
        <v>4</v>
      </c>
      <c r="E422" s="301">
        <f t="shared" si="136"/>
        <v>29432.867927604177</v>
      </c>
      <c r="F422" s="301">
        <f t="shared" si="136"/>
        <v>3190.6275641025641</v>
      </c>
      <c r="G422" s="330">
        <f>G449*0.1/$M$347</f>
        <v>8.5499533409834336E-2</v>
      </c>
      <c r="H422" s="330">
        <f>H412*0.1</f>
        <v>135.32316666666665</v>
      </c>
      <c r="I422" s="301"/>
      <c r="J422" s="301">
        <f>J449*0.1/$M$347</f>
        <v>0</v>
      </c>
      <c r="K422" s="301">
        <f t="shared" si="137"/>
        <v>32758.904157906814</v>
      </c>
      <c r="L422" s="301">
        <f>K422*0.25</f>
        <v>8189.7260394767036</v>
      </c>
      <c r="M422" s="315">
        <f t="shared" si="138"/>
        <v>40948.630197383522</v>
      </c>
      <c r="N422" s="301">
        <f>M422+M426</f>
        <v>43170.763480098802</v>
      </c>
      <c r="O422" s="301">
        <f t="shared" si="139"/>
        <v>831.38273237179499</v>
      </c>
    </row>
    <row r="423" spans="1:15" s="308" customFormat="1" ht="13.5" customHeight="1">
      <c r="A423" s="1036"/>
      <c r="B423" s="1035" t="s">
        <v>192</v>
      </c>
      <c r="C423" s="1036" t="s">
        <v>21</v>
      </c>
      <c r="D423" s="298">
        <v>1</v>
      </c>
      <c r="E423" s="301">
        <f t="shared" si="136"/>
        <v>1125.6191375000003</v>
      </c>
      <c r="F423" s="301">
        <f t="shared" si="136"/>
        <v>0</v>
      </c>
      <c r="G423" s="330">
        <f t="shared" ref="G423:H426" si="140">G459*0.1/$M$347</f>
        <v>4.5343409490740732E-3</v>
      </c>
      <c r="H423" s="330">
        <f t="shared" si="140"/>
        <v>0.11040061728395065</v>
      </c>
      <c r="I423" s="301"/>
      <c r="J423" s="301"/>
      <c r="K423" s="301">
        <f t="shared" si="137"/>
        <v>1125.7340724582332</v>
      </c>
      <c r="L423" s="301">
        <f>K423*0.15</f>
        <v>168.86011086873498</v>
      </c>
      <c r="M423" s="315">
        <f t="shared" si="138"/>
        <v>1294.5941833269681</v>
      </c>
      <c r="N423" s="301"/>
      <c r="O423" s="301">
        <f t="shared" si="139"/>
        <v>31.868269230769233</v>
      </c>
    </row>
    <row r="424" spans="1:15" s="308" customFormat="1" ht="15" customHeight="1">
      <c r="A424" s="1036"/>
      <c r="B424" s="1035"/>
      <c r="C424" s="1036"/>
      <c r="D424" s="298">
        <v>2</v>
      </c>
      <c r="E424" s="301">
        <f t="shared" si="136"/>
        <v>1319.0461411111112</v>
      </c>
      <c r="F424" s="301">
        <f t="shared" si="136"/>
        <v>0</v>
      </c>
      <c r="G424" s="330">
        <f t="shared" si="140"/>
        <v>5.5807273219373212E-3</v>
      </c>
      <c r="H424" s="330">
        <f t="shared" si="140"/>
        <v>0.11040061728395065</v>
      </c>
      <c r="I424" s="301"/>
      <c r="J424" s="301"/>
      <c r="K424" s="301">
        <f t="shared" si="137"/>
        <v>1319.1621224557171</v>
      </c>
      <c r="L424" s="301">
        <f>K424*0.15</f>
        <v>197.87431836835756</v>
      </c>
      <c r="M424" s="315">
        <f t="shared" si="138"/>
        <v>1517.0364408240746</v>
      </c>
      <c r="N424" s="301"/>
      <c r="O424" s="301">
        <f t="shared" si="139"/>
        <v>37.344529914529915</v>
      </c>
    </row>
    <row r="425" spans="1:15" s="308" customFormat="1" ht="15" customHeight="1">
      <c r="A425" s="1036"/>
      <c r="B425" s="1035"/>
      <c r="C425" s="1036"/>
      <c r="D425" s="298">
        <v>3</v>
      </c>
      <c r="E425" s="301">
        <f t="shared" si="136"/>
        <v>1580.0675763888894</v>
      </c>
      <c r="F425" s="301">
        <f t="shared" si="136"/>
        <v>0</v>
      </c>
      <c r="G425" s="330">
        <f t="shared" si="140"/>
        <v>6.9759091524216514E-3</v>
      </c>
      <c r="H425" s="330">
        <f t="shared" si="140"/>
        <v>0.11040061728395065</v>
      </c>
      <c r="I425" s="301"/>
      <c r="J425" s="301"/>
      <c r="K425" s="301">
        <f t="shared" si="137"/>
        <v>1580.1849529153258</v>
      </c>
      <c r="L425" s="301">
        <f>K425*0.15</f>
        <v>237.02774293729885</v>
      </c>
      <c r="M425" s="315">
        <f t="shared" si="138"/>
        <v>1817.2126958526246</v>
      </c>
      <c r="N425" s="301"/>
      <c r="O425" s="301">
        <f t="shared" si="139"/>
        <v>44.734508547008545</v>
      </c>
    </row>
    <row r="426" spans="1:15" s="308" customFormat="1" ht="15" customHeight="1">
      <c r="A426" s="1036"/>
      <c r="B426" s="1035"/>
      <c r="C426" s="1036"/>
      <c r="D426" s="298">
        <v>4</v>
      </c>
      <c r="E426" s="301">
        <f t="shared" si="136"/>
        <v>1932.1696441666668</v>
      </c>
      <c r="F426" s="301">
        <f t="shared" si="136"/>
        <v>0</v>
      </c>
      <c r="G426" s="330">
        <f t="shared" si="140"/>
        <v>9.7662728133903112E-3</v>
      </c>
      <c r="H426" s="330">
        <f t="shared" si="140"/>
        <v>0.11040061728395065</v>
      </c>
      <c r="I426" s="301"/>
      <c r="J426" s="301"/>
      <c r="K426" s="301">
        <f t="shared" si="137"/>
        <v>1932.2898110567639</v>
      </c>
      <c r="L426" s="301">
        <f>K426*0.15</f>
        <v>289.8434716585146</v>
      </c>
      <c r="M426" s="315">
        <f t="shared" si="138"/>
        <v>2222.1332827152787</v>
      </c>
      <c r="N426" s="301"/>
      <c r="O426" s="301">
        <f t="shared" si="139"/>
        <v>54.703141025641031</v>
      </c>
    </row>
    <row r="427" spans="1:15">
      <c r="A427" s="298" t="s">
        <v>499</v>
      </c>
      <c r="B427" s="314" t="s">
        <v>326</v>
      </c>
      <c r="C427" s="300"/>
      <c r="D427" s="300"/>
      <c r="E427" s="301"/>
      <c r="F427" s="301"/>
      <c r="G427" s="301"/>
      <c r="H427" s="301"/>
      <c r="I427" s="301"/>
      <c r="J427" s="301"/>
      <c r="K427" s="301"/>
      <c r="L427" s="301"/>
      <c r="M427" s="315"/>
      <c r="N427" s="301"/>
      <c r="O427" s="301"/>
    </row>
    <row r="428" spans="1:15" s="308" customFormat="1" ht="13.5" customHeight="1">
      <c r="A428" s="1036"/>
      <c r="B428" s="1035" t="s">
        <v>190</v>
      </c>
      <c r="C428" s="1036" t="s">
        <v>21</v>
      </c>
      <c r="D428" s="298">
        <v>1</v>
      </c>
      <c r="E428" s="301">
        <f t="shared" ref="E428:F431" si="141">E409*1.15</f>
        <v>205574.66648888891</v>
      </c>
      <c r="F428" s="301">
        <f t="shared" si="141"/>
        <v>21839.941185897434</v>
      </c>
      <c r="G428" s="301">
        <f t="shared" ref="G428:H435" si="142">G409</f>
        <v>1543.4713166547956</v>
      </c>
      <c r="H428" s="301">
        <f t="shared" si="142"/>
        <v>1353.2316666666666</v>
      </c>
      <c r="I428" s="301"/>
      <c r="J428" s="301">
        <f t="shared" ref="J428:J435" si="143">J409</f>
        <v>2.3372999999999995</v>
      </c>
      <c r="K428" s="301">
        <f t="shared" ref="K428:K435" si="144">SUM(E428:J428)</f>
        <v>230313.64795810782</v>
      </c>
      <c r="L428" s="301">
        <f>K428*0.25</f>
        <v>57578.411989526954</v>
      </c>
      <c r="M428" s="315">
        <f t="shared" ref="M428:M435" si="145">K428+L428</f>
        <v>287892.05994763476</v>
      </c>
      <c r="N428" s="301">
        <f>M428+M432</f>
        <v>306848.83950933465</v>
      </c>
      <c r="O428" s="301">
        <f>O409*1.15</f>
        <v>5798.1734508547015</v>
      </c>
    </row>
    <row r="429" spans="1:15" s="308" customFormat="1" ht="15" customHeight="1">
      <c r="A429" s="1036"/>
      <c r="B429" s="1035"/>
      <c r="C429" s="1036"/>
      <c r="D429" s="298">
        <v>2</v>
      </c>
      <c r="E429" s="301">
        <f t="shared" si="141"/>
        <v>242085.02781432297</v>
      </c>
      <c r="F429" s="301">
        <f t="shared" si="141"/>
        <v>25920.14732905983</v>
      </c>
      <c r="G429" s="301">
        <f t="shared" si="142"/>
        <v>1790.5088186728394</v>
      </c>
      <c r="H429" s="301">
        <f t="shared" si="142"/>
        <v>1353.2316666666666</v>
      </c>
      <c r="I429" s="301"/>
      <c r="J429" s="301">
        <f t="shared" si="143"/>
        <v>2.3372999999999995</v>
      </c>
      <c r="K429" s="301">
        <f t="shared" si="144"/>
        <v>271151.25292872236</v>
      </c>
      <c r="L429" s="301">
        <f>K429*0.25</f>
        <v>67787.81323218059</v>
      </c>
      <c r="M429" s="315">
        <f t="shared" si="145"/>
        <v>338939.06616090296</v>
      </c>
      <c r="N429" s="301">
        <f>M429+M433</f>
        <v>360433.20430474257</v>
      </c>
      <c r="O429" s="301">
        <f>O410*1.15</f>
        <v>6831.8463741987161</v>
      </c>
    </row>
    <row r="430" spans="1:15" s="308" customFormat="1" ht="15" customHeight="1">
      <c r="A430" s="1036"/>
      <c r="B430" s="1035"/>
      <c r="C430" s="1036"/>
      <c r="D430" s="298">
        <v>3</v>
      </c>
      <c r="E430" s="301">
        <f t="shared" si="141"/>
        <v>285902.12761649309</v>
      </c>
      <c r="F430" s="301">
        <f t="shared" si="141"/>
        <v>30816.859615384616</v>
      </c>
      <c r="G430" s="301">
        <f t="shared" si="142"/>
        <v>1934.4422691120606</v>
      </c>
      <c r="H430" s="301">
        <f t="shared" si="142"/>
        <v>1353.2316666666666</v>
      </c>
      <c r="I430" s="301"/>
      <c r="J430" s="301">
        <f t="shared" si="143"/>
        <v>2.3372999999999995</v>
      </c>
      <c r="K430" s="301">
        <f t="shared" si="144"/>
        <v>320008.99846765643</v>
      </c>
      <c r="L430" s="301">
        <f>K430*0.25</f>
        <v>80002.249616914109</v>
      </c>
      <c r="M430" s="315">
        <f t="shared" si="145"/>
        <v>400011.24808457051</v>
      </c>
      <c r="N430" s="301">
        <f>M430+M434</f>
        <v>425232.31992245285</v>
      </c>
      <c r="O430" s="301">
        <f>O411*1.15</f>
        <v>8072.3859909188031</v>
      </c>
    </row>
    <row r="431" spans="1:15" s="308" customFormat="1" ht="15" customHeight="1">
      <c r="A431" s="1036"/>
      <c r="B431" s="1035"/>
      <c r="C431" s="1036"/>
      <c r="D431" s="298">
        <v>4</v>
      </c>
      <c r="E431" s="301">
        <f t="shared" si="141"/>
        <v>338477.98116744799</v>
      </c>
      <c r="F431" s="301">
        <f t="shared" si="141"/>
        <v>36692.216987179483</v>
      </c>
      <c r="G431" s="301">
        <f t="shared" si="142"/>
        <v>2111.4682318376067</v>
      </c>
      <c r="H431" s="301">
        <f t="shared" si="142"/>
        <v>1353.2316666666666</v>
      </c>
      <c r="I431" s="301"/>
      <c r="J431" s="301">
        <f t="shared" si="143"/>
        <v>2.3372999999999995</v>
      </c>
      <c r="K431" s="301">
        <f t="shared" si="144"/>
        <v>378637.23535313178</v>
      </c>
      <c r="L431" s="301">
        <f>K431*0.25</f>
        <v>94659.308838282945</v>
      </c>
      <c r="M431" s="315">
        <f t="shared" si="145"/>
        <v>473296.54419141472</v>
      </c>
      <c r="N431" s="301">
        <f>M431+M435</f>
        <v>503554.86979807698</v>
      </c>
      <c r="O431" s="301">
        <f>O412*1.15</f>
        <v>9560.9014222756414</v>
      </c>
    </row>
    <row r="432" spans="1:15" s="308" customFormat="1" ht="13.5" customHeight="1">
      <c r="A432" s="1036"/>
      <c r="B432" s="1035" t="s">
        <v>192</v>
      </c>
      <c r="C432" s="1036" t="s">
        <v>21</v>
      </c>
      <c r="D432" s="298">
        <v>1</v>
      </c>
      <c r="E432" s="301">
        <f t="shared" ref="E432:F435" si="146">E413*1.1</f>
        <v>12381.810512500004</v>
      </c>
      <c r="F432" s="301">
        <f t="shared" si="146"/>
        <v>0</v>
      </c>
      <c r="G432" s="301">
        <f t="shared" si="142"/>
        <v>162.42553366417377</v>
      </c>
      <c r="H432" s="301">
        <f t="shared" si="142"/>
        <v>3270.8277777777785</v>
      </c>
      <c r="I432" s="301"/>
      <c r="J432" s="301">
        <f t="shared" si="143"/>
        <v>669.09231666666665</v>
      </c>
      <c r="K432" s="301">
        <f t="shared" si="144"/>
        <v>16484.156140608622</v>
      </c>
      <c r="L432" s="301">
        <f>K432*0.15</f>
        <v>2472.623421091293</v>
      </c>
      <c r="M432" s="315">
        <f t="shared" si="145"/>
        <v>18956.779561699914</v>
      </c>
      <c r="N432" s="301"/>
      <c r="O432" s="301">
        <f>O413*1.1</f>
        <v>350.55096153846159</v>
      </c>
    </row>
    <row r="433" spans="1:15" s="308" customFormat="1" ht="15" customHeight="1">
      <c r="A433" s="1036"/>
      <c r="B433" s="1035"/>
      <c r="C433" s="1036"/>
      <c r="D433" s="298">
        <v>2</v>
      </c>
      <c r="E433" s="301">
        <f t="shared" si="146"/>
        <v>14509.507552222223</v>
      </c>
      <c r="F433" s="301">
        <f t="shared" si="146"/>
        <v>0</v>
      </c>
      <c r="G433" s="301">
        <f t="shared" si="142"/>
        <v>171.84301101994299</v>
      </c>
      <c r="H433" s="301">
        <f t="shared" si="142"/>
        <v>3270.8277777777785</v>
      </c>
      <c r="I433" s="301"/>
      <c r="J433" s="301">
        <f t="shared" si="143"/>
        <v>738.37656666666658</v>
      </c>
      <c r="K433" s="301">
        <f t="shared" si="144"/>
        <v>18690.554907686608</v>
      </c>
      <c r="L433" s="301">
        <f>K433*0.15</f>
        <v>2803.583236152991</v>
      </c>
      <c r="M433" s="315">
        <f t="shared" si="145"/>
        <v>21494.138143839598</v>
      </c>
      <c r="N433" s="301"/>
      <c r="O433" s="301">
        <f>O414*1.1</f>
        <v>410.78982905982912</v>
      </c>
    </row>
    <row r="434" spans="1:15" s="308" customFormat="1" ht="15" customHeight="1">
      <c r="A434" s="1036"/>
      <c r="B434" s="1035"/>
      <c r="C434" s="1036"/>
      <c r="D434" s="298">
        <v>3</v>
      </c>
      <c r="E434" s="301">
        <f t="shared" si="146"/>
        <v>17380.743340277782</v>
      </c>
      <c r="F434" s="301">
        <f t="shared" si="146"/>
        <v>0</v>
      </c>
      <c r="G434" s="301">
        <f t="shared" si="142"/>
        <v>184.39964749430195</v>
      </c>
      <c r="H434" s="301">
        <f t="shared" si="142"/>
        <v>3270.8277777777785</v>
      </c>
      <c r="I434" s="301"/>
      <c r="J434" s="301">
        <f t="shared" si="143"/>
        <v>1095.3960500000001</v>
      </c>
      <c r="K434" s="301">
        <f t="shared" si="144"/>
        <v>21931.366815549864</v>
      </c>
      <c r="L434" s="301">
        <f>K434*0.15</f>
        <v>3289.7050223324795</v>
      </c>
      <c r="M434" s="315">
        <f t="shared" si="145"/>
        <v>25221.071837882344</v>
      </c>
      <c r="N434" s="301"/>
      <c r="O434" s="301">
        <f>O415*1.1</f>
        <v>492.07959401709405</v>
      </c>
    </row>
    <row r="435" spans="1:15" s="308" customFormat="1" ht="15" customHeight="1">
      <c r="A435" s="1036"/>
      <c r="B435" s="1035"/>
      <c r="C435" s="1036"/>
      <c r="D435" s="298">
        <v>4</v>
      </c>
      <c r="E435" s="301">
        <f t="shared" si="146"/>
        <v>21253.866085833335</v>
      </c>
      <c r="F435" s="301">
        <f t="shared" si="146"/>
        <v>0</v>
      </c>
      <c r="G435" s="301">
        <f t="shared" si="142"/>
        <v>209.51292044301988</v>
      </c>
      <c r="H435" s="301">
        <f t="shared" si="142"/>
        <v>3270.8277777777785</v>
      </c>
      <c r="I435" s="301"/>
      <c r="J435" s="301">
        <f t="shared" si="143"/>
        <v>1577.3807000000002</v>
      </c>
      <c r="K435" s="301">
        <f t="shared" si="144"/>
        <v>26311.587484054136</v>
      </c>
      <c r="L435" s="301">
        <f>K435*0.15</f>
        <v>3946.7381226081202</v>
      </c>
      <c r="M435" s="315">
        <f t="shared" si="145"/>
        <v>30258.325606662256</v>
      </c>
      <c r="N435" s="301"/>
      <c r="O435" s="301">
        <f>O416*1.1</f>
        <v>601.73455128205137</v>
      </c>
    </row>
    <row r="436" spans="1:15">
      <c r="A436" s="298">
        <v>1</v>
      </c>
      <c r="B436" s="316" t="s">
        <v>57</v>
      </c>
      <c r="C436" s="300"/>
      <c r="D436" s="300"/>
      <c r="E436" s="301"/>
      <c r="F436" s="301"/>
      <c r="G436" s="301"/>
      <c r="H436" s="301"/>
      <c r="I436" s="301"/>
      <c r="J436" s="301"/>
      <c r="K436" s="301"/>
      <c r="L436" s="301"/>
      <c r="M436" s="315">
        <v>3600</v>
      </c>
      <c r="N436" s="327" t="s">
        <v>21</v>
      </c>
      <c r="O436" s="301"/>
    </row>
    <row r="437" spans="1:15">
      <c r="A437" s="323" t="s">
        <v>359</v>
      </c>
      <c r="B437" s="324" t="str">
        <f>NhanCong!B$61</f>
        <v>Công tác chuẩn bị</v>
      </c>
      <c r="C437" s="319" t="s">
        <v>317</v>
      </c>
      <c r="D437" s="319" t="s">
        <v>622</v>
      </c>
      <c r="E437" s="301">
        <f>NhanCong!AC$61</f>
        <v>20009.137500000008</v>
      </c>
      <c r="F437" s="301">
        <f>NhanCong!AC$62</f>
        <v>1250.7211538461538</v>
      </c>
      <c r="G437" s="320">
        <f>Dcu!R$102*0.4</f>
        <v>279.81665479582142</v>
      </c>
      <c r="H437" s="320">
        <f>VLieu!P$66</f>
        <v>200.97499999999999</v>
      </c>
      <c r="I437" s="320"/>
      <c r="J437" s="320"/>
      <c r="K437" s="320">
        <f>SUM(E437:J437)</f>
        <v>21740.65030864198</v>
      </c>
      <c r="L437" s="320">
        <f>K437*0.25</f>
        <v>5435.1625771604949</v>
      </c>
      <c r="M437" s="321">
        <f>K437+L437</f>
        <v>27175.812885802476</v>
      </c>
      <c r="N437" s="320"/>
      <c r="O437" s="320">
        <f>NhanCong!AD$61</f>
        <v>547.35576923076917</v>
      </c>
    </row>
    <row r="438" spans="1:15">
      <c r="A438" s="1041" t="s">
        <v>269</v>
      </c>
      <c r="B438" s="1038" t="str">
        <f>NhanCong!B$63</f>
        <v>Lập lưới khống chế đo vẽ</v>
      </c>
      <c r="C438" s="1039" t="s">
        <v>317</v>
      </c>
      <c r="D438" s="319">
        <v>1</v>
      </c>
      <c r="E438" s="301">
        <f>NhanCong!AC$63</f>
        <v>13378.064600694448</v>
      </c>
      <c r="F438" s="301"/>
      <c r="G438" s="320">
        <f>Dcu!R$82</f>
        <v>78.63112879867046</v>
      </c>
      <c r="H438" s="320">
        <f>VLieu!P$67</f>
        <v>133.98333333333332</v>
      </c>
      <c r="I438" s="320"/>
      <c r="J438" s="320">
        <f>TBi!N$59</f>
        <v>2.3372999999999995</v>
      </c>
      <c r="K438" s="320">
        <f t="shared" ref="K438:K441" si="147">SUM(E438:J438)</f>
        <v>13593.016362826451</v>
      </c>
      <c r="L438" s="320">
        <f t="shared" ref="L438:L457" si="148">K438*0.25</f>
        <v>3398.2540907066127</v>
      </c>
      <c r="M438" s="321">
        <f t="shared" ref="M438:M457" si="149">K438+L438</f>
        <v>16991.270453533063</v>
      </c>
      <c r="N438" s="320"/>
      <c r="O438" s="320">
        <f>NhanCong!AD$63</f>
        <v>378.75667735042737</v>
      </c>
    </row>
    <row r="439" spans="1:15">
      <c r="A439" s="1041"/>
      <c r="B439" s="1038"/>
      <c r="C439" s="1039"/>
      <c r="D439" s="319">
        <v>2</v>
      </c>
      <c r="E439" s="301">
        <f>NhanCong!AC$64</f>
        <v>16051.290711805557</v>
      </c>
      <c r="F439" s="301"/>
      <c r="G439" s="320">
        <f>Dcu!R$83</f>
        <v>94.819890610161437</v>
      </c>
      <c r="H439" s="320">
        <f>VLieu!P$67</f>
        <v>133.98333333333332</v>
      </c>
      <c r="I439" s="320"/>
      <c r="J439" s="320">
        <f>TBi!O$59</f>
        <v>2.3372999999999995</v>
      </c>
      <c r="K439" s="320">
        <f t="shared" si="147"/>
        <v>16282.431235749051</v>
      </c>
      <c r="L439" s="320">
        <f t="shared" si="148"/>
        <v>4070.6078089372627</v>
      </c>
      <c r="M439" s="321">
        <f t="shared" si="149"/>
        <v>20353.039044686313</v>
      </c>
      <c r="N439" s="320"/>
      <c r="O439" s="320">
        <f>NhanCong!AD$64</f>
        <v>454.44043803418805</v>
      </c>
    </row>
    <row r="440" spans="1:15">
      <c r="A440" s="1041"/>
      <c r="B440" s="1038"/>
      <c r="C440" s="1039"/>
      <c r="D440" s="319">
        <v>3</v>
      </c>
      <c r="E440" s="301">
        <f>NhanCong!AC$65</f>
        <v>19261.548854166675</v>
      </c>
      <c r="F440" s="301"/>
      <c r="G440" s="320">
        <f>Dcu!R$84</f>
        <v>115.63401293922126</v>
      </c>
      <c r="H440" s="320">
        <f>VLieu!P$67</f>
        <v>133.98333333333332</v>
      </c>
      <c r="I440" s="320"/>
      <c r="J440" s="320">
        <f>TBi!P$59</f>
        <v>2.3372999999999995</v>
      </c>
      <c r="K440" s="320">
        <f t="shared" si="147"/>
        <v>19513.50350043923</v>
      </c>
      <c r="L440" s="320">
        <f t="shared" si="148"/>
        <v>4878.3758751098076</v>
      </c>
      <c r="M440" s="321">
        <f t="shared" si="149"/>
        <v>24391.879375549037</v>
      </c>
      <c r="N440" s="320"/>
      <c r="O440" s="320">
        <f>NhanCong!AD$65</f>
        <v>545.32852564102564</v>
      </c>
    </row>
    <row r="441" spans="1:15">
      <c r="A441" s="1041"/>
      <c r="B441" s="1038"/>
      <c r="C441" s="1039"/>
      <c r="D441" s="319">
        <v>4</v>
      </c>
      <c r="E441" s="301">
        <f>NhanCong!AC$66</f>
        <v>23116.245434027787</v>
      </c>
      <c r="F441" s="301"/>
      <c r="G441" s="320">
        <f>Dcu!R$85</f>
        <v>138.76081552706552</v>
      </c>
      <c r="H441" s="320">
        <f>VLieu!P$67</f>
        <v>133.98333333333332</v>
      </c>
      <c r="I441" s="320"/>
      <c r="J441" s="320">
        <f>TBi!Q$59</f>
        <v>2.3372999999999995</v>
      </c>
      <c r="K441" s="320">
        <f t="shared" si="147"/>
        <v>23391.326882888185</v>
      </c>
      <c r="L441" s="320">
        <f t="shared" si="148"/>
        <v>5847.8317207220462</v>
      </c>
      <c r="M441" s="321">
        <f t="shared" si="149"/>
        <v>29239.158603610231</v>
      </c>
      <c r="N441" s="320"/>
      <c r="O441" s="320">
        <f>NhanCong!AD$66</f>
        <v>654.46180555555554</v>
      </c>
    </row>
    <row r="442" spans="1:15">
      <c r="A442" s="1041" t="s">
        <v>36</v>
      </c>
      <c r="B442" s="1038" t="str">
        <f>NhanCong!B$68</f>
        <v>Xác định ranh giới thửa đất trên thực địa</v>
      </c>
      <c r="C442" s="1039" t="s">
        <v>317</v>
      </c>
      <c r="D442" s="319">
        <v>1</v>
      </c>
      <c r="E442" s="301">
        <f>NhanCong!AC$68</f>
        <v>44752.669270833343</v>
      </c>
      <c r="F442" s="301">
        <f>NhanCong!AC$69</f>
        <v>9475.1602564102577</v>
      </c>
      <c r="G442" s="320">
        <f>Dcu!R$103*0.4</f>
        <v>215.45882419278252</v>
      </c>
      <c r="H442" s="320">
        <f>VLieu!P$68</f>
        <v>334.95833333333331</v>
      </c>
      <c r="I442" s="320"/>
      <c r="J442" s="320"/>
      <c r="K442" s="320">
        <f>SUM(E442:J442)</f>
        <v>54778.246684769721</v>
      </c>
      <c r="L442" s="320">
        <f t="shared" si="148"/>
        <v>13694.56167119243</v>
      </c>
      <c r="M442" s="321">
        <f t="shared" si="149"/>
        <v>68472.808355962159</v>
      </c>
      <c r="N442" s="320"/>
      <c r="O442" s="320">
        <f>NhanCong!AD$68</f>
        <v>1267.0272435897436</v>
      </c>
    </row>
    <row r="443" spans="1:15">
      <c r="A443" s="1041"/>
      <c r="B443" s="1038"/>
      <c r="C443" s="1039"/>
      <c r="D443" s="319">
        <v>2</v>
      </c>
      <c r="E443" s="301">
        <f>NhanCong!AC$70</f>
        <v>53703.203125000007</v>
      </c>
      <c r="F443" s="301">
        <f>NhanCong!AC$71</f>
        <v>11370.192307692309</v>
      </c>
      <c r="G443" s="320">
        <f>Dcu!R$104*0.4</f>
        <v>257.43132241215574</v>
      </c>
      <c r="H443" s="320">
        <f>VLieu!P$68</f>
        <v>334.95833333333331</v>
      </c>
      <c r="I443" s="320"/>
      <c r="J443" s="320"/>
      <c r="K443" s="320">
        <f t="shared" ref="K443:K457" si="150">SUM(E443:J443)</f>
        <v>65665.785088437799</v>
      </c>
      <c r="L443" s="320">
        <f t="shared" si="148"/>
        <v>16416.44627210945</v>
      </c>
      <c r="M443" s="321">
        <f t="shared" si="149"/>
        <v>82082.231360547245</v>
      </c>
      <c r="N443" s="320"/>
      <c r="O443" s="320">
        <f>NhanCong!AD$70</f>
        <v>1520.4326923076922</v>
      </c>
    </row>
    <row r="444" spans="1:15">
      <c r="A444" s="1041"/>
      <c r="B444" s="1038"/>
      <c r="C444" s="1039"/>
      <c r="D444" s="319">
        <v>3</v>
      </c>
      <c r="E444" s="301">
        <f>NhanCong!AC$72</f>
        <v>64443.843750000007</v>
      </c>
      <c r="F444" s="301">
        <f>NhanCong!AC$73</f>
        <v>13644.230769230771</v>
      </c>
      <c r="G444" s="320">
        <f>Dcu!R$105*0.4</f>
        <v>279.81665479582142</v>
      </c>
      <c r="H444" s="320">
        <f>VLieu!P$68</f>
        <v>334.95833333333331</v>
      </c>
      <c r="I444" s="320"/>
      <c r="J444" s="320"/>
      <c r="K444" s="320">
        <f t="shared" si="150"/>
        <v>78702.849507359933</v>
      </c>
      <c r="L444" s="320">
        <f t="shared" si="148"/>
        <v>19675.712376839983</v>
      </c>
      <c r="M444" s="321">
        <f t="shared" si="149"/>
        <v>98378.561884199909</v>
      </c>
      <c r="N444" s="320"/>
      <c r="O444" s="320">
        <f>NhanCong!AD$72</f>
        <v>1824.5192307692305</v>
      </c>
    </row>
    <row r="445" spans="1:15">
      <c r="A445" s="1041"/>
      <c r="B445" s="1038"/>
      <c r="C445" s="1039"/>
      <c r="D445" s="319">
        <v>4</v>
      </c>
      <c r="E445" s="301">
        <f>NhanCong!AC$74</f>
        <v>77332.612500000017</v>
      </c>
      <c r="F445" s="301">
        <f>NhanCong!AC$75</f>
        <v>16373.076923076924</v>
      </c>
      <c r="G445" s="320">
        <f>Dcu!R$106*0.4</f>
        <v>307.79832027540363</v>
      </c>
      <c r="H445" s="320">
        <f>VLieu!P$68</f>
        <v>334.95833333333331</v>
      </c>
      <c r="I445" s="320"/>
      <c r="J445" s="320"/>
      <c r="K445" s="320">
        <f t="shared" si="150"/>
        <v>94348.446076685665</v>
      </c>
      <c r="L445" s="320">
        <f t="shared" si="148"/>
        <v>23587.111519171416</v>
      </c>
      <c r="M445" s="321">
        <f t="shared" si="149"/>
        <v>117935.55759585708</v>
      </c>
      <c r="N445" s="320"/>
      <c r="O445" s="320">
        <f>NhanCong!AD$74</f>
        <v>2189.4230769230767</v>
      </c>
    </row>
    <row r="446" spans="1:15">
      <c r="A446" s="1041" t="s">
        <v>270</v>
      </c>
      <c r="B446" s="1038" t="str">
        <f>NhanCong!B$78</f>
        <v>Đo đạc ranh giới thửa đất và các đối tượng địa lý có liên quan</v>
      </c>
      <c r="C446" s="1039" t="s">
        <v>317</v>
      </c>
      <c r="D446" s="319" t="s">
        <v>18</v>
      </c>
      <c r="E446" s="301">
        <f>NhanCong!AC$78</f>
        <v>83508.48085937502</v>
      </c>
      <c r="F446" s="301">
        <f>NhanCong!AC$79</f>
        <v>2829.9145299145298</v>
      </c>
      <c r="G446" s="320">
        <f>Dcu!R$103</f>
        <v>538.64706048195626</v>
      </c>
      <c r="H446" s="320">
        <f>VLieu!P$69</f>
        <v>334.95833333333331</v>
      </c>
      <c r="I446" s="320"/>
      <c r="J446" s="320"/>
      <c r="K446" s="320">
        <f t="shared" si="150"/>
        <v>87212.000783104842</v>
      </c>
      <c r="L446" s="320">
        <f t="shared" si="148"/>
        <v>21803.000195776211</v>
      </c>
      <c r="M446" s="321">
        <f t="shared" si="149"/>
        <v>109015.00097888106</v>
      </c>
      <c r="N446" s="320"/>
      <c r="O446" s="320">
        <f>NhanCong!AD$78</f>
        <v>2364.2728365384614</v>
      </c>
    </row>
    <row r="447" spans="1:15">
      <c r="A447" s="1041"/>
      <c r="B447" s="1038"/>
      <c r="C447" s="1039"/>
      <c r="D447" s="319" t="s">
        <v>20</v>
      </c>
      <c r="E447" s="301">
        <f>NhanCong!AC$80</f>
        <v>100210.17703125003</v>
      </c>
      <c r="F447" s="301">
        <f>NhanCong!AC$81</f>
        <v>3395.897435897436</v>
      </c>
      <c r="G447" s="320">
        <f>Dcu!R$104</f>
        <v>643.57830603038929</v>
      </c>
      <c r="H447" s="320">
        <f>VLieu!P$69</f>
        <v>334.95833333333331</v>
      </c>
      <c r="I447" s="320"/>
      <c r="J447" s="320"/>
      <c r="K447" s="320">
        <f t="shared" si="150"/>
        <v>104584.61110651119</v>
      </c>
      <c r="L447" s="320">
        <f t="shared" si="148"/>
        <v>26146.152776627798</v>
      </c>
      <c r="M447" s="321">
        <f t="shared" si="149"/>
        <v>130730.76388313899</v>
      </c>
      <c r="N447" s="320"/>
      <c r="O447" s="320">
        <f>NhanCong!AD$80</f>
        <v>2837.1274038461538</v>
      </c>
    </row>
    <row r="448" spans="1:15">
      <c r="A448" s="1041"/>
      <c r="B448" s="1038"/>
      <c r="C448" s="1039"/>
      <c r="D448" s="319" t="s">
        <v>35</v>
      </c>
      <c r="E448" s="301">
        <f>NhanCong!AC$82</f>
        <v>120253.40584201392</v>
      </c>
      <c r="F448" s="301">
        <f>NhanCong!AC$83</f>
        <v>4075.0769230769233</v>
      </c>
      <c r="G448" s="320">
        <f>Dcu!R$105</f>
        <v>699.54163698955358</v>
      </c>
      <c r="H448" s="320">
        <f>VLieu!P$69</f>
        <v>334.95833333333331</v>
      </c>
      <c r="I448" s="320"/>
      <c r="J448" s="320"/>
      <c r="K448" s="320">
        <f t="shared" si="150"/>
        <v>125362.98273541372</v>
      </c>
      <c r="L448" s="320">
        <f t="shared" si="148"/>
        <v>31340.745683853431</v>
      </c>
      <c r="M448" s="321">
        <f t="shared" si="149"/>
        <v>156703.72841926717</v>
      </c>
      <c r="N448" s="320"/>
      <c r="O448" s="320">
        <f>NhanCong!AD$82</f>
        <v>3404.5866720085469</v>
      </c>
    </row>
    <row r="449" spans="1:15">
      <c r="A449" s="1041"/>
      <c r="B449" s="1038"/>
      <c r="C449" s="1039"/>
      <c r="D449" s="319" t="s">
        <v>33</v>
      </c>
      <c r="E449" s="301">
        <f>NhanCong!AC$84</f>
        <v>144300.50679687504</v>
      </c>
      <c r="F449" s="301">
        <f>NhanCong!AC$85</f>
        <v>4890.1933760683769</v>
      </c>
      <c r="G449" s="320">
        <f>Dcu!R$106</f>
        <v>769.49580068850901</v>
      </c>
      <c r="H449" s="320">
        <f>VLieu!P$69</f>
        <v>334.95833333333331</v>
      </c>
      <c r="I449" s="320"/>
      <c r="J449" s="320"/>
      <c r="K449" s="320">
        <f t="shared" si="150"/>
        <v>150295.15430696527</v>
      </c>
      <c r="L449" s="320">
        <f t="shared" si="148"/>
        <v>37573.788576741317</v>
      </c>
      <c r="M449" s="321">
        <f t="shared" si="149"/>
        <v>187868.94288370659</v>
      </c>
      <c r="N449" s="320"/>
      <c r="O449" s="320">
        <f>NhanCong!AD$84</f>
        <v>4085.4026442307695</v>
      </c>
    </row>
    <row r="450" spans="1:15">
      <c r="A450" s="1041" t="s">
        <v>363</v>
      </c>
      <c r="B450" s="1038" t="str">
        <f>NhanCong!B$88</f>
        <v>Đối soát, kiểm tra</v>
      </c>
      <c r="C450" s="1039" t="s">
        <v>317</v>
      </c>
      <c r="D450" s="319" t="s">
        <v>18</v>
      </c>
      <c r="E450" s="301">
        <f>NhanCong!AC$88</f>
        <v>7129.3985659722239</v>
      </c>
      <c r="F450" s="301">
        <f>NhanCong!AC$89</f>
        <v>1208.272435897436</v>
      </c>
      <c r="G450" s="320">
        <f>Dcu!R$103*0.4</f>
        <v>215.45882419278252</v>
      </c>
      <c r="H450" s="320">
        <f>VLieu!P$70</f>
        <v>174.17833333333334</v>
      </c>
      <c r="I450" s="320"/>
      <c r="J450" s="320"/>
      <c r="K450" s="320">
        <f t="shared" si="150"/>
        <v>8727.3081593957759</v>
      </c>
      <c r="L450" s="320">
        <f t="shared" si="148"/>
        <v>2181.827039848944</v>
      </c>
      <c r="M450" s="321">
        <f t="shared" si="149"/>
        <v>10909.13519924472</v>
      </c>
      <c r="N450" s="320"/>
      <c r="O450" s="320">
        <f>NhanCong!AD$88</f>
        <v>201.84588675213678</v>
      </c>
    </row>
    <row r="451" spans="1:15">
      <c r="A451" s="1041"/>
      <c r="B451" s="1038"/>
      <c r="C451" s="1039"/>
      <c r="D451" s="319" t="s">
        <v>20</v>
      </c>
      <c r="E451" s="301">
        <f>NhanCong!AC$90</f>
        <v>8555.5169600694444</v>
      </c>
      <c r="F451" s="301">
        <f>NhanCong!AC$91</f>
        <v>1449.825854700855</v>
      </c>
      <c r="G451" s="320">
        <f>Dcu!R$104*0.4</f>
        <v>257.43132241215574</v>
      </c>
      <c r="H451" s="320">
        <f>VLieu!P$70</f>
        <v>174.17833333333334</v>
      </c>
      <c r="I451" s="320"/>
      <c r="J451" s="320"/>
      <c r="K451" s="320">
        <f t="shared" si="150"/>
        <v>10436.952470515789</v>
      </c>
      <c r="L451" s="320">
        <f t="shared" si="148"/>
        <v>2609.2381176289473</v>
      </c>
      <c r="M451" s="321">
        <f t="shared" si="149"/>
        <v>13046.190588144736</v>
      </c>
      <c r="N451" s="320"/>
      <c r="O451" s="320">
        <f>NhanCong!AD$90</f>
        <v>242.22182158119656</v>
      </c>
    </row>
    <row r="452" spans="1:15">
      <c r="A452" s="1041"/>
      <c r="B452" s="1038"/>
      <c r="C452" s="1039"/>
      <c r="D452" s="319" t="s">
        <v>35</v>
      </c>
      <c r="E452" s="301">
        <f>NhanCong!AC$92</f>
        <v>10266.859032986113</v>
      </c>
      <c r="F452" s="301">
        <f>NhanCong!AC$93</f>
        <v>1739.8920940170942</v>
      </c>
      <c r="G452" s="320">
        <f>Dcu!R$105*0.4</f>
        <v>279.81665479582142</v>
      </c>
      <c r="H452" s="320">
        <f>VLieu!P$70</f>
        <v>174.17833333333334</v>
      </c>
      <c r="I452" s="320"/>
      <c r="J452" s="320"/>
      <c r="K452" s="320">
        <f t="shared" si="150"/>
        <v>12460.746115132361</v>
      </c>
      <c r="L452" s="320">
        <f t="shared" si="148"/>
        <v>3115.1865287830901</v>
      </c>
      <c r="M452" s="321">
        <f t="shared" si="149"/>
        <v>15575.93264391545</v>
      </c>
      <c r="N452" s="320"/>
      <c r="O452" s="320">
        <f>NhanCong!AD$92</f>
        <v>290.67294337606836</v>
      </c>
    </row>
    <row r="453" spans="1:15">
      <c r="A453" s="1041"/>
      <c r="B453" s="1038"/>
      <c r="C453" s="1039"/>
      <c r="D453" s="319" t="s">
        <v>33</v>
      </c>
      <c r="E453" s="301">
        <f>NhanCong!AC$94</f>
        <v>12319.514796875003</v>
      </c>
      <c r="F453" s="301">
        <f>NhanCong!AC$95</f>
        <v>2087.5673076923081</v>
      </c>
      <c r="G453" s="320">
        <f>Dcu!R$106*0.4</f>
        <v>307.79832027540363</v>
      </c>
      <c r="H453" s="320">
        <f>VLieu!P$70</f>
        <v>174.17833333333334</v>
      </c>
      <c r="I453" s="320"/>
      <c r="J453" s="320"/>
      <c r="K453" s="320">
        <f t="shared" si="150"/>
        <v>14889.058758176048</v>
      </c>
      <c r="L453" s="320">
        <f t="shared" si="148"/>
        <v>3722.2646895440121</v>
      </c>
      <c r="M453" s="321">
        <f t="shared" si="149"/>
        <v>18611.32344772006</v>
      </c>
      <c r="N453" s="320"/>
      <c r="O453" s="320">
        <f>NhanCong!AD$94</f>
        <v>348.78725961538464</v>
      </c>
    </row>
    <row r="454" spans="1:15" ht="12.75" customHeight="1">
      <c r="A454" s="1041" t="s">
        <v>364</v>
      </c>
      <c r="B454" s="1038" t="str">
        <f>NhanCong!B$98</f>
        <v>Giao nhận Phiếu kết quả đo đạc hiện trạng thửa đất</v>
      </c>
      <c r="C454" s="1039" t="s">
        <v>317</v>
      </c>
      <c r="D454" s="319" t="s">
        <v>18</v>
      </c>
      <c r="E454" s="301">
        <f>NhanCong!AC$98</f>
        <v>9982.8287586805582</v>
      </c>
      <c r="F454" s="301">
        <f>NhanCong!AC$99</f>
        <v>4227.1848290598291</v>
      </c>
      <c r="G454" s="320">
        <f>Dcu!R$103*0.4</f>
        <v>215.45882419278252</v>
      </c>
      <c r="H454" s="320">
        <f>VLieu!P$71</f>
        <v>174.17833333333334</v>
      </c>
      <c r="I454" s="320"/>
      <c r="J454" s="320"/>
      <c r="K454" s="320">
        <f t="shared" si="150"/>
        <v>14599.650745266505</v>
      </c>
      <c r="L454" s="320">
        <f t="shared" si="148"/>
        <v>3649.9126863166262</v>
      </c>
      <c r="M454" s="321">
        <f t="shared" si="149"/>
        <v>18249.56343158313</v>
      </c>
      <c r="N454" s="320"/>
      <c r="O454" s="320">
        <f>NhanCong!AD$98</f>
        <v>282.63154380341882</v>
      </c>
    </row>
    <row r="455" spans="1:15">
      <c r="A455" s="1041"/>
      <c r="B455" s="1038"/>
      <c r="C455" s="1039"/>
      <c r="D455" s="319" t="s">
        <v>20</v>
      </c>
      <c r="E455" s="301">
        <f>NhanCong!AC$100</f>
        <v>11979.394510416669</v>
      </c>
      <c r="F455" s="301">
        <f>NhanCong!AC$101</f>
        <v>5072.6217948717958</v>
      </c>
      <c r="G455" s="320">
        <f>Dcu!R$104*0.4</f>
        <v>257.43132241215574</v>
      </c>
      <c r="H455" s="320">
        <f>VLieu!P$71</f>
        <v>174.17833333333334</v>
      </c>
      <c r="I455" s="320"/>
      <c r="J455" s="320"/>
      <c r="K455" s="320">
        <f t="shared" si="150"/>
        <v>17483.625961033951</v>
      </c>
      <c r="L455" s="320">
        <f t="shared" si="148"/>
        <v>4370.9064902584878</v>
      </c>
      <c r="M455" s="321">
        <f t="shared" si="149"/>
        <v>21854.532451292438</v>
      </c>
      <c r="N455" s="320"/>
      <c r="O455" s="320">
        <f>NhanCong!AD$100</f>
        <v>339.15785256410248</v>
      </c>
    </row>
    <row r="456" spans="1:15">
      <c r="A456" s="1041"/>
      <c r="B456" s="1038"/>
      <c r="C456" s="1039"/>
      <c r="D456" s="319" t="s">
        <v>35</v>
      </c>
      <c r="E456" s="301">
        <f>NhanCong!AC$102</f>
        <v>14375.750774305558</v>
      </c>
      <c r="F456" s="301">
        <f>NhanCong!AC$103</f>
        <v>6087.348290598291</v>
      </c>
      <c r="G456" s="320">
        <f>Dcu!R$105*0.4</f>
        <v>279.81665479582142</v>
      </c>
      <c r="H456" s="320">
        <f>VLieu!P$71</f>
        <v>174.17833333333334</v>
      </c>
      <c r="I456" s="320"/>
      <c r="J456" s="320"/>
      <c r="K456" s="320">
        <f t="shared" si="150"/>
        <v>20917.094053033004</v>
      </c>
      <c r="L456" s="320">
        <f t="shared" si="148"/>
        <v>5229.2735132582511</v>
      </c>
      <c r="M456" s="321">
        <f t="shared" si="149"/>
        <v>26146.367566291257</v>
      </c>
      <c r="N456" s="320"/>
      <c r="O456" s="320">
        <f>NhanCong!AD$102</f>
        <v>407.00293803418805</v>
      </c>
    </row>
    <row r="457" spans="1:15">
      <c r="A457" s="1041"/>
      <c r="B457" s="1038"/>
      <c r="C457" s="1039"/>
      <c r="D457" s="319" t="s">
        <v>33</v>
      </c>
      <c r="E457" s="301">
        <f>NhanCong!AC$104</f>
        <v>17250.662248263892</v>
      </c>
      <c r="F457" s="301">
        <f>NhanCong!AC$105</f>
        <v>7304.7168803418808</v>
      </c>
      <c r="G457" s="320">
        <f>Dcu!R$106*0.4</f>
        <v>307.79832027540363</v>
      </c>
      <c r="H457" s="320">
        <f>VLieu!P$71</f>
        <v>174.17833333333334</v>
      </c>
      <c r="I457" s="320"/>
      <c r="J457" s="320"/>
      <c r="K457" s="320">
        <f t="shared" si="150"/>
        <v>25037.355782214512</v>
      </c>
      <c r="L457" s="320">
        <f t="shared" si="148"/>
        <v>6259.338945553628</v>
      </c>
      <c r="M457" s="321">
        <f t="shared" si="149"/>
        <v>31296.694727768139</v>
      </c>
      <c r="N457" s="320"/>
      <c r="O457" s="320">
        <f>NhanCong!AD$104</f>
        <v>488.39676816239319</v>
      </c>
    </row>
    <row r="458" spans="1:15" ht="13.5" customHeight="1">
      <c r="A458" s="298">
        <v>2</v>
      </c>
      <c r="B458" s="316" t="s">
        <v>58</v>
      </c>
      <c r="C458" s="319" t="s">
        <v>43</v>
      </c>
      <c r="D458" s="319"/>
      <c r="E458" s="301">
        <f>NhanCong!AC$108</f>
        <v>0</v>
      </c>
      <c r="F458" s="301"/>
      <c r="G458" s="320"/>
      <c r="H458" s="320"/>
      <c r="I458" s="320"/>
      <c r="J458" s="320"/>
      <c r="K458" s="320">
        <f>E458+F458+G458+I458+J458</f>
        <v>0</v>
      </c>
      <c r="L458" s="320"/>
      <c r="M458" s="321"/>
      <c r="N458" s="320"/>
      <c r="O458" s="320"/>
    </row>
    <row r="459" spans="1:15">
      <c r="A459" s="1041" t="s">
        <v>268</v>
      </c>
      <c r="B459" s="1038" t="str">
        <f>NhanCong!B$109</f>
        <v>Biên tập bản đồ địa chính</v>
      </c>
      <c r="C459" s="1039" t="s">
        <v>317</v>
      </c>
      <c r="D459" s="319" t="s">
        <v>18</v>
      </c>
      <c r="E459" s="301">
        <f>NhanCong!AC$109</f>
        <v>5522.1213666666681</v>
      </c>
      <c r="F459" s="301"/>
      <c r="G459" s="320">
        <f>Dcu!R$123</f>
        <v>40.809068541666662</v>
      </c>
      <c r="H459" s="320">
        <f>VLieu!P$90</f>
        <v>993.60555555555572</v>
      </c>
      <c r="I459" s="320"/>
      <c r="J459" s="320">
        <f>TBi!N$128</f>
        <v>196.79694999999998</v>
      </c>
      <c r="K459" s="320">
        <f>SUM(E459:J459)</f>
        <v>6753.3329407638903</v>
      </c>
      <c r="L459" s="320">
        <f>K459*0.15</f>
        <v>1012.9999411145835</v>
      </c>
      <c r="M459" s="321">
        <f>K459+L459</f>
        <v>7766.3328818784739</v>
      </c>
      <c r="N459" s="320"/>
      <c r="O459" s="320">
        <f>NhanCong!AD$109</f>
        <v>156.34102564102565</v>
      </c>
    </row>
    <row r="460" spans="1:15">
      <c r="A460" s="1041"/>
      <c r="B460" s="1038"/>
      <c r="C460" s="1039"/>
      <c r="D460" s="319" t="s">
        <v>20</v>
      </c>
      <c r="E460" s="301">
        <f>NhanCong!AC$110</f>
        <v>7456.3914027777782</v>
      </c>
      <c r="F460" s="301"/>
      <c r="G460" s="320">
        <f>Dcu!R$124</f>
        <v>50.226545897435891</v>
      </c>
      <c r="H460" s="320">
        <f>VLieu!P$90</f>
        <v>993.60555555555572</v>
      </c>
      <c r="I460" s="320"/>
      <c r="J460" s="320">
        <f>TBi!O$128</f>
        <v>266.08119999999997</v>
      </c>
      <c r="K460" s="320">
        <f>SUM(E460:J460)</f>
        <v>8766.3047042307699</v>
      </c>
      <c r="L460" s="320">
        <f>K460*0.15</f>
        <v>1314.9457056346155</v>
      </c>
      <c r="M460" s="321">
        <f>K460+L460</f>
        <v>10081.250409865384</v>
      </c>
      <c r="N460" s="320"/>
      <c r="O460" s="320">
        <f>NhanCong!AD$110</f>
        <v>211.10363247863248</v>
      </c>
    </row>
    <row r="461" spans="1:15">
      <c r="A461" s="1041"/>
      <c r="B461" s="1038"/>
      <c r="C461" s="1039"/>
      <c r="D461" s="319" t="s">
        <v>35</v>
      </c>
      <c r="E461" s="301">
        <f>NhanCong!AC$111</f>
        <v>10066.605755555558</v>
      </c>
      <c r="F461" s="301"/>
      <c r="G461" s="320">
        <f>Dcu!R$125</f>
        <v>62.783182371794858</v>
      </c>
      <c r="H461" s="320">
        <f>VLieu!P$90</f>
        <v>993.60555555555572</v>
      </c>
      <c r="I461" s="320"/>
      <c r="J461" s="320">
        <f>TBi!P$128</f>
        <v>623.10068333333334</v>
      </c>
      <c r="K461" s="320">
        <f>SUM(E461:J461)</f>
        <v>11746.095176816243</v>
      </c>
      <c r="L461" s="320">
        <f>K461*0.15</f>
        <v>1761.9142765224365</v>
      </c>
      <c r="M461" s="321">
        <f>K461+L461</f>
        <v>13508.00945333868</v>
      </c>
      <c r="N461" s="320"/>
      <c r="O461" s="320">
        <f>NhanCong!AD$111</f>
        <v>285.00341880341881</v>
      </c>
    </row>
    <row r="462" spans="1:15">
      <c r="A462" s="1041"/>
      <c r="B462" s="1038"/>
      <c r="C462" s="1039"/>
      <c r="D462" s="319" t="s">
        <v>33</v>
      </c>
      <c r="E462" s="301">
        <f>NhanCong!AC$112</f>
        <v>13587.626433333335</v>
      </c>
      <c r="F462" s="301"/>
      <c r="G462" s="320">
        <f>Dcu!R$126</f>
        <v>87.8964553205128</v>
      </c>
      <c r="H462" s="320">
        <f>VLieu!P$90</f>
        <v>993.60555555555572</v>
      </c>
      <c r="I462" s="320"/>
      <c r="J462" s="320">
        <f>TBi!Q$128</f>
        <v>1105.0853333333334</v>
      </c>
      <c r="K462" s="320">
        <f>SUM(E462:J462)</f>
        <v>15774.213777542736</v>
      </c>
      <c r="L462" s="320">
        <f>K462*0.15</f>
        <v>2366.1320666314105</v>
      </c>
      <c r="M462" s="321">
        <f>K462+L462</f>
        <v>18140.345844174146</v>
      </c>
      <c r="N462" s="320"/>
      <c r="O462" s="320">
        <f>NhanCong!AD$112</f>
        <v>384.68974358974356</v>
      </c>
    </row>
    <row r="463" spans="1:15" ht="26">
      <c r="A463" s="323">
        <v>2.2000000000000002</v>
      </c>
      <c r="B463" s="324" t="str">
        <f>NhanCong!B$114</f>
        <v>Lập Phiếu xác nhận kết quả đo đạc hiện trạng thửa đất</v>
      </c>
      <c r="C463" s="319" t="s">
        <v>317</v>
      </c>
      <c r="D463" s="319" t="s">
        <v>15</v>
      </c>
      <c r="E463" s="301">
        <f>NhanCong!AC$114</f>
        <v>2835.5291250000005</v>
      </c>
      <c r="F463" s="301"/>
      <c r="G463" s="320">
        <f>Dcu!R$138</f>
        <v>29.461388532763532</v>
      </c>
      <c r="H463" s="320">
        <f>VLieu!P$91</f>
        <v>812.95</v>
      </c>
      <c r="I463" s="320"/>
      <c r="J463" s="320">
        <f>TBi!N$153</f>
        <v>311.61526666666668</v>
      </c>
      <c r="K463" s="320">
        <f t="shared" ref="K463:K468" si="151">SUM(E463:J463)</f>
        <v>3989.555780199431</v>
      </c>
      <c r="L463" s="320">
        <f t="shared" ref="L463:L468" si="152">K463*0.15</f>
        <v>598.43336702991462</v>
      </c>
      <c r="M463" s="321">
        <f t="shared" ref="M463:M468" si="153">K463+L463</f>
        <v>4587.9891472293457</v>
      </c>
      <c r="N463" s="320"/>
      <c r="O463" s="320">
        <f>NhanCong!AD$114</f>
        <v>80.278846153846146</v>
      </c>
    </row>
    <row r="464" spans="1:15" ht="26">
      <c r="A464" s="323">
        <v>2.2999999999999998</v>
      </c>
      <c r="B464" s="324" t="str">
        <f>NhanCong!B$115</f>
        <v>Công khai bản đồ địa chính, Hoàn thiện bản đồ địa chính</v>
      </c>
      <c r="C464" s="319" t="s">
        <v>317</v>
      </c>
      <c r="D464" s="319" t="s">
        <v>15</v>
      </c>
      <c r="E464" s="301">
        <f>NhanCong!AC$115</f>
        <v>2058.3841055555558</v>
      </c>
      <c r="F464" s="301"/>
      <c r="G464" s="320">
        <f>Dcu!R$130</f>
        <v>27.624600243589736</v>
      </c>
      <c r="H464" s="320">
        <f>VLieu!P$94</f>
        <v>361.31111111111113</v>
      </c>
      <c r="I464" s="320"/>
      <c r="J464" s="320">
        <f>TBi!N$179</f>
        <v>156.71039999999999</v>
      </c>
      <c r="K464" s="320">
        <f t="shared" si="151"/>
        <v>2604.0302169102565</v>
      </c>
      <c r="L464" s="320">
        <f t="shared" si="152"/>
        <v>390.60453253653844</v>
      </c>
      <c r="M464" s="321">
        <f t="shared" si="153"/>
        <v>2994.634749446795</v>
      </c>
      <c r="N464" s="320"/>
      <c r="O464" s="320">
        <f>NhanCong!AD$115</f>
        <v>58.276495726495718</v>
      </c>
    </row>
    <row r="465" spans="1:17">
      <c r="A465" s="323">
        <f>NhanCong!A116</f>
        <v>2.4</v>
      </c>
      <c r="B465" s="324" t="str">
        <f>NhanCong!B$116</f>
        <v>Lập sổ mục kê đất đai phạm vi khu đo</v>
      </c>
      <c r="C465" s="319" t="s">
        <v>317</v>
      </c>
      <c r="D465" s="319" t="s">
        <v>15</v>
      </c>
      <c r="E465" s="301">
        <f>NhanCong!AC$116</f>
        <v>171.85025000000005</v>
      </c>
      <c r="F465" s="301"/>
      <c r="G465" s="320">
        <f>Dcu!R$140</f>
        <v>18.834954711538458</v>
      </c>
      <c r="H465" s="320">
        <f>VLieu!P$94</f>
        <v>361.31111111111113</v>
      </c>
      <c r="I465" s="320"/>
      <c r="J465" s="320"/>
      <c r="K465" s="320">
        <f t="shared" si="151"/>
        <v>551.99631582264965</v>
      </c>
      <c r="L465" s="320">
        <f t="shared" si="152"/>
        <v>82.799447373397442</v>
      </c>
      <c r="M465" s="321">
        <f t="shared" si="153"/>
        <v>634.79576319604712</v>
      </c>
      <c r="N465" s="320"/>
      <c r="O465" s="320">
        <f>NhanCong!AD$116</f>
        <v>4.8653846153846159</v>
      </c>
    </row>
    <row r="466" spans="1:17" ht="39">
      <c r="A466" s="323">
        <f>NhanCong!A117</f>
        <v>2.5</v>
      </c>
      <c r="B466" s="324" t="str">
        <f>NhanCong!B$117</f>
        <v>In sản phẩm đo đạc lập bản đồ địa chính gồm sản phẩm chính và sản phẩm trung gian</v>
      </c>
      <c r="C466" s="319" t="s">
        <v>317</v>
      </c>
      <c r="D466" s="319" t="s">
        <v>15</v>
      </c>
      <c r="E466" s="301">
        <f>NhanCong!AC$117</f>
        <v>95.472361111111127</v>
      </c>
      <c r="F466" s="301"/>
      <c r="G466" s="320">
        <f>Dcu!R$152</f>
        <v>25.581492307692304</v>
      </c>
      <c r="H466" s="320">
        <f>VLieu!P$102</f>
        <v>19.027777777777779</v>
      </c>
      <c r="I466" s="320"/>
      <c r="J466" s="320">
        <f>TBi!N$211</f>
        <v>3.9697</v>
      </c>
      <c r="K466" s="320">
        <f t="shared" si="151"/>
        <v>144.0513311965812</v>
      </c>
      <c r="L466" s="320">
        <f t="shared" si="152"/>
        <v>21.60769967948718</v>
      </c>
      <c r="M466" s="321">
        <f t="shared" si="153"/>
        <v>165.65903087606839</v>
      </c>
      <c r="N466" s="320"/>
      <c r="O466" s="320">
        <f>NhanCong!AD$117</f>
        <v>2.7029914529914527</v>
      </c>
    </row>
    <row r="467" spans="1:17">
      <c r="A467" s="323">
        <f>NhanCong!A118</f>
        <v>2.6</v>
      </c>
      <c r="B467" s="324" t="str">
        <f>NhanCong!B$118</f>
        <v>Trình ký xác nhận hồ sơ</v>
      </c>
      <c r="C467" s="319" t="s">
        <v>317</v>
      </c>
      <c r="D467" s="319" t="s">
        <v>15</v>
      </c>
      <c r="E467" s="301">
        <f>NhanCong!AC$118</f>
        <v>190.94472222222225</v>
      </c>
      <c r="F467" s="301"/>
      <c r="G467" s="320">
        <f>Dcu!R$140</f>
        <v>18.834954711538458</v>
      </c>
      <c r="H467" s="320">
        <f>VLieu!P$94</f>
        <v>361.31111111111113</v>
      </c>
      <c r="I467" s="320"/>
      <c r="J467" s="320"/>
      <c r="K467" s="320">
        <f t="shared" si="151"/>
        <v>571.09078804487183</v>
      </c>
      <c r="L467" s="320">
        <f t="shared" si="152"/>
        <v>85.663618206730774</v>
      </c>
      <c r="M467" s="321">
        <f t="shared" si="153"/>
        <v>656.75440625160263</v>
      </c>
      <c r="N467" s="320"/>
      <c r="O467" s="320">
        <f>NhanCong!AD$118</f>
        <v>5.4059829059829054</v>
      </c>
    </row>
    <row r="468" spans="1:17" ht="26">
      <c r="A468" s="323">
        <f>NhanCong!A119</f>
        <v>2.7</v>
      </c>
      <c r="B468" s="324" t="str">
        <f>NhanCong!B$119</f>
        <v>Giao nộp sản phẩm đo đạc lập bản đồ địa chính</v>
      </c>
      <c r="C468" s="319" t="s">
        <v>317</v>
      </c>
      <c r="D468" s="319" t="s">
        <v>15</v>
      </c>
      <c r="E468" s="301">
        <f>NhanCong!AC$119</f>
        <v>381.88944444444451</v>
      </c>
      <c r="F468" s="301"/>
      <c r="G468" s="320">
        <f>Dcu!R$154</f>
        <v>1.2790746153846153</v>
      </c>
      <c r="H468" s="320">
        <f>VLieu!P$94</f>
        <v>361.31111111111113</v>
      </c>
      <c r="I468" s="320"/>
      <c r="J468" s="320"/>
      <c r="K468" s="320">
        <f t="shared" si="151"/>
        <v>744.47963017094025</v>
      </c>
      <c r="L468" s="320">
        <f t="shared" si="152"/>
        <v>111.67194452564104</v>
      </c>
      <c r="M468" s="321">
        <f t="shared" si="153"/>
        <v>856.15157469658129</v>
      </c>
      <c r="N468" s="320"/>
      <c r="O468" s="320">
        <f>NhanCong!AD$119</f>
        <v>10.811965811965811</v>
      </c>
    </row>
    <row r="469" spans="1:17">
      <c r="A469" s="298" t="str">
        <f>L_CViec!A31</f>
        <v>III</v>
      </c>
      <c r="B469" s="314" t="str">
        <f>L_CViec!B31</f>
        <v>SỐ HOÁ VÀ CHUYỂN HỆ TOẠ ĐỘ BẢN ĐỒ ĐỊA CHÍNH:</v>
      </c>
      <c r="C469" s="300"/>
      <c r="D469" s="300"/>
      <c r="E469" s="301"/>
      <c r="F469" s="301"/>
      <c r="G469" s="301"/>
      <c r="H469" s="301"/>
      <c r="I469" s="301"/>
      <c r="J469" s="301"/>
      <c r="K469" s="301"/>
      <c r="L469" s="301"/>
      <c r="M469" s="315"/>
      <c r="N469" s="301"/>
      <c r="O469" s="301"/>
    </row>
    <row r="470" spans="1:17">
      <c r="A470" s="298">
        <v>1</v>
      </c>
      <c r="B470" s="316" t="s">
        <v>207</v>
      </c>
      <c r="C470" s="333"/>
      <c r="D470" s="333"/>
      <c r="E470" s="301"/>
      <c r="F470" s="301"/>
      <c r="G470" s="301"/>
      <c r="H470" s="301"/>
      <c r="I470" s="301"/>
      <c r="J470" s="301"/>
      <c r="K470" s="301"/>
      <c r="L470" s="301"/>
      <c r="M470" s="302">
        <v>6.25</v>
      </c>
      <c r="N470" s="325" t="s">
        <v>21</v>
      </c>
      <c r="O470" s="301"/>
    </row>
    <row r="471" spans="1:17">
      <c r="A471" s="298" t="s">
        <v>27</v>
      </c>
      <c r="B471" s="316" t="s">
        <v>203</v>
      </c>
      <c r="C471" s="333"/>
      <c r="D471" s="333"/>
      <c r="E471" s="301"/>
      <c r="F471" s="301"/>
      <c r="G471" s="301"/>
      <c r="H471" s="301"/>
      <c r="I471" s="301"/>
      <c r="J471" s="301"/>
      <c r="K471" s="301"/>
      <c r="L471" s="301"/>
      <c r="M471" s="302"/>
      <c r="N471" s="301"/>
      <c r="O471" s="301"/>
    </row>
    <row r="472" spans="1:17">
      <c r="A472" s="300"/>
      <c r="B472" s="299"/>
      <c r="C472" s="333" t="s">
        <v>317</v>
      </c>
      <c r="D472" s="319" t="s">
        <v>18</v>
      </c>
      <c r="E472" s="301">
        <f>(NhanCong!I$126+NhanCong!I$127+NhanCong!I$132+NhanCong!I$133)</f>
        <v>277710.00400000002</v>
      </c>
      <c r="F472" s="301"/>
      <c r="G472" s="320">
        <f>Dcu!M$178</f>
        <v>4048.1521859829049</v>
      </c>
      <c r="H472" s="320">
        <f>VLieu!K$117</f>
        <v>16368</v>
      </c>
      <c r="I472" s="320"/>
      <c r="J472" s="320">
        <f>TBi!N$226</f>
        <v>7942.3680000000004</v>
      </c>
      <c r="K472" s="320">
        <f>SUM(E472:J472)</f>
        <v>306068.52418598294</v>
      </c>
      <c r="L472" s="320">
        <f>K472*0.15</f>
        <v>45910.278627897438</v>
      </c>
      <c r="M472" s="321">
        <f>K472+L472</f>
        <v>351978.80281388038</v>
      </c>
      <c r="N472" s="320"/>
      <c r="O472" s="320">
        <f>(NhanCong!J$126+NhanCong!J$127+NhanCong!J$132+NhanCong!J$133)</f>
        <v>7862.461538461539</v>
      </c>
      <c r="P472" s="334"/>
      <c r="Q472" s="335"/>
    </row>
    <row r="473" spans="1:17">
      <c r="A473" s="300"/>
      <c r="B473" s="299"/>
      <c r="C473" s="319"/>
      <c r="D473" s="319" t="s">
        <v>20</v>
      </c>
      <c r="E473" s="301">
        <f>(NhanCong!I$126+NhanCong!I$128+NhanCong!I$132+NhanCong!I$133)</f>
        <v>306305.8856000001</v>
      </c>
      <c r="F473" s="301"/>
      <c r="G473" s="320">
        <f>Dcu!M$179</f>
        <v>4634.0689497435887</v>
      </c>
      <c r="H473" s="320">
        <f>VLieu!K$117</f>
        <v>16368</v>
      </c>
      <c r="I473" s="320"/>
      <c r="J473" s="320">
        <f>TBi!O$226</f>
        <v>9010.848</v>
      </c>
      <c r="K473" s="320">
        <f>SUM(E473:J473)</f>
        <v>336318.80254974368</v>
      </c>
      <c r="L473" s="320">
        <f>K473*0.15</f>
        <v>50447.820382461548</v>
      </c>
      <c r="M473" s="321">
        <f>K473+L473</f>
        <v>386766.62293220521</v>
      </c>
      <c r="N473" s="320"/>
      <c r="O473" s="320">
        <f>(NhanCong!J$126+NhanCong!J$128+NhanCong!J$132+NhanCong!J$133)</f>
        <v>8672.0615384615376</v>
      </c>
      <c r="P473" s="334"/>
      <c r="Q473" s="335"/>
    </row>
    <row r="474" spans="1:17">
      <c r="A474" s="300"/>
      <c r="B474" s="299"/>
      <c r="C474" s="319"/>
      <c r="D474" s="319" t="s">
        <v>35</v>
      </c>
      <c r="E474" s="301">
        <f>(NhanCong!I$126+NhanCong!I$129+NhanCong!I$132+NhanCong!I$133)</f>
        <v>339851.05440000002</v>
      </c>
      <c r="F474" s="301"/>
      <c r="G474" s="320">
        <f>Dcu!M$180</f>
        <v>5326.5160341880328</v>
      </c>
      <c r="H474" s="320">
        <f>VLieu!K$117</f>
        <v>16368</v>
      </c>
      <c r="I474" s="320"/>
      <c r="J474" s="320">
        <f>TBi!P$226</f>
        <v>10364.256000000001</v>
      </c>
      <c r="K474" s="320">
        <f>SUM(E474:J474)</f>
        <v>371909.82643418806</v>
      </c>
      <c r="L474" s="320">
        <f>K474*0.15</f>
        <v>55786.473965128207</v>
      </c>
      <c r="M474" s="321">
        <f>K474+L474</f>
        <v>427696.30039931624</v>
      </c>
      <c r="N474" s="320"/>
      <c r="O474" s="320">
        <f>(NhanCong!J$126+NhanCong!J$129+NhanCong!J$132+NhanCong!J$133)</f>
        <v>9621.7846153846149</v>
      </c>
      <c r="P474" s="334"/>
      <c r="Q474" s="335"/>
    </row>
    <row r="475" spans="1:17">
      <c r="A475" s="300"/>
      <c r="B475" s="299"/>
      <c r="C475" s="319"/>
      <c r="D475" s="319" t="s">
        <v>33</v>
      </c>
      <c r="E475" s="301">
        <f>(NhanCong!I$126+NhanCong!I$130+NhanCong!I$132+NhanCong!I$133)</f>
        <v>378345.51040000003</v>
      </c>
      <c r="F475" s="301"/>
      <c r="G475" s="320">
        <f>Dcu!M$181</f>
        <v>6125.4934393162375</v>
      </c>
      <c r="H475" s="320">
        <f>VLieu!K$117</f>
        <v>16368</v>
      </c>
      <c r="I475" s="320"/>
      <c r="J475" s="320">
        <f>TBi!Q$226</f>
        <v>11966.976000000001</v>
      </c>
      <c r="K475" s="320">
        <f>SUM(E475:J475)</f>
        <v>412805.97983931628</v>
      </c>
      <c r="L475" s="320">
        <f>K475*0.15</f>
        <v>61920.896975897442</v>
      </c>
      <c r="M475" s="321">
        <f>K475+L475</f>
        <v>474726.87681521371</v>
      </c>
      <c r="N475" s="320"/>
      <c r="O475" s="320">
        <f>(NhanCong!J$126+NhanCong!J$130+NhanCong!J$132+NhanCong!J$133)</f>
        <v>10711.630769230767</v>
      </c>
      <c r="P475" s="334"/>
      <c r="Q475" s="335"/>
    </row>
    <row r="476" spans="1:17">
      <c r="A476" s="300"/>
      <c r="B476" s="299"/>
      <c r="C476" s="319"/>
      <c r="D476" s="319" t="s">
        <v>13</v>
      </c>
      <c r="E476" s="301">
        <f>(NhanCong!I$126+NhanCong!I$131+NhanCong!I$132+NhanCong!I$133)</f>
        <v>422339.17440000008</v>
      </c>
      <c r="F476" s="301"/>
      <c r="G476" s="320">
        <f>Dcu!M$182</f>
        <v>7031.0011651282039</v>
      </c>
      <c r="H476" s="320">
        <f>VLieu!K$117</f>
        <v>16368</v>
      </c>
      <c r="I476" s="320"/>
      <c r="J476" s="320">
        <f>TBi!R$226</f>
        <v>13854.624</v>
      </c>
      <c r="K476" s="320">
        <f>SUM(E476:J476)</f>
        <v>459592.79956512828</v>
      </c>
      <c r="L476" s="320">
        <f>K476*0.15</f>
        <v>68938.919934769234</v>
      </c>
      <c r="M476" s="321">
        <f>K476+L476</f>
        <v>528531.71949989756</v>
      </c>
      <c r="N476" s="320"/>
      <c r="O476" s="320">
        <f>(NhanCong!J$126+NhanCong!J$131+NhanCong!J$132+NhanCong!J$133)</f>
        <v>11957.16923076923</v>
      </c>
      <c r="P476" s="334"/>
      <c r="Q476" s="335"/>
    </row>
    <row r="477" spans="1:17">
      <c r="A477" s="298" t="s">
        <v>28</v>
      </c>
      <c r="B477" s="316" t="s">
        <v>204</v>
      </c>
      <c r="C477" s="333"/>
      <c r="D477" s="333"/>
      <c r="E477" s="301"/>
      <c r="F477" s="301"/>
      <c r="G477" s="301"/>
      <c r="H477" s="301"/>
      <c r="I477" s="301"/>
      <c r="J477" s="301"/>
      <c r="K477" s="301"/>
      <c r="L477" s="301"/>
      <c r="M477" s="315">
        <v>25</v>
      </c>
      <c r="N477" s="325" t="s">
        <v>21</v>
      </c>
      <c r="O477" s="301"/>
      <c r="P477" s="334"/>
      <c r="Q477" s="335"/>
    </row>
    <row r="478" spans="1:17">
      <c r="A478" s="300"/>
      <c r="B478" s="299"/>
      <c r="C478" s="333" t="s">
        <v>317</v>
      </c>
      <c r="D478" s="319" t="s">
        <v>18</v>
      </c>
      <c r="E478" s="301">
        <f>(NhanCong!M$126+NhanCong!M$127+NhanCong!M$132+NhanCong!M$133)</f>
        <v>116858.17000000004</v>
      </c>
      <c r="F478" s="301"/>
      <c r="G478" s="320">
        <f>Dcu!N$178</f>
        <v>1784.5250543589741</v>
      </c>
      <c r="H478" s="320">
        <f>VLieu!L$117</f>
        <v>4092</v>
      </c>
      <c r="I478" s="320"/>
      <c r="J478" s="320">
        <f>TBi!N$235</f>
        <v>3668.4480000000003</v>
      </c>
      <c r="K478" s="320">
        <f>SUM(E478:J478)</f>
        <v>126403.14305435902</v>
      </c>
      <c r="L478" s="320">
        <f>K478*0.15</f>
        <v>18960.471458153854</v>
      </c>
      <c r="M478" s="321">
        <f>K478+L478</f>
        <v>145363.61451251287</v>
      </c>
      <c r="N478" s="336"/>
      <c r="O478" s="320">
        <f>(NhanCong!N$126+NhanCong!N$127+NhanCong!N$132+NhanCong!N$133)</f>
        <v>3308.4615384615381</v>
      </c>
      <c r="P478" s="334"/>
      <c r="Q478" s="335"/>
    </row>
    <row r="479" spans="1:17">
      <c r="A479" s="300"/>
      <c r="B479" s="299"/>
      <c r="C479" s="319"/>
      <c r="D479" s="319" t="s">
        <v>20</v>
      </c>
      <c r="E479" s="301">
        <f>(NhanCong!M$126+NhanCong!M$128+NhanCong!M$132+NhanCong!M$133)</f>
        <v>130606.19000000003</v>
      </c>
      <c r="F479" s="301"/>
      <c r="G479" s="320">
        <f>Dcu!N$179</f>
        <v>2042.811575384615</v>
      </c>
      <c r="H479" s="320">
        <f>VLieu!L$117</f>
        <v>4092</v>
      </c>
      <c r="I479" s="320"/>
      <c r="J479" s="320">
        <f>TBi!O$235</f>
        <v>3864.3359999999998</v>
      </c>
      <c r="K479" s="320">
        <f>SUM(E479:J479)</f>
        <v>140605.33757538465</v>
      </c>
      <c r="L479" s="320">
        <f>K479*0.15</f>
        <v>21090.800636307697</v>
      </c>
      <c r="M479" s="321">
        <f>K479+L479</f>
        <v>161696.13821169233</v>
      </c>
      <c r="N479" s="336"/>
      <c r="O479" s="320">
        <f>(NhanCong!N$126+NhanCong!N$128+NhanCong!N$132+NhanCong!N$133)</f>
        <v>3697.6923076923072</v>
      </c>
      <c r="P479" s="334"/>
      <c r="Q479" s="335"/>
    </row>
    <row r="480" spans="1:17">
      <c r="A480" s="300"/>
      <c r="B480" s="299"/>
      <c r="C480" s="319"/>
      <c r="D480" s="319" t="s">
        <v>35</v>
      </c>
      <c r="E480" s="301">
        <f>(NhanCong!M$126+NhanCong!M$129+NhanCong!M$132+NhanCong!M$133)</f>
        <v>146416.41300000003</v>
      </c>
      <c r="F480" s="301"/>
      <c r="G480" s="320">
        <f>Dcu!N$180</f>
        <v>2348.0592820512816</v>
      </c>
      <c r="H480" s="320">
        <f>VLieu!L$117</f>
        <v>4092</v>
      </c>
      <c r="I480" s="320"/>
      <c r="J480" s="320">
        <f>TBi!P$235</f>
        <v>4336.2480000000005</v>
      </c>
      <c r="K480" s="320">
        <f>SUM(E480:J480)</f>
        <v>157192.7202820513</v>
      </c>
      <c r="L480" s="320">
        <f>K480*0.15</f>
        <v>23578.908042307696</v>
      </c>
      <c r="M480" s="321">
        <f>K480+L480</f>
        <v>180771.62832435902</v>
      </c>
      <c r="N480" s="336"/>
      <c r="O480" s="320">
        <f>(NhanCong!N$126+NhanCong!N$129+NhanCong!N$132+NhanCong!N$133)</f>
        <v>4145.3076923076924</v>
      </c>
      <c r="P480" s="334"/>
      <c r="Q480" s="335"/>
    </row>
    <row r="481" spans="1:17">
      <c r="A481" s="300"/>
      <c r="B481" s="299"/>
      <c r="C481" s="319"/>
      <c r="D481" s="319" t="s">
        <v>33</v>
      </c>
      <c r="E481" s="301">
        <f>(NhanCong!M$126+NhanCong!M$130+NhanCong!M$132+NhanCong!M$133)</f>
        <v>164563.79940000005</v>
      </c>
      <c r="F481" s="301"/>
      <c r="G481" s="320">
        <f>Dcu!N$181</f>
        <v>2700.2681743589737</v>
      </c>
      <c r="H481" s="320">
        <f>VLieu!L$117</f>
        <v>4092</v>
      </c>
      <c r="I481" s="320"/>
      <c r="J481" s="320">
        <f>TBi!Q$235</f>
        <v>4977.3359999999993</v>
      </c>
      <c r="K481" s="320">
        <f>SUM(E481:J481)</f>
        <v>176333.40357435902</v>
      </c>
      <c r="L481" s="320">
        <f>K481*0.15</f>
        <v>26450.010536153852</v>
      </c>
      <c r="M481" s="321">
        <f>K481+L481</f>
        <v>202783.41411051288</v>
      </c>
      <c r="N481" s="336"/>
      <c r="O481" s="320">
        <f>(NhanCong!N$126+NhanCong!N$130+NhanCong!N$132+NhanCong!N$133)</f>
        <v>4659.0923076923082</v>
      </c>
      <c r="P481" s="334"/>
      <c r="Q481" s="335"/>
    </row>
    <row r="482" spans="1:17">
      <c r="A482" s="300"/>
      <c r="B482" s="299"/>
      <c r="C482" s="319"/>
      <c r="D482" s="319" t="s">
        <v>13</v>
      </c>
      <c r="E482" s="301">
        <f>(NhanCong!M$126+NhanCong!M$131+NhanCong!M$132+NhanCong!M$133)</f>
        <v>185460.78980000006</v>
      </c>
      <c r="F482" s="301"/>
      <c r="G482" s="320">
        <f>Dcu!N$182</f>
        <v>3099.438252307692</v>
      </c>
      <c r="H482" s="320">
        <f>VLieu!L$117</f>
        <v>4092</v>
      </c>
      <c r="I482" s="320"/>
      <c r="J482" s="320">
        <f>TBi!R$235</f>
        <v>7034.16</v>
      </c>
      <c r="K482" s="320">
        <f>SUM(E482:J482)</f>
        <v>199686.38805230774</v>
      </c>
      <c r="L482" s="320">
        <f>K482*0.15</f>
        <v>29952.958207846161</v>
      </c>
      <c r="M482" s="321">
        <f>K482+L482</f>
        <v>229639.34626015389</v>
      </c>
      <c r="N482" s="336"/>
      <c r="O482" s="320">
        <f>(NhanCong!N$126+NhanCong!N$131+NhanCong!N$132+NhanCong!N$133)</f>
        <v>5250.7230769230773</v>
      </c>
      <c r="P482" s="334"/>
      <c r="Q482" s="335"/>
    </row>
    <row r="483" spans="1:17">
      <c r="A483" s="298" t="s">
        <v>29</v>
      </c>
      <c r="B483" s="316" t="s">
        <v>205</v>
      </c>
      <c r="C483" s="333"/>
      <c r="D483" s="333"/>
      <c r="E483" s="301"/>
      <c r="F483" s="301"/>
      <c r="G483" s="301"/>
      <c r="H483" s="301"/>
      <c r="I483" s="301"/>
      <c r="J483" s="301"/>
      <c r="K483" s="301"/>
      <c r="L483" s="301"/>
      <c r="M483" s="315">
        <v>100</v>
      </c>
      <c r="N483" s="325" t="s">
        <v>21</v>
      </c>
      <c r="O483" s="301"/>
      <c r="P483" s="334"/>
      <c r="Q483" s="335"/>
    </row>
    <row r="484" spans="1:17">
      <c r="A484" s="300"/>
      <c r="B484" s="299"/>
      <c r="C484" s="333" t="s">
        <v>317</v>
      </c>
      <c r="D484" s="319" t="s">
        <v>18</v>
      </c>
      <c r="E484" s="301">
        <f>(NhanCong!Q$126+NhanCong!Q$127+NhanCong!Q$132+NhanCong!Q$133)</f>
        <v>51726.925250000008</v>
      </c>
      <c r="F484" s="301"/>
      <c r="G484" s="320">
        <f>Dcu!O$178</f>
        <v>595.83065914529925</v>
      </c>
      <c r="H484" s="320">
        <f>VLieu!M$117</f>
        <v>1101</v>
      </c>
      <c r="I484" s="320"/>
      <c r="J484" s="320">
        <f>TBi!N$244</f>
        <v>1241.4402</v>
      </c>
      <c r="K484" s="320">
        <f>SUM(E484:J484)</f>
        <v>54665.196109145305</v>
      </c>
      <c r="L484" s="320">
        <f>K484*0.15</f>
        <v>8199.7794163717954</v>
      </c>
      <c r="M484" s="321">
        <f>K484+L484</f>
        <v>62864.975525517104</v>
      </c>
      <c r="N484" s="336"/>
      <c r="O484" s="320">
        <f>(NhanCong!R$126+NhanCong!R$127+NhanCong!R$132+NhanCong!R$133)</f>
        <v>1464.4807692307691</v>
      </c>
      <c r="P484" s="334"/>
      <c r="Q484" s="335"/>
    </row>
    <row r="485" spans="1:17">
      <c r="A485" s="300"/>
      <c r="B485" s="299"/>
      <c r="C485" s="319"/>
      <c r="D485" s="319" t="s">
        <v>20</v>
      </c>
      <c r="E485" s="301">
        <f>(NhanCong!Q$126+NhanCong!Q$128+NhanCong!Q$132+NhanCong!Q$133)</f>
        <v>58291.604800000008</v>
      </c>
      <c r="F485" s="301"/>
      <c r="G485" s="320">
        <f>Dcu!O$179</f>
        <v>682.06930717948728</v>
      </c>
      <c r="H485" s="320">
        <f>VLieu!M$117</f>
        <v>1101</v>
      </c>
      <c r="I485" s="320"/>
      <c r="J485" s="320">
        <f>TBi!O$244</f>
        <v>1540.1694</v>
      </c>
      <c r="K485" s="320">
        <f>SUM(E485:J485)</f>
        <v>61614.843507179496</v>
      </c>
      <c r="L485" s="320">
        <f>K485*0.15</f>
        <v>9242.2265260769236</v>
      </c>
      <c r="M485" s="321">
        <f>K485+L485</f>
        <v>70857.070033256416</v>
      </c>
      <c r="N485" s="336"/>
      <c r="O485" s="320">
        <f>(NhanCong!R$126+NhanCong!R$128+NhanCong!R$132+NhanCong!R$133)</f>
        <v>1650.3384615384614</v>
      </c>
      <c r="P485" s="334"/>
      <c r="Q485" s="335"/>
    </row>
    <row r="486" spans="1:17">
      <c r="A486" s="300"/>
      <c r="B486" s="299"/>
      <c r="C486" s="319"/>
      <c r="D486" s="319" t="s">
        <v>35</v>
      </c>
      <c r="E486" s="301">
        <f>(NhanCong!Q$126+NhanCong!Q$129+NhanCong!Q$132+NhanCong!Q$133)</f>
        <v>65818.645750000011</v>
      </c>
      <c r="F486" s="301"/>
      <c r="G486" s="320">
        <f>Dcu!O$180</f>
        <v>783.98770940170948</v>
      </c>
      <c r="H486" s="320">
        <f>VLieu!M$117</f>
        <v>1101</v>
      </c>
      <c r="I486" s="320"/>
      <c r="J486" s="320">
        <f>TBi!P$244</f>
        <v>2031.8928000000001</v>
      </c>
      <c r="K486" s="320">
        <f>SUM(E486:J486)</f>
        <v>69735.526259401726</v>
      </c>
      <c r="L486" s="320">
        <f>K486*0.15</f>
        <v>10460.328938910259</v>
      </c>
      <c r="M486" s="321">
        <f>K486+L486</f>
        <v>80195.855198311983</v>
      </c>
      <c r="N486" s="336"/>
      <c r="O486" s="320">
        <f>(NhanCong!R$126+NhanCong!R$129+NhanCong!R$132+NhanCong!R$133)</f>
        <v>1863.4423076923078</v>
      </c>
      <c r="P486" s="334"/>
      <c r="Q486" s="335"/>
    </row>
    <row r="487" spans="1:17">
      <c r="A487" s="300"/>
      <c r="B487" s="299"/>
      <c r="C487" s="319"/>
      <c r="D487" s="319" t="s">
        <v>33</v>
      </c>
      <c r="E487" s="301">
        <f>(NhanCong!Q$126+NhanCong!Q$130+NhanCong!Q$132+NhanCong!Q$133)</f>
        <v>74479.898350000018</v>
      </c>
      <c r="F487" s="301"/>
      <c r="G487" s="320">
        <f>Dcu!O$181</f>
        <v>901.58586581196585</v>
      </c>
      <c r="H487" s="320">
        <f>VLieu!M$117</f>
        <v>1101</v>
      </c>
      <c r="I487" s="320"/>
      <c r="J487" s="320">
        <f>TBi!Q$244</f>
        <v>2353.5498000000002</v>
      </c>
      <c r="K487" s="320">
        <f>SUM(E487:J487)</f>
        <v>78836.03401581198</v>
      </c>
      <c r="L487" s="320">
        <f>K487*0.15</f>
        <v>11825.405102371797</v>
      </c>
      <c r="M487" s="321">
        <f>K487+L487</f>
        <v>90661.439118183771</v>
      </c>
      <c r="N487" s="336"/>
      <c r="O487" s="320">
        <f>(NhanCong!R$126+NhanCong!R$130+NhanCong!R$132+NhanCong!R$133)</f>
        <v>2108.6576923076923</v>
      </c>
      <c r="P487" s="334"/>
      <c r="Q487" s="335"/>
    </row>
    <row r="488" spans="1:17">
      <c r="A488" s="300"/>
      <c r="B488" s="299"/>
      <c r="C488" s="319"/>
      <c r="D488" s="319" t="s">
        <v>13</v>
      </c>
      <c r="E488" s="301">
        <f>(NhanCong!Q$126+NhanCong!Q$131+NhanCong!Q$132+NhanCong!Q$133)</f>
        <v>84447.212850000011</v>
      </c>
      <c r="F488" s="301"/>
      <c r="G488" s="320">
        <f>Dcu!O$182</f>
        <v>1034.8637764102566</v>
      </c>
      <c r="H488" s="320">
        <f>VLieu!M$117</f>
        <v>1101</v>
      </c>
      <c r="I488" s="320"/>
      <c r="J488" s="320">
        <f>TBi!R$244</f>
        <v>2912.7209999999995</v>
      </c>
      <c r="K488" s="320">
        <f>SUM(E488:J488)</f>
        <v>89495.797626410276</v>
      </c>
      <c r="L488" s="320">
        <f>K488*0.15</f>
        <v>13424.369643961541</v>
      </c>
      <c r="M488" s="321">
        <f>K488+L488</f>
        <v>102920.16727037182</v>
      </c>
      <c r="N488" s="336"/>
      <c r="O488" s="320">
        <f>(NhanCong!R$126+NhanCong!R$131+NhanCong!R$132+NhanCong!R$133)</f>
        <v>2390.85</v>
      </c>
      <c r="P488" s="334"/>
      <c r="Q488" s="335"/>
    </row>
    <row r="489" spans="1:17">
      <c r="A489" s="298" t="s">
        <v>30</v>
      </c>
      <c r="B489" s="316" t="s">
        <v>206</v>
      </c>
      <c r="C489" s="333"/>
      <c r="D489" s="333"/>
      <c r="E489" s="301"/>
      <c r="F489" s="301"/>
      <c r="G489" s="301"/>
      <c r="H489" s="301"/>
      <c r="I489" s="301"/>
      <c r="J489" s="301"/>
      <c r="K489" s="301"/>
      <c r="L489" s="301"/>
      <c r="M489" s="315">
        <v>900</v>
      </c>
      <c r="N489" s="325" t="s">
        <v>21</v>
      </c>
      <c r="O489" s="301"/>
      <c r="P489" s="334"/>
      <c r="Q489" s="335"/>
    </row>
    <row r="490" spans="1:17">
      <c r="A490" s="300"/>
      <c r="B490" s="299"/>
      <c r="C490" s="333" t="s">
        <v>317</v>
      </c>
      <c r="D490" s="319" t="s">
        <v>18</v>
      </c>
      <c r="E490" s="301">
        <f>(NhanCong!U$126+NhanCong!U$127+NhanCong!U$132+NhanCong!U$133)</f>
        <v>9967.3145000000022</v>
      </c>
      <c r="F490" s="301"/>
      <c r="G490" s="320">
        <f>Dcu!P$178</f>
        <v>104.53232886989554</v>
      </c>
      <c r="H490" s="320">
        <f>VLieu!N$117</f>
        <v>122.33333333333333</v>
      </c>
      <c r="I490" s="320"/>
      <c r="J490" s="320">
        <f>TBi!N$253</f>
        <v>237.04426666666666</v>
      </c>
      <c r="K490" s="320">
        <f>SUM(E490:J490)</f>
        <v>10431.224428869897</v>
      </c>
      <c r="L490" s="320">
        <f>K490*0.15</f>
        <v>1564.6836643304844</v>
      </c>
      <c r="M490" s="321">
        <f>K490+L490</f>
        <v>11995.908093200382</v>
      </c>
      <c r="N490" s="320"/>
      <c r="O490" s="320">
        <f>(NhanCong!V$126+NhanCong!V$127+NhanCong!V$132+NhanCong!V$133)</f>
        <v>282.19230769230762</v>
      </c>
      <c r="P490" s="334"/>
      <c r="Q490" s="335"/>
    </row>
    <row r="491" spans="1:17">
      <c r="A491" s="300"/>
      <c r="B491" s="299"/>
      <c r="C491" s="319"/>
      <c r="D491" s="319" t="s">
        <v>20</v>
      </c>
      <c r="E491" s="301">
        <f>(NhanCong!U$126+NhanCong!U$128+NhanCong!U$132+NhanCong!U$133)</f>
        <v>11296.28976666667</v>
      </c>
      <c r="F491" s="301"/>
      <c r="G491" s="320">
        <f>Dcu!P$179</f>
        <v>119.66200804843304</v>
      </c>
      <c r="H491" s="320">
        <f>VLieu!N$117</f>
        <v>122.33333333333333</v>
      </c>
      <c r="I491" s="320"/>
      <c r="J491" s="320">
        <f>TBi!O$253</f>
        <v>313.12399999999997</v>
      </c>
      <c r="K491" s="320">
        <f>SUM(E491:J491)</f>
        <v>11851.409108048438</v>
      </c>
      <c r="L491" s="320">
        <f>K491*0.15</f>
        <v>1777.7113662072657</v>
      </c>
      <c r="M491" s="321">
        <f>K491+L491</f>
        <v>13629.120474255704</v>
      </c>
      <c r="N491" s="320"/>
      <c r="O491" s="320">
        <f>(NhanCong!V$126+NhanCong!V$128+NhanCong!V$132+NhanCong!V$133)</f>
        <v>319.8179487179487</v>
      </c>
      <c r="P491" s="334"/>
      <c r="Q491" s="335"/>
    </row>
    <row r="492" spans="1:17">
      <c r="A492" s="300"/>
      <c r="B492" s="299"/>
      <c r="C492" s="319"/>
      <c r="D492" s="319" t="s">
        <v>35</v>
      </c>
      <c r="E492" s="301">
        <f>(NhanCong!U$126+NhanCong!U$129+NhanCong!U$132+NhanCong!U$133)</f>
        <v>12827.666438888891</v>
      </c>
      <c r="F492" s="301"/>
      <c r="G492" s="320">
        <f>Dcu!P$180</f>
        <v>137.54253798670464</v>
      </c>
      <c r="H492" s="320">
        <f>VLieu!N$117</f>
        <v>122.33333333333333</v>
      </c>
      <c r="I492" s="320"/>
      <c r="J492" s="320">
        <f>TBi!P$253</f>
        <v>373.02813333333336</v>
      </c>
      <c r="K492" s="320">
        <f>SUM(E492:J492)</f>
        <v>13460.570443542263</v>
      </c>
      <c r="L492" s="320">
        <f>K492*0.15</f>
        <v>2019.0855665313393</v>
      </c>
      <c r="M492" s="321">
        <f>K492+L492</f>
        <v>15479.656010073602</v>
      </c>
      <c r="N492" s="320"/>
      <c r="O492" s="320">
        <f>(NhanCong!V$126+NhanCong!V$129+NhanCong!V$132+NhanCong!V$133)</f>
        <v>363.17393162393154</v>
      </c>
      <c r="P492" s="334"/>
      <c r="Q492" s="335"/>
    </row>
    <row r="493" spans="1:17">
      <c r="A493" s="300"/>
      <c r="B493" s="299"/>
      <c r="C493" s="319"/>
      <c r="D493" s="319" t="s">
        <v>33</v>
      </c>
      <c r="E493" s="301">
        <f>(NhanCong!U$126+NhanCong!U$130+NhanCong!U$132+NhanCong!U$133)</f>
        <v>14588.17677777778</v>
      </c>
      <c r="F493" s="301"/>
      <c r="G493" s="320">
        <f>Dcu!P$181</f>
        <v>158.17391868471032</v>
      </c>
      <c r="H493" s="320">
        <f>VLieu!N$117</f>
        <v>122.33333333333333</v>
      </c>
      <c r="I493" s="320"/>
      <c r="J493" s="320">
        <f>TBi!Q$253</f>
        <v>444.80426666666671</v>
      </c>
      <c r="K493" s="320">
        <f>SUM(E493:J493)</f>
        <v>15313.48829646249</v>
      </c>
      <c r="L493" s="320">
        <f>K493*0.15</f>
        <v>2297.0232444693734</v>
      </c>
      <c r="M493" s="321">
        <f>K493+L493</f>
        <v>17610.511540931864</v>
      </c>
      <c r="N493" s="320"/>
      <c r="O493" s="320">
        <f>(NhanCong!V$126+NhanCong!V$130+NhanCong!V$132+NhanCong!V$133)</f>
        <v>413.01709401709394</v>
      </c>
      <c r="P493" s="334"/>
      <c r="Q493" s="335"/>
    </row>
    <row r="494" spans="1:17">
      <c r="A494" s="298">
        <v>2</v>
      </c>
      <c r="B494" s="316" t="str">
        <f>NhanCong!B134</f>
        <v>Chuyển đổi bản đồi số dạng vector từ hệ HN-72 sang hệ VN-2000</v>
      </c>
      <c r="C494" s="333"/>
      <c r="D494" s="333"/>
      <c r="E494" s="301"/>
      <c r="F494" s="301"/>
      <c r="G494" s="301"/>
      <c r="H494" s="301"/>
      <c r="I494" s="301"/>
      <c r="J494" s="301"/>
      <c r="K494" s="301"/>
      <c r="L494" s="301"/>
      <c r="M494" s="302"/>
      <c r="N494" s="325"/>
      <c r="O494" s="301"/>
    </row>
    <row r="495" spans="1:17">
      <c r="A495" s="298" t="s">
        <v>27</v>
      </c>
      <c r="B495" s="316" t="s">
        <v>203</v>
      </c>
      <c r="C495" s="333"/>
      <c r="D495" s="333"/>
      <c r="E495" s="301"/>
      <c r="F495" s="301"/>
      <c r="G495" s="301"/>
      <c r="H495" s="301"/>
      <c r="I495" s="301"/>
      <c r="J495" s="301"/>
      <c r="K495" s="301"/>
      <c r="L495" s="301"/>
      <c r="M495" s="302">
        <v>6.25</v>
      </c>
      <c r="N495" s="325" t="s">
        <v>21</v>
      </c>
      <c r="O495" s="301"/>
    </row>
    <row r="496" spans="1:17">
      <c r="A496" s="300"/>
      <c r="B496" s="299"/>
      <c r="C496" s="333" t="s">
        <v>317</v>
      </c>
      <c r="D496" s="319" t="s">
        <v>18</v>
      </c>
      <c r="E496" s="301">
        <f>(NhanCong!I$135+NhanCong!I$137+NhanCong!I$142+NhanCong!I$143+NhanCong!I$144)/M$495</f>
        <v>318542.58480000007</v>
      </c>
      <c r="F496" s="301"/>
      <c r="G496" s="320">
        <f>Dcu!Q$178*0.65/M$495</f>
        <v>2414.3856711111116</v>
      </c>
      <c r="H496" s="320">
        <f>VLieu!O$120/M$495</f>
        <v>9441.5999999999985</v>
      </c>
      <c r="I496" s="320"/>
      <c r="J496" s="320">
        <f>TBi!N$263/M$495</f>
        <v>4013.9232000000002</v>
      </c>
      <c r="K496" s="320">
        <f>SUM(E496:J496)</f>
        <v>334412.49367111118</v>
      </c>
      <c r="L496" s="320">
        <f>K496*0.15</f>
        <v>50161.874050666673</v>
      </c>
      <c r="M496" s="321">
        <f>K496+L496</f>
        <v>384574.36772177787</v>
      </c>
      <c r="N496" s="336"/>
      <c r="O496" s="301">
        <f>(NhanCong!J$135+NhanCong!J$137+NhanCong!J$142+NhanCong!J$143+NhanCong!J$144)/M$495</f>
        <v>9045.7230769230755</v>
      </c>
    </row>
    <row r="497" spans="1:15">
      <c r="A497" s="300"/>
      <c r="B497" s="299"/>
      <c r="C497" s="319"/>
      <c r="D497" s="319" t="s">
        <v>20</v>
      </c>
      <c r="E497" s="301">
        <f>(NhanCong!I$135+NhanCong!I$138+NhanCong!I$142+NhanCong!I$143+NhanCong!I$144)/M$495</f>
        <v>336140.05040000007</v>
      </c>
      <c r="F497" s="301"/>
      <c r="G497" s="320">
        <f>Dcu!Q$179*0.65/M$495</f>
        <v>2716.1838800000005</v>
      </c>
      <c r="H497" s="320">
        <f>VLieu!O$120/M$495</f>
        <v>9441.5999999999985</v>
      </c>
      <c r="I497" s="320"/>
      <c r="J497" s="320">
        <f>TBi!O$263/M$495</f>
        <v>4473.3696</v>
      </c>
      <c r="K497" s="320">
        <f>SUM(E497:J497)</f>
        <v>352771.20388000004</v>
      </c>
      <c r="L497" s="320">
        <f>K497*0.15</f>
        <v>52915.680582000008</v>
      </c>
      <c r="M497" s="321">
        <f>K497+L497</f>
        <v>405686.88446200005</v>
      </c>
      <c r="N497" s="336"/>
      <c r="O497" s="301">
        <f>(NhanCong!J$135+NhanCong!J$138+NhanCong!J$142+NhanCong!J$143+NhanCong!J$144)/M$495</f>
        <v>9543.9384615384606</v>
      </c>
    </row>
    <row r="498" spans="1:15">
      <c r="A498" s="300"/>
      <c r="B498" s="299"/>
      <c r="C498" s="319"/>
      <c r="D498" s="319" t="s">
        <v>35</v>
      </c>
      <c r="E498" s="301">
        <f>(NhanCong!I$135+NhanCong!I$139+NhanCong!I$142+NhanCong!I$143+NhanCong!I$144)/M$495</f>
        <v>353737.51600000006</v>
      </c>
      <c r="F498" s="301"/>
      <c r="G498" s="320">
        <f>Dcu!Q$180*0.65/M$495</f>
        <v>3017.9820888888894</v>
      </c>
      <c r="H498" s="320">
        <f>VLieu!O$120/M$495</f>
        <v>9441.5999999999985</v>
      </c>
      <c r="I498" s="320"/>
      <c r="J498" s="320">
        <f>TBi!P$263/M$495</f>
        <v>4886.5151999999998</v>
      </c>
      <c r="K498" s="320">
        <f>SUM(E498:J498)</f>
        <v>371083.61328888894</v>
      </c>
      <c r="L498" s="320">
        <f>K498*0.15</f>
        <v>55662.54199333334</v>
      </c>
      <c r="M498" s="321">
        <f>K498+L498</f>
        <v>426746.15528222226</v>
      </c>
      <c r="N498" s="336"/>
      <c r="O498" s="301">
        <f>(NhanCong!J$135+NhanCong!J$139+NhanCong!J$142+NhanCong!J$143+NhanCong!J$144)/M$495</f>
        <v>10042.153846153846</v>
      </c>
    </row>
    <row r="499" spans="1:15">
      <c r="A499" s="300"/>
      <c r="B499" s="299"/>
      <c r="C499" s="319"/>
      <c r="D499" s="319" t="s">
        <v>33</v>
      </c>
      <c r="E499" s="301">
        <f>(NhanCong!I$135+NhanCong!I$140+NhanCong!I$142+NhanCong!I$143+NhanCong!I$144)/M$495</f>
        <v>371334.98160000006</v>
      </c>
      <c r="F499" s="301"/>
      <c r="G499" s="320">
        <f>Dcu!Q$181*0.65/M$495</f>
        <v>3319.7802977777783</v>
      </c>
      <c r="H499" s="320">
        <f>VLieu!O$120/M$495</f>
        <v>9441.5999999999985</v>
      </c>
      <c r="I499" s="320"/>
      <c r="J499" s="320">
        <f>TBi!Q$263/M$495</f>
        <v>5363.7695999999996</v>
      </c>
      <c r="K499" s="320">
        <f>SUM(E499:J499)</f>
        <v>389460.13149777782</v>
      </c>
      <c r="L499" s="320">
        <f>K499*0.15</f>
        <v>58419.019724666672</v>
      </c>
      <c r="M499" s="321">
        <f>K499+L499</f>
        <v>447879.15122244449</v>
      </c>
      <c r="N499" s="336"/>
      <c r="O499" s="301">
        <f>(NhanCong!J$135+NhanCong!J$140+NhanCong!J$142+NhanCong!J$143+NhanCong!J$144)/M$495</f>
        <v>10540.369230769231</v>
      </c>
    </row>
    <row r="500" spans="1:15">
      <c r="A500" s="300"/>
      <c r="B500" s="299"/>
      <c r="C500" s="319"/>
      <c r="D500" s="319" t="s">
        <v>13</v>
      </c>
      <c r="E500" s="301">
        <f>(NhanCong!I$135+NhanCong!I$141+NhanCong!I$142+NhanCong!I$143+NhanCong!I$144)/M$495</f>
        <v>397731.18000000005</v>
      </c>
      <c r="F500" s="301"/>
      <c r="G500" s="320">
        <f>Dcu!Q$182*0.65/M$495</f>
        <v>3923.3767155555565</v>
      </c>
      <c r="H500" s="320">
        <f>VLieu!O$120/M$495</f>
        <v>9441.5999999999985</v>
      </c>
      <c r="I500" s="320"/>
      <c r="J500" s="320">
        <f>TBi!R$263/M$495</f>
        <v>5613.0816000000004</v>
      </c>
      <c r="K500" s="320">
        <f>SUM(E500:J500)</f>
        <v>416709.23831555556</v>
      </c>
      <c r="L500" s="320">
        <f>K500*0.15</f>
        <v>62506.385747333334</v>
      </c>
      <c r="M500" s="321">
        <f>K500+L500</f>
        <v>479215.62406288891</v>
      </c>
      <c r="N500" s="336"/>
      <c r="O500" s="301">
        <f>(NhanCong!J$135+NhanCong!J$141+NhanCong!J$142+NhanCong!J$143+NhanCong!J$144)/M$495</f>
        <v>11287.692307692307</v>
      </c>
    </row>
    <row r="501" spans="1:15">
      <c r="A501" s="298" t="s">
        <v>28</v>
      </c>
      <c r="B501" s="316" t="s">
        <v>204</v>
      </c>
      <c r="C501" s="333"/>
      <c r="D501" s="333"/>
      <c r="E501" s="301"/>
      <c r="F501" s="301"/>
      <c r="G501" s="301"/>
      <c r="H501" s="301"/>
      <c r="I501" s="301"/>
      <c r="J501" s="301"/>
      <c r="K501" s="301"/>
      <c r="L501" s="301"/>
      <c r="M501" s="315">
        <v>25</v>
      </c>
      <c r="N501" s="325" t="s">
        <v>21</v>
      </c>
      <c r="O501" s="301"/>
    </row>
    <row r="502" spans="1:15">
      <c r="A502" s="300"/>
      <c r="B502" s="299"/>
      <c r="C502" s="333" t="s">
        <v>317</v>
      </c>
      <c r="D502" s="319" t="s">
        <v>18</v>
      </c>
      <c r="E502" s="301">
        <f>(NhanCong!M$135+NhanCong!M$137+NhanCong!M$142+NhanCong!M$143+NhanCong!M$144)/M$501</f>
        <v>93933.587000000014</v>
      </c>
      <c r="F502" s="301"/>
      <c r="G502" s="320">
        <f>Dcu!Q$178*0.8/M$501</f>
        <v>742.88789880341892</v>
      </c>
      <c r="H502" s="320">
        <f>VLieu!O$120/M$501</f>
        <v>2360.3999999999996</v>
      </c>
      <c r="I502" s="320"/>
      <c r="J502" s="320">
        <f>TBi!N$271/M$501</f>
        <v>1180.6704</v>
      </c>
      <c r="K502" s="320">
        <f>SUM(E502:J502)</f>
        <v>98217.545298803423</v>
      </c>
      <c r="L502" s="320">
        <f>K502*0.15</f>
        <v>14732.631794820512</v>
      </c>
      <c r="M502" s="321">
        <f>K502+L502</f>
        <v>112950.17709362393</v>
      </c>
      <c r="N502" s="320"/>
      <c r="O502" s="301">
        <f>(NhanCong!N$135+NhanCong!N$137+NhanCong!N$142+NhanCong!N$143+NhanCong!N$144)/M$501</f>
        <v>2666.2307692307695</v>
      </c>
    </row>
    <row r="503" spans="1:15">
      <c r="A503" s="300"/>
      <c r="B503" s="299"/>
      <c r="C503" s="319"/>
      <c r="D503" s="319" t="s">
        <v>20</v>
      </c>
      <c r="E503" s="301">
        <f>(NhanCong!M$135+NhanCong!M$138+NhanCong!M$142+NhanCong!M$143+NhanCong!M$144)/M$501</f>
        <v>99432.794999999998</v>
      </c>
      <c r="F503" s="301"/>
      <c r="G503" s="320">
        <f>Dcu!Q$179*0.8/M$501</f>
        <v>835.74888615384634</v>
      </c>
      <c r="H503" s="320">
        <f>VLieu!O$120/M$501</f>
        <v>2360.3999999999996</v>
      </c>
      <c r="I503" s="320"/>
      <c r="J503" s="320">
        <f>TBi!O$271/M$501</f>
        <v>1234.0944</v>
      </c>
      <c r="K503" s="320">
        <f>SUM(E503:J503)</f>
        <v>103863.03828615384</v>
      </c>
      <c r="L503" s="320">
        <f>K503*0.15</f>
        <v>15579.455742923075</v>
      </c>
      <c r="M503" s="321">
        <f>K503+L503</f>
        <v>119442.49402907692</v>
      </c>
      <c r="N503" s="320"/>
      <c r="O503" s="301">
        <f>(NhanCong!N$135+NhanCong!N$138+NhanCong!N$142+NhanCong!N$143+NhanCong!N$144)/M$501</f>
        <v>2821.9230769230767</v>
      </c>
    </row>
    <row r="504" spans="1:15">
      <c r="A504" s="300"/>
      <c r="B504" s="299"/>
      <c r="C504" s="319"/>
      <c r="D504" s="319" t="s">
        <v>35</v>
      </c>
      <c r="E504" s="301">
        <f>(NhanCong!M$135+NhanCong!M$139+NhanCong!M$142+NhanCong!M$143+NhanCong!M$144)/M$501</f>
        <v>104932.00300000001</v>
      </c>
      <c r="F504" s="301"/>
      <c r="G504" s="320">
        <f>Dcu!Q$180*0.8/M$501</f>
        <v>928.60987350427376</v>
      </c>
      <c r="H504" s="320">
        <f>VLieu!O$120/M$501</f>
        <v>2360.3999999999996</v>
      </c>
      <c r="I504" s="320"/>
      <c r="J504" s="320">
        <f>TBi!P$271/M$501</f>
        <v>1419.2976000000001</v>
      </c>
      <c r="K504" s="320">
        <f>SUM(E504:J504)</f>
        <v>109640.31047350429</v>
      </c>
      <c r="L504" s="320">
        <f>K504*0.15</f>
        <v>16446.046571025643</v>
      </c>
      <c r="M504" s="321">
        <f>K504+L504</f>
        <v>126086.35704452993</v>
      </c>
      <c r="N504" s="320"/>
      <c r="O504" s="301">
        <f>(NhanCong!N$135+NhanCong!N$139+NhanCong!N$142+NhanCong!N$143+NhanCong!N$144)/M$501</f>
        <v>2977.6153846153843</v>
      </c>
    </row>
    <row r="505" spans="1:15">
      <c r="A505" s="300"/>
      <c r="B505" s="299"/>
      <c r="C505" s="319"/>
      <c r="D505" s="319" t="s">
        <v>33</v>
      </c>
      <c r="E505" s="301">
        <f>(NhanCong!M$135+NhanCong!M$140+NhanCong!M$142+NhanCong!M$143+NhanCong!M$144)/M$501</f>
        <v>110431.21100000001</v>
      </c>
      <c r="F505" s="301"/>
      <c r="G505" s="320">
        <f>Dcu!Q$181*0.8/M$501</f>
        <v>1021.4708608547011</v>
      </c>
      <c r="H505" s="320">
        <f>VLieu!O$120/M$501</f>
        <v>2360.3999999999996</v>
      </c>
      <c r="I505" s="320"/>
      <c r="J505" s="320">
        <f>TBi!Q$271/M$501</f>
        <v>1555.5287999999998</v>
      </c>
      <c r="K505" s="320">
        <f>SUM(E505:J505)</f>
        <v>115368.61066085471</v>
      </c>
      <c r="L505" s="320">
        <f>K505*0.15</f>
        <v>17305.291599128206</v>
      </c>
      <c r="M505" s="321">
        <f>K505+L505</f>
        <v>132673.90225998292</v>
      </c>
      <c r="N505" s="320"/>
      <c r="O505" s="301">
        <f>(NhanCong!N$135+NhanCong!N$140+NhanCong!N$142+NhanCong!N$143+NhanCong!N$144)/M$501</f>
        <v>3133.3076923076919</v>
      </c>
    </row>
    <row r="506" spans="1:15">
      <c r="A506" s="300"/>
      <c r="B506" s="299"/>
      <c r="C506" s="319"/>
      <c r="D506" s="319" t="s">
        <v>13</v>
      </c>
      <c r="E506" s="301">
        <f>(NhanCong!M$135+NhanCong!M$141+NhanCong!M$142+NhanCong!M$143+NhanCong!M$144)/M$501</f>
        <v>118680.02299999997</v>
      </c>
      <c r="F506" s="301"/>
      <c r="G506" s="320">
        <f>Dcu!Q$182*0.8/M$501</f>
        <v>1207.1928355555558</v>
      </c>
      <c r="H506" s="320">
        <f>VLieu!O$120/M$501</f>
        <v>2360.3999999999996</v>
      </c>
      <c r="I506" s="320"/>
      <c r="J506" s="320">
        <f>TBi!R$271/M$501</f>
        <v>1640.1168000000002</v>
      </c>
      <c r="K506" s="320">
        <f>SUM(E506:J506)</f>
        <v>123887.73263555553</v>
      </c>
      <c r="L506" s="320">
        <f>K506*0.15</f>
        <v>18583.159895333327</v>
      </c>
      <c r="M506" s="321">
        <f>K506+L506</f>
        <v>142470.89253088884</v>
      </c>
      <c r="N506" s="320"/>
      <c r="O506" s="301">
        <f>(NhanCong!N$135+NhanCong!N$141+NhanCong!N$142+NhanCong!N$143+NhanCong!N$144)/M$501</f>
        <v>3366.8461538461534</v>
      </c>
    </row>
    <row r="507" spans="1:15">
      <c r="A507" s="298" t="s">
        <v>29</v>
      </c>
      <c r="B507" s="316" t="s">
        <v>205</v>
      </c>
      <c r="C507" s="333"/>
      <c r="D507" s="333"/>
      <c r="E507" s="301"/>
      <c r="F507" s="301"/>
      <c r="G507" s="301"/>
      <c r="H507" s="301"/>
      <c r="I507" s="301"/>
      <c r="J507" s="301"/>
      <c r="K507" s="301"/>
      <c r="L507" s="301"/>
      <c r="M507" s="315">
        <v>100</v>
      </c>
      <c r="N507" s="325" t="s">
        <v>21</v>
      </c>
      <c r="O507" s="301"/>
    </row>
    <row r="508" spans="1:15">
      <c r="A508" s="300"/>
      <c r="B508" s="299"/>
      <c r="C508" s="333" t="s">
        <v>317</v>
      </c>
      <c r="D508" s="319" t="s">
        <v>18</v>
      </c>
      <c r="E508" s="301">
        <f>(NhanCong!Q$135+NhanCong!Q$137+NhanCong!Q$142+NhanCong!Q$143+NhanCong!Q$144)/M$507</f>
        <v>28192.093600000004</v>
      </c>
      <c r="F508" s="301"/>
      <c r="G508" s="320">
        <f>Dcu!Q178/M$507</f>
        <v>232.15246837606844</v>
      </c>
      <c r="H508" s="320">
        <f>VLieu!O$117/M$507</f>
        <v>843</v>
      </c>
      <c r="I508" s="320"/>
      <c r="J508" s="320">
        <f>TBi!N$279/M$507</f>
        <v>367.29</v>
      </c>
      <c r="K508" s="320">
        <f>SUM(E508:J508)</f>
        <v>29634.536068376074</v>
      </c>
      <c r="L508" s="320">
        <f>K508*0.15</f>
        <v>4445.1804102564111</v>
      </c>
      <c r="M508" s="321">
        <f>K508+L508</f>
        <v>34079.716478632487</v>
      </c>
      <c r="N508" s="336"/>
      <c r="O508" s="301">
        <f>(NhanCong!R$135+NhanCong!R$137+NhanCong!R$142+NhanCong!R$143+NhanCong!R$144)/M$507</f>
        <v>799.86923076923063</v>
      </c>
    </row>
    <row r="509" spans="1:15">
      <c r="A509" s="300"/>
      <c r="B509" s="299"/>
      <c r="C509" s="319"/>
      <c r="D509" s="319" t="s">
        <v>20</v>
      </c>
      <c r="E509" s="301">
        <f>(NhanCong!Q$135+NhanCong!Q$138+NhanCong!Q$142+NhanCong!Q$143+NhanCong!Q$144)/M$507</f>
        <v>29910.596100000002</v>
      </c>
      <c r="F509" s="301"/>
      <c r="G509" s="320">
        <f>Dcu!Q179/M$507</f>
        <v>261.17152692307695</v>
      </c>
      <c r="H509" s="320">
        <f>VLieu!O$117/M$507</f>
        <v>843</v>
      </c>
      <c r="I509" s="320"/>
      <c r="J509" s="320">
        <f>TBi!O$279/M$507</f>
        <v>400.68</v>
      </c>
      <c r="K509" s="320">
        <f>SUM(E509:J509)</f>
        <v>31415.44762692308</v>
      </c>
      <c r="L509" s="320">
        <f>K509*0.15</f>
        <v>4712.3171440384622</v>
      </c>
      <c r="M509" s="321">
        <f>K509+L509</f>
        <v>36127.764770961541</v>
      </c>
      <c r="N509" s="336"/>
      <c r="O509" s="301">
        <f>(NhanCong!R$135+NhanCong!R$138+NhanCong!R$142+NhanCong!R$143+NhanCong!R$144)/M$507</f>
        <v>848.52307692307693</v>
      </c>
    </row>
    <row r="510" spans="1:15">
      <c r="A510" s="300"/>
      <c r="B510" s="299"/>
      <c r="C510" s="319"/>
      <c r="D510" s="319" t="s">
        <v>35</v>
      </c>
      <c r="E510" s="301">
        <f>(NhanCong!Q$135+NhanCong!Q$139+NhanCong!Q$142+NhanCong!Q$143+NhanCong!Q$144)/M$507</f>
        <v>31629.098600000005</v>
      </c>
      <c r="F510" s="301"/>
      <c r="G510" s="320">
        <f>Dcu!Q180/M$507</f>
        <v>290.19058547008552</v>
      </c>
      <c r="H510" s="320">
        <f>VLieu!O$117/M$507</f>
        <v>843</v>
      </c>
      <c r="I510" s="320"/>
      <c r="J510" s="320">
        <f>TBi!P$279/M$507</f>
        <v>442.97399999999993</v>
      </c>
      <c r="K510" s="320">
        <f>SUM(E510:J510)</f>
        <v>33205.263185470089</v>
      </c>
      <c r="L510" s="320">
        <f>K510*0.15</f>
        <v>4980.7894778205127</v>
      </c>
      <c r="M510" s="321">
        <f>K510+L510</f>
        <v>38186.052663290604</v>
      </c>
      <c r="N510" s="336"/>
      <c r="O510" s="301">
        <f>(NhanCong!R$135+NhanCong!R$139+NhanCong!R$142+NhanCong!R$143+NhanCong!R$144)/M$507</f>
        <v>897.17692307692312</v>
      </c>
    </row>
    <row r="511" spans="1:15">
      <c r="A511" s="300"/>
      <c r="B511" s="299"/>
      <c r="C511" s="319"/>
      <c r="D511" s="319" t="s">
        <v>33</v>
      </c>
      <c r="E511" s="301">
        <f>(NhanCong!Q$135+NhanCong!Q$140+NhanCong!Q$142+NhanCong!Q$143+NhanCong!Q$144)/M$507</f>
        <v>33347.6011</v>
      </c>
      <c r="F511" s="301"/>
      <c r="G511" s="320">
        <f>Dcu!Q181/M$507</f>
        <v>319.20964401709409</v>
      </c>
      <c r="H511" s="320">
        <f>VLieu!O$117/M$507</f>
        <v>843</v>
      </c>
      <c r="I511" s="320"/>
      <c r="J511" s="320">
        <f>TBi!Q$279/M$507</f>
        <v>485.26800000000003</v>
      </c>
      <c r="K511" s="320">
        <f>SUM(E511:J511)</f>
        <v>34995.078744017097</v>
      </c>
      <c r="L511" s="320">
        <f>K511*0.15</f>
        <v>5249.2618116025642</v>
      </c>
      <c r="M511" s="321">
        <f>K511+L511</f>
        <v>40244.340555619659</v>
      </c>
      <c r="N511" s="336"/>
      <c r="O511" s="301">
        <f>(NhanCong!R$135+NhanCong!R$140+NhanCong!R$142+NhanCong!R$143+NhanCong!R$144)/M$507</f>
        <v>945.83076923076942</v>
      </c>
    </row>
    <row r="512" spans="1:15">
      <c r="A512" s="300"/>
      <c r="B512" s="299"/>
      <c r="C512" s="319"/>
      <c r="D512" s="319" t="s">
        <v>13</v>
      </c>
      <c r="E512" s="301">
        <f>(NhanCong!Q$135+NhanCong!Q$141+NhanCong!Q$142+NhanCong!Q$143+NhanCong!Q$144)/M$507</f>
        <v>35925.354850000003</v>
      </c>
      <c r="F512" s="301"/>
      <c r="G512" s="320">
        <f>Dcu!Q182/M$507</f>
        <v>377.24776111111117</v>
      </c>
      <c r="H512" s="320">
        <f>VLieu!O$117/M$507</f>
        <v>843</v>
      </c>
      <c r="I512" s="320"/>
      <c r="J512" s="320">
        <f>TBi!R$279/M$507</f>
        <v>513.09300000000007</v>
      </c>
      <c r="K512" s="320">
        <f>SUM(E512:J512)</f>
        <v>37658.695611111114</v>
      </c>
      <c r="L512" s="320">
        <f>K512*0.15</f>
        <v>5648.8043416666669</v>
      </c>
      <c r="M512" s="321">
        <f>K512+L512</f>
        <v>43307.499952777784</v>
      </c>
      <c r="N512" s="336"/>
      <c r="O512" s="301">
        <f>(NhanCong!R$135+NhanCong!R$141+NhanCong!R$142+NhanCong!R$143+NhanCong!R$144)/M$507</f>
        <v>1018.8115384615385</v>
      </c>
    </row>
    <row r="513" spans="1:17">
      <c r="A513" s="298" t="s">
        <v>30</v>
      </c>
      <c r="B513" s="316" t="s">
        <v>206</v>
      </c>
      <c r="C513" s="333"/>
      <c r="D513" s="333"/>
      <c r="E513" s="301"/>
      <c r="F513" s="301"/>
      <c r="G513" s="301"/>
      <c r="H513" s="301"/>
      <c r="I513" s="301"/>
      <c r="J513" s="301"/>
      <c r="K513" s="301"/>
      <c r="L513" s="301"/>
      <c r="M513" s="315">
        <v>900</v>
      </c>
      <c r="N513" s="325" t="s">
        <v>21</v>
      </c>
      <c r="O513" s="301"/>
    </row>
    <row r="514" spans="1:17">
      <c r="A514" s="300"/>
      <c r="B514" s="299"/>
      <c r="C514" s="333" t="s">
        <v>317</v>
      </c>
      <c r="D514" s="319" t="s">
        <v>18</v>
      </c>
      <c r="E514" s="301">
        <f>(NhanCong!U$135+NhanCong!U$137+NhanCong!U$142+NhanCong!U$143+NhanCong!U$144)/M$513</f>
        <v>4159.7374500000005</v>
      </c>
      <c r="F514" s="301"/>
      <c r="G514" s="320">
        <f>Dcu!R178/M$513</f>
        <v>41.845118547008546</v>
      </c>
      <c r="H514" s="320">
        <f>VLieu!P$117/M$513</f>
        <v>94</v>
      </c>
      <c r="I514" s="320"/>
      <c r="J514" s="320">
        <f>TBi!N$287/M$513</f>
        <v>56.639333333333326</v>
      </c>
      <c r="K514" s="320">
        <f>SUM(E514:J514)</f>
        <v>4352.2219018803426</v>
      </c>
      <c r="L514" s="320">
        <f>K514*0.15</f>
        <v>652.83328528205141</v>
      </c>
      <c r="M514" s="321">
        <f>K514+L514</f>
        <v>5005.0551871623938</v>
      </c>
      <c r="N514" s="336"/>
      <c r="O514" s="301">
        <f>(NhanCong!V$135+NhanCong!V$137+NhanCong!V$142+NhanCong!V$143+NhanCong!V$144)/M$513</f>
        <v>117.958547008547</v>
      </c>
    </row>
    <row r="515" spans="1:17">
      <c r="A515" s="300"/>
      <c r="B515" s="299"/>
      <c r="C515" s="319"/>
      <c r="D515" s="319" t="s">
        <v>20</v>
      </c>
      <c r="E515" s="301">
        <f>(NhanCong!U$135+NhanCong!U$138+NhanCong!U$142+NhanCong!U$143+NhanCong!U$144)/M$513</f>
        <v>4350.682172222223</v>
      </c>
      <c r="F515" s="301"/>
      <c r="G515" s="320">
        <f>Dcu!R179/M$513</f>
        <v>46.494576163342828</v>
      </c>
      <c r="H515" s="320">
        <f>VLieu!P$117/M$513</f>
        <v>94</v>
      </c>
      <c r="I515" s="320"/>
      <c r="J515" s="320">
        <f>TBi!O$287/M$513</f>
        <v>64.306666666666672</v>
      </c>
      <c r="K515" s="320">
        <f>SUM(E515:J515)</f>
        <v>4555.483415052232</v>
      </c>
      <c r="L515" s="320">
        <f>K515*0.15</f>
        <v>683.32251225783477</v>
      </c>
      <c r="M515" s="321">
        <f>K515+L515</f>
        <v>5238.8059273100671</v>
      </c>
      <c r="N515" s="336"/>
      <c r="O515" s="301">
        <f>(NhanCong!V$135+NhanCong!V$138+NhanCong!V$142+NhanCong!V$143+NhanCong!V$144)/M$513</f>
        <v>123.36452991452991</v>
      </c>
    </row>
    <row r="516" spans="1:17">
      <c r="A516" s="300"/>
      <c r="B516" s="299"/>
      <c r="C516" s="319"/>
      <c r="D516" s="319" t="s">
        <v>35</v>
      </c>
      <c r="E516" s="301">
        <f>(NhanCong!U$135+NhanCong!U$139+NhanCong!U$142+NhanCong!U$143+NhanCong!U$144)/M$513</f>
        <v>4541.6268944444455</v>
      </c>
      <c r="F516" s="301"/>
      <c r="G516" s="320">
        <f>Dcu!R180/M$513</f>
        <v>46.494576163342828</v>
      </c>
      <c r="H516" s="320">
        <f>VLieu!P$117/M$513</f>
        <v>94</v>
      </c>
      <c r="I516" s="320"/>
      <c r="J516" s="320">
        <f>TBi!P$287/M$513</f>
        <v>69.006</v>
      </c>
      <c r="K516" s="320">
        <f>SUM(E516:J516)</f>
        <v>4751.1274706077884</v>
      </c>
      <c r="L516" s="320">
        <f>K516*0.15</f>
        <v>712.66912059116828</v>
      </c>
      <c r="M516" s="321">
        <f>K516+L516</f>
        <v>5463.7965911989568</v>
      </c>
      <c r="N516" s="336"/>
      <c r="O516" s="301">
        <f>(NhanCong!V$135+NhanCong!V$139+NhanCong!V$142+NhanCong!V$143+NhanCong!V$144)/M$513</f>
        <v>128.77051282051283</v>
      </c>
    </row>
    <row r="517" spans="1:17">
      <c r="A517" s="300"/>
      <c r="B517" s="299"/>
      <c r="C517" s="319"/>
      <c r="D517" s="319" t="s">
        <v>33</v>
      </c>
      <c r="E517" s="301">
        <f>(NhanCong!U$135+NhanCong!U$140+NhanCong!U$142+NhanCong!U$143+NhanCong!U$144)/M$513</f>
        <v>4732.571616666668</v>
      </c>
      <c r="F517" s="301"/>
      <c r="G517" s="320">
        <f>Dcu!R181/M$513</f>
        <v>51.144033779677123</v>
      </c>
      <c r="H517" s="320">
        <f>VLieu!P$117/M$513</f>
        <v>94</v>
      </c>
      <c r="I517" s="320"/>
      <c r="J517" s="320">
        <f>TBi!Q$287/M$513</f>
        <v>73.705333333333343</v>
      </c>
      <c r="K517" s="320">
        <f>SUM(E517:J517)</f>
        <v>4951.4209837796789</v>
      </c>
      <c r="L517" s="320">
        <f>K517*0.15</f>
        <v>742.71314756695176</v>
      </c>
      <c r="M517" s="321">
        <f>K517+L517</f>
        <v>5694.134131346631</v>
      </c>
      <c r="N517" s="336"/>
      <c r="O517" s="301">
        <f>(NhanCong!V$135+NhanCong!V$140+NhanCong!V$142+NhanCong!V$143+NhanCong!V$144)/M$513</f>
        <v>134.17649572649572</v>
      </c>
    </row>
    <row r="518" spans="1:17">
      <c r="A518" s="298" t="str">
        <f>L_CViec!A44</f>
        <v>IV</v>
      </c>
      <c r="B518" s="314" t="str">
        <f>L_CViec!B44</f>
        <v>ĐO ĐẠC CHỈNH LÝ BẢN ĐỒ ĐỊA CHÍNH:</v>
      </c>
      <c r="C518" s="300"/>
      <c r="D518" s="300"/>
      <c r="E518" s="300"/>
      <c r="F518" s="301"/>
      <c r="G518" s="301"/>
      <c r="H518" s="301"/>
      <c r="I518" s="301"/>
      <c r="J518" s="301"/>
      <c r="K518" s="301"/>
      <c r="L518" s="301"/>
      <c r="M518" s="315"/>
      <c r="N518" s="301"/>
      <c r="O518" s="301"/>
    </row>
    <row r="519" spans="1:17">
      <c r="A519" s="298" t="s">
        <v>27</v>
      </c>
      <c r="B519" s="316" t="s">
        <v>202</v>
      </c>
      <c r="C519" s="337" t="s">
        <v>349</v>
      </c>
      <c r="D519" s="333"/>
      <c r="E519" s="301"/>
      <c r="F519" s="301"/>
      <c r="G519" s="301"/>
      <c r="H519" s="301"/>
      <c r="I519" s="301"/>
      <c r="J519" s="301"/>
      <c r="K519" s="301"/>
      <c r="L519" s="301"/>
      <c r="M519" s="315">
        <v>1</v>
      </c>
      <c r="N519" s="301" t="s">
        <v>49</v>
      </c>
      <c r="O519" s="301"/>
    </row>
    <row r="520" spans="1:17" s="308" customFormat="1" ht="12.75" customHeight="1">
      <c r="A520" s="1036"/>
      <c r="B520" s="1035" t="s">
        <v>190</v>
      </c>
      <c r="C520" s="298">
        <f>HeSoKK!B30</f>
        <v>67</v>
      </c>
      <c r="D520" s="298">
        <v>1</v>
      </c>
      <c r="E520" s="301">
        <f>E562/C520+(E566+E570)/100</f>
        <v>590048.55532182846</v>
      </c>
      <c r="F520" s="301">
        <f>F562/C520+(F566+F570)/100</f>
        <v>30399.34615384616</v>
      </c>
      <c r="G520" s="301">
        <f>G562/C520+(G566+G570)/100</f>
        <v>3772.6312150784543</v>
      </c>
      <c r="H520" s="301">
        <f>H562/C520+(H566+H570)/100</f>
        <v>63041.162574626862</v>
      </c>
      <c r="I520" s="301"/>
      <c r="J520" s="301">
        <f>J562/C520+(J566+J570)/100</f>
        <v>85.701000000000008</v>
      </c>
      <c r="K520" s="301">
        <f t="shared" ref="K520:K527" si="154">SUM(E520:J520)</f>
        <v>687347.39626537985</v>
      </c>
      <c r="L520" s="301">
        <f>K520*0.25</f>
        <v>171836.84906634496</v>
      </c>
      <c r="M520" s="315">
        <f t="shared" ref="M520:M527" si="155">K520+L520</f>
        <v>859184.24533172487</v>
      </c>
      <c r="N520" s="301">
        <f>M520+M524</f>
        <v>965398.0901315629</v>
      </c>
      <c r="O520" s="301">
        <f>O562/C520+(O566+O570)/100</f>
        <v>16780.221369115956</v>
      </c>
      <c r="Q520" s="338"/>
    </row>
    <row r="521" spans="1:17" s="308" customFormat="1" ht="12.75" customHeight="1">
      <c r="A521" s="1036"/>
      <c r="B521" s="1035"/>
      <c r="C521" s="298">
        <f>HeSoKK!D30</f>
        <v>82</v>
      </c>
      <c r="D521" s="298">
        <v>2</v>
      </c>
      <c r="E521" s="301">
        <f>E563/C521+(E567+E571)/100</f>
        <v>705394.64153963432</v>
      </c>
      <c r="F521" s="301">
        <f>F563/C521+(F567+F571)/100</f>
        <v>36493.769230769227</v>
      </c>
      <c r="G521" s="301">
        <f>G563/C521+(G567+G571)/100</f>
        <v>4647.9799054096311</v>
      </c>
      <c r="H521" s="301">
        <f>H563/C521+(H567+H571)/100</f>
        <v>51991.836036585366</v>
      </c>
      <c r="I521" s="301"/>
      <c r="J521" s="301">
        <f>J563/C521+(J567+J571)/100</f>
        <v>107.73840000000001</v>
      </c>
      <c r="K521" s="301">
        <f t="shared" si="154"/>
        <v>798635.96511239861</v>
      </c>
      <c r="L521" s="301">
        <f>K521*0.25</f>
        <v>199658.99127809965</v>
      </c>
      <c r="M521" s="315">
        <f t="shared" si="155"/>
        <v>998294.95639049821</v>
      </c>
      <c r="N521" s="301">
        <f>M521+M525</f>
        <v>1110593.3233043526</v>
      </c>
      <c r="O521" s="301">
        <f>O563/C521+(O567+O571)/100</f>
        <v>20050.428001876175</v>
      </c>
      <c r="Q521" s="338"/>
    </row>
    <row r="522" spans="1:17" s="308" customFormat="1" ht="12.75" customHeight="1">
      <c r="A522" s="1036"/>
      <c r="B522" s="1035"/>
      <c r="C522" s="298">
        <f>HeSoKK!F30</f>
        <v>97</v>
      </c>
      <c r="D522" s="298">
        <v>3</v>
      </c>
      <c r="E522" s="301">
        <f>E564/C522+(E568+E572)/100</f>
        <v>849584.65795103123</v>
      </c>
      <c r="F522" s="301">
        <f>F564/C522+(F568+F572)/100</f>
        <v>43788.884615384617</v>
      </c>
      <c r="G522" s="301">
        <f>G564/C522+(G568+G572)/100</f>
        <v>6134.8569103004675</v>
      </c>
      <c r="H522" s="301">
        <f>H564/C522+(H568+H572)/100</f>
        <v>44359.826984536077</v>
      </c>
      <c r="I522" s="301"/>
      <c r="J522" s="301">
        <f>J564/C522+(J568+J572)/100</f>
        <v>143.7996</v>
      </c>
      <c r="K522" s="301">
        <f t="shared" si="154"/>
        <v>944012.02606125246</v>
      </c>
      <c r="L522" s="301">
        <f>K522*0.25</f>
        <v>236003.00651531311</v>
      </c>
      <c r="M522" s="315">
        <f t="shared" si="155"/>
        <v>1180015.0325765656</v>
      </c>
      <c r="N522" s="301">
        <f>M522+M526</f>
        <v>1299580.216821484</v>
      </c>
      <c r="O522" s="301">
        <f>O564/C522+(O568+O572)/100</f>
        <v>24140.583862014279</v>
      </c>
      <c r="Q522" s="338"/>
    </row>
    <row r="523" spans="1:17" s="308" customFormat="1" ht="12.75" customHeight="1">
      <c r="A523" s="1036"/>
      <c r="B523" s="1035"/>
      <c r="C523" s="339">
        <f>HeSoKK!H30</f>
        <v>112.5</v>
      </c>
      <c r="D523" s="298">
        <v>4</v>
      </c>
      <c r="E523" s="301">
        <f>E565/C523+(E569+E573)/100</f>
        <v>1016055.4564722223</v>
      </c>
      <c r="F523" s="301">
        <f>F565/C523+(F569+F573)/100</f>
        <v>52539.384615384617</v>
      </c>
      <c r="G523" s="301">
        <f>G565/C523+(G569+G573)/100</f>
        <v>7305.3849287749299</v>
      </c>
      <c r="H523" s="301">
        <f>H565/C523+(H569+H573)/100</f>
        <v>38611.510833333334</v>
      </c>
      <c r="I523" s="301"/>
      <c r="J523" s="301">
        <f>J565/C523+(J569+J573)/100</f>
        <v>170.95680000000002</v>
      </c>
      <c r="K523" s="301">
        <f t="shared" si="154"/>
        <v>1114682.6936497153</v>
      </c>
      <c r="L523" s="301">
        <f>K523*0.25</f>
        <v>278670.67341242882</v>
      </c>
      <c r="M523" s="315">
        <f t="shared" si="155"/>
        <v>1393353.367062144</v>
      </c>
      <c r="N523" s="301">
        <f>M523+M527</f>
        <v>1520895.2939879715</v>
      </c>
      <c r="O523" s="301">
        <f>O565/C523+(O569+O573)/100</f>
        <v>28864.164529914524</v>
      </c>
      <c r="Q523" s="338"/>
    </row>
    <row r="524" spans="1:17" s="308" customFormat="1" ht="12.75" customHeight="1">
      <c r="A524" s="1036"/>
      <c r="B524" s="1035" t="s">
        <v>192</v>
      </c>
      <c r="C524" s="339">
        <f>C520</f>
        <v>67</v>
      </c>
      <c r="D524" s="298">
        <v>1</v>
      </c>
      <c r="E524" s="301">
        <f>(E575+E586+E587+E588)/C524+(E580+E584+E585)/100</f>
        <v>69203.595244776137</v>
      </c>
      <c r="F524" s="301">
        <f>(F575+F586+F587+F588)/C524+(F580+F584+F585)/100</f>
        <v>0</v>
      </c>
      <c r="G524" s="301">
        <f>(G575+G586+G587+G588)/C524+(G580+G584+G585)/100</f>
        <v>980.17701647179479</v>
      </c>
      <c r="H524" s="301">
        <f>(H575+H586+H587+H588)/C524+(H580+H584+H585)/100</f>
        <v>20885.298507462685</v>
      </c>
      <c r="I524" s="301"/>
      <c r="J524" s="301">
        <f>(J575+J586+J587+J588)/C524+(J580+J584+J585)/100</f>
        <v>1290.7942746268654</v>
      </c>
      <c r="K524" s="301">
        <f t="shared" si="154"/>
        <v>92359.865043337471</v>
      </c>
      <c r="L524" s="301">
        <f>K524*0.15</f>
        <v>13853.979756500621</v>
      </c>
      <c r="M524" s="315">
        <f t="shared" si="155"/>
        <v>106213.84479983809</v>
      </c>
      <c r="N524" s="301"/>
      <c r="O524" s="301">
        <f>(O575+O586+O587+O588)/C524+(O580+O584+O585)/100</f>
        <v>1819.9152698048222</v>
      </c>
      <c r="P524" s="338"/>
    </row>
    <row r="525" spans="1:17" s="308" customFormat="1" ht="12.75" customHeight="1">
      <c r="A525" s="1036"/>
      <c r="B525" s="1035"/>
      <c r="C525" s="339">
        <f>C521</f>
        <v>82</v>
      </c>
      <c r="D525" s="298">
        <v>2</v>
      </c>
      <c r="E525" s="301">
        <f>(E576+E586+E587+E588)/C525+(E581+E584+E585)/100</f>
        <v>75744.614187804895</v>
      </c>
      <c r="F525" s="301">
        <f>(F576+F586+F587+F588)/C525+(F581+F584+F585)/100</f>
        <v>0</v>
      </c>
      <c r="G525" s="301">
        <f>(G576+G586+G587+G588)/C525+(G581+G584+G585)/100</f>
        <v>1012.6313625244424</v>
      </c>
      <c r="H525" s="301">
        <f>(H576+H586+H587+H588)/C525+(H581+H584+H585)/100</f>
        <v>19578.414634146342</v>
      </c>
      <c r="I525" s="301"/>
      <c r="J525" s="301">
        <f>(J576+J586+J587+J588)/C525+(J581+J584+J585)/100</f>
        <v>1315.0936536585366</v>
      </c>
      <c r="K525" s="301">
        <f t="shared" si="154"/>
        <v>97650.753838134216</v>
      </c>
      <c r="L525" s="301">
        <f>K525*0.15</f>
        <v>14647.613075720132</v>
      </c>
      <c r="M525" s="315">
        <f t="shared" si="155"/>
        <v>112298.36691385435</v>
      </c>
      <c r="N525" s="301"/>
      <c r="O525" s="301">
        <f>(O576+O586+O587+O588)/C525+(O581+O584+O585)/100</f>
        <v>1977.339774859287</v>
      </c>
      <c r="P525" s="338"/>
    </row>
    <row r="526" spans="1:17" s="308" customFormat="1" ht="12.75" customHeight="1">
      <c r="A526" s="1036"/>
      <c r="B526" s="1035"/>
      <c r="C526" s="298">
        <f>C522</f>
        <v>97</v>
      </c>
      <c r="D526" s="298">
        <v>3</v>
      </c>
      <c r="E526" s="301">
        <f>(E577+E586+E587+E588)/C526+(E582+E584+E585)/100</f>
        <v>82785.450294845374</v>
      </c>
      <c r="F526" s="301">
        <f>(F577+F586+F587+F588)/C526+(F582+F584+F585)/100</f>
        <v>0</v>
      </c>
      <c r="G526" s="301">
        <f>(G577+G586+G587+G588)/C526+(G582+G584+G585)/100</f>
        <v>1095.4611478895056</v>
      </c>
      <c r="H526" s="301">
        <f>(H577+H586+H587+H588)/C526+(H582+H584+H585)/100</f>
        <v>18675.721649484534</v>
      </c>
      <c r="I526" s="301"/>
      <c r="J526" s="301">
        <f>(J577+J586+J587+J588)/C526+(J582+J584+J585)/100</f>
        <v>1413.0923381443301</v>
      </c>
      <c r="K526" s="301">
        <f t="shared" si="154"/>
        <v>103969.72543036375</v>
      </c>
      <c r="L526" s="301">
        <f>K526*0.15</f>
        <v>15595.45881455456</v>
      </c>
      <c r="M526" s="315">
        <f t="shared" si="155"/>
        <v>119565.1842449183</v>
      </c>
      <c r="N526" s="301"/>
      <c r="O526" s="301">
        <f>(O577+O586+O587+O588)/C526+(O582+O584+O585)/100</f>
        <v>2148.9149881046787</v>
      </c>
      <c r="P526" s="338"/>
    </row>
    <row r="527" spans="1:17" s="308" customFormat="1" ht="12.75" customHeight="1">
      <c r="A527" s="1036"/>
      <c r="B527" s="1035"/>
      <c r="C527" s="298">
        <f>C523</f>
        <v>112.5</v>
      </c>
      <c r="D527" s="298">
        <v>4</v>
      </c>
      <c r="E527" s="301">
        <f>(E578+E586+E587+E588)/C527+(E583+E584+E585)/100</f>
        <v>90251.839470222229</v>
      </c>
      <c r="F527" s="301">
        <f>(F578+F586+F587+F588)/C527+(F583+F584+F585)/100</f>
        <v>0</v>
      </c>
      <c r="G527" s="301">
        <f>(G578+G586+G587+G588)/C527+(G583+G584+G585)/100</f>
        <v>1163.331156874264</v>
      </c>
      <c r="H527" s="301">
        <f>(H578+H586+H587+H588)/C527+(H583+H584+H585)/100</f>
        <v>17995.826666666668</v>
      </c>
      <c r="I527" s="301"/>
      <c r="J527" s="301">
        <f>(J578+J586+J587+J588)/C527+(J583+J584+J585)/100</f>
        <v>1495.02612</v>
      </c>
      <c r="K527" s="301">
        <f t="shared" si="154"/>
        <v>110906.02341376315</v>
      </c>
      <c r="L527" s="301">
        <f>K527*0.15</f>
        <v>16635.903512064473</v>
      </c>
      <c r="M527" s="315">
        <f t="shared" si="155"/>
        <v>127541.92692582762</v>
      </c>
      <c r="N527" s="301"/>
      <c r="O527" s="301">
        <f>(O578+O586+O587+O588)/C527+(O583+O584+O585)/100</f>
        <v>2331.9939829059826</v>
      </c>
      <c r="P527" s="338"/>
    </row>
    <row r="528" spans="1:17" s="308" customFormat="1" ht="12.75" customHeight="1">
      <c r="A528" s="298"/>
      <c r="B528" s="340" t="s">
        <v>332</v>
      </c>
      <c r="C528" s="298"/>
      <c r="D528" s="298"/>
      <c r="E528" s="301"/>
      <c r="F528" s="301"/>
      <c r="G528" s="301"/>
      <c r="H528" s="301"/>
      <c r="I528" s="301"/>
      <c r="J528" s="301"/>
      <c r="K528" s="301"/>
      <c r="L528" s="301"/>
      <c r="M528" s="315"/>
      <c r="N528" s="301"/>
      <c r="O528" s="301"/>
    </row>
    <row r="529" spans="1:15" s="308" customFormat="1" ht="13.5">
      <c r="A529" s="298" t="s">
        <v>323</v>
      </c>
      <c r="B529" s="340" t="s">
        <v>333</v>
      </c>
      <c r="C529" s="298"/>
      <c r="D529" s="298"/>
      <c r="E529" s="301"/>
      <c r="F529" s="301"/>
      <c r="G529" s="301"/>
      <c r="H529" s="301"/>
      <c r="I529" s="301"/>
      <c r="J529" s="301"/>
      <c r="K529" s="301"/>
      <c r="L529" s="301"/>
      <c r="M529" s="315"/>
      <c r="N529" s="301"/>
      <c r="O529" s="301"/>
    </row>
    <row r="530" spans="1:15" s="308" customFormat="1">
      <c r="A530" s="1036"/>
      <c r="B530" s="1037" t="s">
        <v>330</v>
      </c>
      <c r="C530" s="1036" t="s">
        <v>49</v>
      </c>
      <c r="D530" s="298">
        <v>1</v>
      </c>
      <c r="E530" s="301">
        <f t="shared" ref="E530:H533" si="156">E520-E566/100</f>
        <v>548589.68250932847</v>
      </c>
      <c r="F530" s="301">
        <f t="shared" si="156"/>
        <v>30399.34615384616</v>
      </c>
      <c r="G530" s="301">
        <f t="shared" si="156"/>
        <v>3146.8730740528131</v>
      </c>
      <c r="H530" s="301">
        <f t="shared" si="156"/>
        <v>62915.53507462686</v>
      </c>
      <c r="I530" s="301"/>
      <c r="J530" s="301">
        <f>J520-J566/100</f>
        <v>77.910000000000011</v>
      </c>
      <c r="K530" s="301">
        <f t="shared" ref="K530:K537" si="157">SUM(E530:J530)</f>
        <v>645129.3468118544</v>
      </c>
      <c r="L530" s="301">
        <f>K530*0.25</f>
        <v>161282.3367029636</v>
      </c>
      <c r="M530" s="315">
        <f t="shared" ref="M530:M537" si="158">K530+L530</f>
        <v>806411.68351481797</v>
      </c>
      <c r="N530" s="301">
        <f>M530+M534</f>
        <v>912625.52831465611</v>
      </c>
      <c r="O530" s="301">
        <f>O520-O566/100</f>
        <v>15606.447330654417</v>
      </c>
    </row>
    <row r="531" spans="1:15" s="308" customFormat="1" ht="15" customHeight="1">
      <c r="A531" s="1036"/>
      <c r="B531" s="1035"/>
      <c r="C531" s="1036"/>
      <c r="D531" s="298">
        <v>2</v>
      </c>
      <c r="E531" s="301">
        <f t="shared" si="156"/>
        <v>653409.94091463427</v>
      </c>
      <c r="F531" s="301">
        <f t="shared" si="156"/>
        <v>36493.769230769227</v>
      </c>
      <c r="G531" s="301">
        <f t="shared" si="156"/>
        <v>3865.7822291275797</v>
      </c>
      <c r="H531" s="301">
        <f t="shared" si="156"/>
        <v>51866.208536585364</v>
      </c>
      <c r="I531" s="301"/>
      <c r="J531" s="301">
        <f>J521-J567/100</f>
        <v>97.944000000000017</v>
      </c>
      <c r="K531" s="301">
        <f t="shared" si="157"/>
        <v>745733.64491111645</v>
      </c>
      <c r="L531" s="301">
        <f>K531*0.25</f>
        <v>186433.41122777911</v>
      </c>
      <c r="M531" s="315">
        <f t="shared" si="158"/>
        <v>932167.05613889557</v>
      </c>
      <c r="N531" s="301">
        <f>M531+M535</f>
        <v>1044465.4230527499</v>
      </c>
      <c r="O531" s="301">
        <f>O521-O567/100</f>
        <v>18578.649155722327</v>
      </c>
    </row>
    <row r="532" spans="1:15" s="308" customFormat="1" ht="15" customHeight="1">
      <c r="A532" s="1036"/>
      <c r="B532" s="1035"/>
      <c r="C532" s="1036"/>
      <c r="D532" s="298">
        <v>3</v>
      </c>
      <c r="E532" s="301">
        <f t="shared" si="156"/>
        <v>780414.93232603115</v>
      </c>
      <c r="F532" s="301">
        <f t="shared" si="156"/>
        <v>43788.884615384617</v>
      </c>
      <c r="G532" s="301">
        <f t="shared" si="156"/>
        <v>5091.9266752577323</v>
      </c>
      <c r="H532" s="301">
        <f t="shared" si="156"/>
        <v>44234.199484536075</v>
      </c>
      <c r="I532" s="301"/>
      <c r="J532" s="301">
        <f>J522-J568/100</f>
        <v>131.334</v>
      </c>
      <c r="K532" s="301">
        <f t="shared" si="157"/>
        <v>873661.27710120962</v>
      </c>
      <c r="L532" s="301">
        <f>K532*0.25</f>
        <v>218415.31927530241</v>
      </c>
      <c r="M532" s="315">
        <f t="shared" si="158"/>
        <v>1092076.596376512</v>
      </c>
      <c r="N532" s="301">
        <f>M532+M536</f>
        <v>1211641.7806214304</v>
      </c>
      <c r="O532" s="301">
        <f>O522-O568/100</f>
        <v>22182.26655432197</v>
      </c>
    </row>
    <row r="533" spans="1:15" s="308" customFormat="1" ht="15" customHeight="1">
      <c r="A533" s="1036"/>
      <c r="B533" s="1035"/>
      <c r="C533" s="1036"/>
      <c r="D533" s="298">
        <v>4</v>
      </c>
      <c r="E533" s="301">
        <f t="shared" si="156"/>
        <v>933137.71084722236</v>
      </c>
      <c r="F533" s="301">
        <f t="shared" si="156"/>
        <v>52539.384615384617</v>
      </c>
      <c r="G533" s="301">
        <f t="shared" si="156"/>
        <v>6053.8686467236475</v>
      </c>
      <c r="H533" s="301">
        <f t="shared" si="156"/>
        <v>38485.883333333331</v>
      </c>
      <c r="I533" s="301"/>
      <c r="J533" s="301">
        <f>J523-J569/100</f>
        <v>155.82000000000002</v>
      </c>
      <c r="K533" s="301">
        <f t="shared" si="157"/>
        <v>1030372.6674426639</v>
      </c>
      <c r="L533" s="301">
        <f>K533*0.25</f>
        <v>257593.16686066598</v>
      </c>
      <c r="M533" s="315">
        <f t="shared" si="158"/>
        <v>1287965.8343033299</v>
      </c>
      <c r="N533" s="301">
        <f>M533+M537</f>
        <v>1415507.7612291574</v>
      </c>
      <c r="O533" s="301">
        <f>O523-O569/100</f>
        <v>26516.616452991446</v>
      </c>
    </row>
    <row r="534" spans="1:15" s="308" customFormat="1" ht="12.75" customHeight="1">
      <c r="A534" s="1036"/>
      <c r="B534" s="1037" t="s">
        <v>331</v>
      </c>
      <c r="C534" s="1036" t="s">
        <v>49</v>
      </c>
      <c r="D534" s="298">
        <v>1</v>
      </c>
      <c r="E534" s="301">
        <f t="shared" ref="E534:H537" si="159">E524</f>
        <v>69203.595244776137</v>
      </c>
      <c r="F534" s="301">
        <f t="shared" si="159"/>
        <v>0</v>
      </c>
      <c r="G534" s="301">
        <f t="shared" si="159"/>
        <v>980.17701647179479</v>
      </c>
      <c r="H534" s="301">
        <f t="shared" si="159"/>
        <v>20885.298507462685</v>
      </c>
      <c r="I534" s="301"/>
      <c r="J534" s="301">
        <f>J524</f>
        <v>1290.7942746268654</v>
      </c>
      <c r="K534" s="301">
        <f t="shared" si="157"/>
        <v>92359.865043337471</v>
      </c>
      <c r="L534" s="301">
        <f>K534*0.15</f>
        <v>13853.979756500621</v>
      </c>
      <c r="M534" s="315">
        <f t="shared" si="158"/>
        <v>106213.84479983809</v>
      </c>
      <c r="N534" s="301"/>
      <c r="O534" s="301">
        <f>O524</f>
        <v>1819.9152698048222</v>
      </c>
    </row>
    <row r="535" spans="1:15" s="308" customFormat="1" ht="12.75" customHeight="1">
      <c r="A535" s="1036"/>
      <c r="B535" s="1035"/>
      <c r="C535" s="1036"/>
      <c r="D535" s="298">
        <v>2</v>
      </c>
      <c r="E535" s="301">
        <f t="shared" si="159"/>
        <v>75744.614187804895</v>
      </c>
      <c r="F535" s="301">
        <f t="shared" si="159"/>
        <v>0</v>
      </c>
      <c r="G535" s="301">
        <f t="shared" si="159"/>
        <v>1012.6313625244424</v>
      </c>
      <c r="H535" s="301">
        <f t="shared" si="159"/>
        <v>19578.414634146342</v>
      </c>
      <c r="I535" s="301"/>
      <c r="J535" s="301">
        <f>J525</f>
        <v>1315.0936536585366</v>
      </c>
      <c r="K535" s="301">
        <f t="shared" si="157"/>
        <v>97650.753838134216</v>
      </c>
      <c r="L535" s="301">
        <f>K535*0.15</f>
        <v>14647.613075720132</v>
      </c>
      <c r="M535" s="315">
        <f t="shared" si="158"/>
        <v>112298.36691385435</v>
      </c>
      <c r="N535" s="301"/>
      <c r="O535" s="301">
        <f>O525</f>
        <v>1977.339774859287</v>
      </c>
    </row>
    <row r="536" spans="1:15" s="308" customFormat="1" ht="12.75" customHeight="1">
      <c r="A536" s="1036"/>
      <c r="B536" s="1035"/>
      <c r="C536" s="1036"/>
      <c r="D536" s="298">
        <v>3</v>
      </c>
      <c r="E536" s="301">
        <f t="shared" si="159"/>
        <v>82785.450294845374</v>
      </c>
      <c r="F536" s="301">
        <f t="shared" si="159"/>
        <v>0</v>
      </c>
      <c r="G536" s="301">
        <f t="shared" si="159"/>
        <v>1095.4611478895056</v>
      </c>
      <c r="H536" s="301">
        <f t="shared" si="159"/>
        <v>18675.721649484534</v>
      </c>
      <c r="I536" s="301"/>
      <c r="J536" s="301">
        <f>J526</f>
        <v>1413.0923381443301</v>
      </c>
      <c r="K536" s="301">
        <f t="shared" si="157"/>
        <v>103969.72543036375</v>
      </c>
      <c r="L536" s="301">
        <f>K536*0.15</f>
        <v>15595.45881455456</v>
      </c>
      <c r="M536" s="315">
        <f t="shared" si="158"/>
        <v>119565.1842449183</v>
      </c>
      <c r="N536" s="301"/>
      <c r="O536" s="301">
        <f>O526</f>
        <v>2148.9149881046787</v>
      </c>
    </row>
    <row r="537" spans="1:15" s="308" customFormat="1" ht="12.75" customHeight="1">
      <c r="A537" s="1036"/>
      <c r="B537" s="1035"/>
      <c r="C537" s="1036"/>
      <c r="D537" s="298">
        <v>4</v>
      </c>
      <c r="E537" s="301">
        <f t="shared" si="159"/>
        <v>90251.839470222229</v>
      </c>
      <c r="F537" s="301">
        <f t="shared" si="159"/>
        <v>0</v>
      </c>
      <c r="G537" s="301">
        <f t="shared" si="159"/>
        <v>1163.331156874264</v>
      </c>
      <c r="H537" s="301">
        <f t="shared" si="159"/>
        <v>17995.826666666668</v>
      </c>
      <c r="I537" s="301"/>
      <c r="J537" s="301">
        <f>J527</f>
        <v>1495.02612</v>
      </c>
      <c r="K537" s="301">
        <f t="shared" si="157"/>
        <v>110906.02341376315</v>
      </c>
      <c r="L537" s="301">
        <f>K537*0.15</f>
        <v>16635.903512064473</v>
      </c>
      <c r="M537" s="315">
        <f t="shared" si="158"/>
        <v>127541.92692582762</v>
      </c>
      <c r="N537" s="301"/>
      <c r="O537" s="301">
        <f>O527</f>
        <v>2331.9939829059826</v>
      </c>
    </row>
    <row r="538" spans="1:15" s="308" customFormat="1" ht="13.5">
      <c r="A538" s="298" t="s">
        <v>325</v>
      </c>
      <c r="B538" s="340" t="s">
        <v>423</v>
      </c>
      <c r="C538" s="298"/>
      <c r="D538" s="298"/>
      <c r="E538" s="301"/>
      <c r="F538" s="301"/>
      <c r="G538" s="301"/>
      <c r="H538" s="301"/>
      <c r="I538" s="301"/>
      <c r="J538" s="301"/>
      <c r="K538" s="301"/>
      <c r="L538" s="301"/>
      <c r="M538" s="315"/>
      <c r="N538" s="301"/>
      <c r="O538" s="301"/>
    </row>
    <row r="539" spans="1:15" s="308" customFormat="1">
      <c r="A539" s="1036"/>
      <c r="B539" s="1037" t="s">
        <v>330</v>
      </c>
      <c r="C539" s="1036" t="s">
        <v>49</v>
      </c>
      <c r="D539" s="298">
        <v>1</v>
      </c>
      <c r="E539" s="301">
        <f t="shared" ref="E539:G546" si="160">E520*0.9</f>
        <v>531043.69978964562</v>
      </c>
      <c r="F539" s="301">
        <f t="shared" si="160"/>
        <v>27359.411538461543</v>
      </c>
      <c r="G539" s="301">
        <f t="shared" si="160"/>
        <v>3395.3680935706088</v>
      </c>
      <c r="H539" s="301">
        <f t="shared" ref="H539:H546" si="161">H520</f>
        <v>63041.162574626862</v>
      </c>
      <c r="I539" s="301"/>
      <c r="J539" s="301">
        <f t="shared" ref="J539:J546" si="162">J520*0.9</f>
        <v>77.130900000000011</v>
      </c>
      <c r="K539" s="301">
        <f t="shared" ref="K539:K546" si="163">SUM(E539:J539)</f>
        <v>624916.77289630461</v>
      </c>
      <c r="L539" s="301">
        <f>K539*0.25</f>
        <v>156229.19322407615</v>
      </c>
      <c r="M539" s="315">
        <f t="shared" ref="M539:M546" si="164">K539+L539</f>
        <v>781145.96612038079</v>
      </c>
      <c r="N539" s="301">
        <f>M539+M543</f>
        <v>879140.23576859327</v>
      </c>
      <c r="O539" s="301">
        <f t="shared" ref="O539:O546" si="165">O520*0.9</f>
        <v>15102.199232204361</v>
      </c>
    </row>
    <row r="540" spans="1:15" s="308" customFormat="1" ht="15" customHeight="1">
      <c r="A540" s="1036"/>
      <c r="B540" s="1035"/>
      <c r="C540" s="1036"/>
      <c r="D540" s="298">
        <v>2</v>
      </c>
      <c r="E540" s="301">
        <f t="shared" si="160"/>
        <v>634855.17738567095</v>
      </c>
      <c r="F540" s="301">
        <f t="shared" si="160"/>
        <v>32844.392307692302</v>
      </c>
      <c r="G540" s="301">
        <f t="shared" si="160"/>
        <v>4183.1819148686682</v>
      </c>
      <c r="H540" s="301">
        <f t="shared" si="161"/>
        <v>51991.836036585366</v>
      </c>
      <c r="I540" s="301"/>
      <c r="J540" s="301">
        <f t="shared" si="162"/>
        <v>96.96456000000002</v>
      </c>
      <c r="K540" s="301">
        <f t="shared" si="163"/>
        <v>723971.5522048173</v>
      </c>
      <c r="L540" s="301">
        <f>K540*0.25</f>
        <v>180992.88805120433</v>
      </c>
      <c r="M540" s="315">
        <f t="shared" si="164"/>
        <v>904964.44025602168</v>
      </c>
      <c r="N540" s="301">
        <f>M540+M544</f>
        <v>1008284.4881614174</v>
      </c>
      <c r="O540" s="301">
        <f t="shared" si="165"/>
        <v>18045.385201688558</v>
      </c>
    </row>
    <row r="541" spans="1:15" s="308" customFormat="1" ht="15" customHeight="1">
      <c r="A541" s="1036"/>
      <c r="B541" s="1035"/>
      <c r="C541" s="1036"/>
      <c r="D541" s="298">
        <v>3</v>
      </c>
      <c r="E541" s="301">
        <f t="shared" si="160"/>
        <v>764626.19215592812</v>
      </c>
      <c r="F541" s="301">
        <f t="shared" si="160"/>
        <v>39409.996153846158</v>
      </c>
      <c r="G541" s="301">
        <f t="shared" si="160"/>
        <v>5521.3712192704206</v>
      </c>
      <c r="H541" s="301">
        <f t="shared" si="161"/>
        <v>44359.826984536077</v>
      </c>
      <c r="I541" s="301"/>
      <c r="J541" s="301">
        <f t="shared" si="162"/>
        <v>129.41964000000002</v>
      </c>
      <c r="K541" s="301">
        <f t="shared" si="163"/>
        <v>854046.80615358078</v>
      </c>
      <c r="L541" s="301">
        <f>K541*0.25</f>
        <v>213511.70153839519</v>
      </c>
      <c r="M541" s="315">
        <f t="shared" si="164"/>
        <v>1067558.5076919759</v>
      </c>
      <c r="N541" s="301">
        <f>M541+M545</f>
        <v>1177314.881502093</v>
      </c>
      <c r="O541" s="301">
        <f t="shared" si="165"/>
        <v>21726.52547581285</v>
      </c>
    </row>
    <row r="542" spans="1:15" s="308" customFormat="1" ht="15" customHeight="1">
      <c r="A542" s="1036"/>
      <c r="B542" s="1035"/>
      <c r="C542" s="1036"/>
      <c r="D542" s="298">
        <v>4</v>
      </c>
      <c r="E542" s="301">
        <f t="shared" si="160"/>
        <v>914449.91082500014</v>
      </c>
      <c r="F542" s="301">
        <f t="shared" si="160"/>
        <v>47285.446153846155</v>
      </c>
      <c r="G542" s="301">
        <f t="shared" si="160"/>
        <v>6574.846435897437</v>
      </c>
      <c r="H542" s="301">
        <f t="shared" si="161"/>
        <v>38611.510833333334</v>
      </c>
      <c r="I542" s="301"/>
      <c r="J542" s="301">
        <f t="shared" si="162"/>
        <v>153.86112000000003</v>
      </c>
      <c r="K542" s="301">
        <f t="shared" si="163"/>
        <v>1007075.575368077</v>
      </c>
      <c r="L542" s="301">
        <f>K542*0.25</f>
        <v>251768.89384201926</v>
      </c>
      <c r="M542" s="315">
        <f t="shared" si="164"/>
        <v>1258844.4692100962</v>
      </c>
      <c r="N542" s="301">
        <f>M542+M546</f>
        <v>1375701.7235100076</v>
      </c>
      <c r="O542" s="301">
        <f t="shared" si="165"/>
        <v>25977.748076923071</v>
      </c>
    </row>
    <row r="543" spans="1:15" s="308" customFormat="1" ht="12.75" customHeight="1">
      <c r="A543" s="1036"/>
      <c r="B543" s="1037" t="s">
        <v>331</v>
      </c>
      <c r="C543" s="1036" t="s">
        <v>49</v>
      </c>
      <c r="D543" s="333" t="s">
        <v>18</v>
      </c>
      <c r="E543" s="301">
        <f t="shared" si="160"/>
        <v>62283.235720298522</v>
      </c>
      <c r="F543" s="301">
        <f t="shared" si="160"/>
        <v>0</v>
      </c>
      <c r="G543" s="301">
        <f t="shared" si="160"/>
        <v>882.15931482461531</v>
      </c>
      <c r="H543" s="301">
        <f t="shared" si="161"/>
        <v>20885.298507462685</v>
      </c>
      <c r="I543" s="301"/>
      <c r="J543" s="301">
        <f t="shared" si="162"/>
        <v>1161.714847164179</v>
      </c>
      <c r="K543" s="301">
        <f t="shared" si="163"/>
        <v>85212.40838975001</v>
      </c>
      <c r="L543" s="301">
        <f>K543*0.15</f>
        <v>12781.861258462501</v>
      </c>
      <c r="M543" s="315">
        <f t="shared" si="164"/>
        <v>97994.269648212503</v>
      </c>
      <c r="N543" s="301"/>
      <c r="O543" s="301">
        <f t="shared" si="165"/>
        <v>1637.92374282434</v>
      </c>
    </row>
    <row r="544" spans="1:15" s="308" customFormat="1" ht="12.75" customHeight="1">
      <c r="A544" s="1036"/>
      <c r="B544" s="1035"/>
      <c r="C544" s="1036"/>
      <c r="D544" s="298">
        <v>2</v>
      </c>
      <c r="E544" s="301">
        <f t="shared" si="160"/>
        <v>68170.152769024411</v>
      </c>
      <c r="F544" s="301">
        <f t="shared" si="160"/>
        <v>0</v>
      </c>
      <c r="G544" s="301">
        <f t="shared" si="160"/>
        <v>911.36822627199808</v>
      </c>
      <c r="H544" s="301">
        <f t="shared" si="161"/>
        <v>19578.414634146342</v>
      </c>
      <c r="I544" s="301"/>
      <c r="J544" s="301">
        <f t="shared" si="162"/>
        <v>1183.5842882926829</v>
      </c>
      <c r="K544" s="301">
        <f t="shared" si="163"/>
        <v>89843.519917735422</v>
      </c>
      <c r="L544" s="301">
        <f>K544*0.15</f>
        <v>13476.527987660313</v>
      </c>
      <c r="M544" s="315">
        <f t="shared" si="164"/>
        <v>103320.04790539574</v>
      </c>
      <c r="N544" s="301"/>
      <c r="O544" s="301">
        <f t="shared" si="165"/>
        <v>1779.6057973733584</v>
      </c>
    </row>
    <row r="545" spans="1:15" s="308" customFormat="1" ht="12.75" customHeight="1">
      <c r="A545" s="1036"/>
      <c r="B545" s="1035"/>
      <c r="C545" s="1036"/>
      <c r="D545" s="298">
        <v>3</v>
      </c>
      <c r="E545" s="301">
        <f t="shared" si="160"/>
        <v>74506.905265360838</v>
      </c>
      <c r="F545" s="301">
        <f t="shared" si="160"/>
        <v>0</v>
      </c>
      <c r="G545" s="301">
        <f t="shared" si="160"/>
        <v>985.91503310055509</v>
      </c>
      <c r="H545" s="301">
        <f t="shared" si="161"/>
        <v>18675.721649484534</v>
      </c>
      <c r="I545" s="301"/>
      <c r="J545" s="301">
        <f t="shared" si="162"/>
        <v>1271.7831043298972</v>
      </c>
      <c r="K545" s="301">
        <f t="shared" si="163"/>
        <v>95440.325052275817</v>
      </c>
      <c r="L545" s="301">
        <f>K545*0.15</f>
        <v>14316.048757841372</v>
      </c>
      <c r="M545" s="315">
        <f t="shared" si="164"/>
        <v>109756.37381011719</v>
      </c>
      <c r="N545" s="301"/>
      <c r="O545" s="301">
        <f t="shared" si="165"/>
        <v>1934.023489294211</v>
      </c>
    </row>
    <row r="546" spans="1:15" s="308" customFormat="1" ht="12.75" customHeight="1">
      <c r="A546" s="1036"/>
      <c r="B546" s="1035"/>
      <c r="C546" s="1036"/>
      <c r="D546" s="298">
        <v>4</v>
      </c>
      <c r="E546" s="301">
        <f t="shared" si="160"/>
        <v>81226.65552320001</v>
      </c>
      <c r="F546" s="301">
        <f t="shared" si="160"/>
        <v>0</v>
      </c>
      <c r="G546" s="301">
        <f t="shared" si="160"/>
        <v>1046.9980411868376</v>
      </c>
      <c r="H546" s="301">
        <f t="shared" si="161"/>
        <v>17995.826666666668</v>
      </c>
      <c r="I546" s="301"/>
      <c r="J546" s="301">
        <f t="shared" si="162"/>
        <v>1345.523508</v>
      </c>
      <c r="K546" s="301">
        <f t="shared" si="163"/>
        <v>101615.00373905351</v>
      </c>
      <c r="L546" s="301">
        <f>K546*0.15</f>
        <v>15242.250560858027</v>
      </c>
      <c r="M546" s="315">
        <f t="shared" si="164"/>
        <v>116857.25429991154</v>
      </c>
      <c r="N546" s="301"/>
      <c r="O546" s="301">
        <f t="shared" si="165"/>
        <v>2098.7945846153843</v>
      </c>
    </row>
    <row r="547" spans="1:15" s="308" customFormat="1" ht="12.75" customHeight="1">
      <c r="A547" s="298" t="s">
        <v>334</v>
      </c>
      <c r="B547" s="340" t="s">
        <v>424</v>
      </c>
      <c r="C547" s="298"/>
      <c r="D547" s="298"/>
      <c r="E547" s="301"/>
      <c r="F547" s="301"/>
      <c r="G547" s="301"/>
      <c r="H547" s="301"/>
      <c r="I547" s="301"/>
      <c r="J547" s="301"/>
      <c r="K547" s="301"/>
      <c r="L547" s="301"/>
      <c r="M547" s="315"/>
      <c r="N547" s="301"/>
      <c r="O547" s="301"/>
    </row>
    <row r="548" spans="1:15" s="308" customFormat="1">
      <c r="A548" s="1036"/>
      <c r="B548" s="1037" t="s">
        <v>330</v>
      </c>
      <c r="C548" s="1036" t="s">
        <v>49</v>
      </c>
      <c r="D548" s="298">
        <v>1</v>
      </c>
      <c r="E548" s="301">
        <f t="shared" ref="E548:G555" si="166">E520*0.8</f>
        <v>472038.84425746277</v>
      </c>
      <c r="F548" s="301">
        <f t="shared" si="166"/>
        <v>24319.476923076931</v>
      </c>
      <c r="G548" s="301">
        <f t="shared" si="166"/>
        <v>3018.1049720627634</v>
      </c>
      <c r="H548" s="301">
        <f t="shared" ref="H548:H555" si="167">H520</f>
        <v>63041.162574626862</v>
      </c>
      <c r="I548" s="301"/>
      <c r="J548" s="301">
        <f t="shared" ref="J548:J555" si="168">J520*0.8</f>
        <v>68.560800000000015</v>
      </c>
      <c r="K548" s="301">
        <f t="shared" ref="K548:K555" si="169">SUM(E548:J548)</f>
        <v>562486.14952722925</v>
      </c>
      <c r="L548" s="301">
        <f>K548*0.25</f>
        <v>140621.53738180731</v>
      </c>
      <c r="M548" s="315">
        <f t="shared" ref="M548:M555" si="170">K548+L548</f>
        <v>703107.68690903659</v>
      </c>
      <c r="N548" s="301">
        <f>M548+M552</f>
        <v>792882.38140562351</v>
      </c>
      <c r="O548" s="301">
        <f t="shared" ref="O548:O555" si="171">O520*0.8</f>
        <v>13424.177095292765</v>
      </c>
    </row>
    <row r="549" spans="1:15" s="308" customFormat="1" ht="15" customHeight="1">
      <c r="A549" s="1036"/>
      <c r="B549" s="1035"/>
      <c r="C549" s="1036"/>
      <c r="D549" s="298">
        <v>2</v>
      </c>
      <c r="E549" s="301">
        <f t="shared" si="166"/>
        <v>564315.71323170746</v>
      </c>
      <c r="F549" s="301">
        <f t="shared" si="166"/>
        <v>29195.015384615384</v>
      </c>
      <c r="G549" s="301">
        <f t="shared" si="166"/>
        <v>3718.3839243277052</v>
      </c>
      <c r="H549" s="301">
        <f t="shared" si="167"/>
        <v>51991.836036585366</v>
      </c>
      <c r="I549" s="301"/>
      <c r="J549" s="301">
        <f t="shared" si="168"/>
        <v>86.190720000000013</v>
      </c>
      <c r="K549" s="301">
        <f t="shared" si="169"/>
        <v>649307.13929723587</v>
      </c>
      <c r="L549" s="301">
        <f>K549*0.25</f>
        <v>162326.78482430897</v>
      </c>
      <c r="M549" s="315">
        <f t="shared" si="170"/>
        <v>811633.92412154481</v>
      </c>
      <c r="N549" s="301">
        <f>M549+M553</f>
        <v>905975.65301848191</v>
      </c>
      <c r="O549" s="301">
        <f t="shared" si="171"/>
        <v>16040.34240150094</v>
      </c>
    </row>
    <row r="550" spans="1:15" s="308" customFormat="1" ht="15" customHeight="1">
      <c r="A550" s="1036"/>
      <c r="B550" s="1035"/>
      <c r="C550" s="1036"/>
      <c r="D550" s="298">
        <v>3</v>
      </c>
      <c r="E550" s="301">
        <f t="shared" si="166"/>
        <v>679667.72636082501</v>
      </c>
      <c r="F550" s="301">
        <f t="shared" si="166"/>
        <v>35031.107692307698</v>
      </c>
      <c r="G550" s="301">
        <f t="shared" si="166"/>
        <v>4907.8855282403738</v>
      </c>
      <c r="H550" s="301">
        <f t="shared" si="167"/>
        <v>44359.826984536077</v>
      </c>
      <c r="I550" s="301"/>
      <c r="J550" s="301">
        <f t="shared" si="168"/>
        <v>115.03968</v>
      </c>
      <c r="K550" s="301">
        <f t="shared" si="169"/>
        <v>764081.58624590922</v>
      </c>
      <c r="L550" s="301">
        <f>K550*0.25</f>
        <v>191020.3965614773</v>
      </c>
      <c r="M550" s="315">
        <f t="shared" si="170"/>
        <v>955101.98280738655</v>
      </c>
      <c r="N550" s="301">
        <f>M550+M554</f>
        <v>1055049.5461827028</v>
      </c>
      <c r="O550" s="301">
        <f t="shared" si="171"/>
        <v>19312.467089611422</v>
      </c>
    </row>
    <row r="551" spans="1:15" s="308" customFormat="1" ht="15" customHeight="1">
      <c r="A551" s="1036"/>
      <c r="B551" s="1035"/>
      <c r="C551" s="1036"/>
      <c r="D551" s="298">
        <v>4</v>
      </c>
      <c r="E551" s="301">
        <f t="shared" si="166"/>
        <v>812844.36517777795</v>
      </c>
      <c r="F551" s="301">
        <f t="shared" si="166"/>
        <v>42031.507692307699</v>
      </c>
      <c r="G551" s="301">
        <f t="shared" si="166"/>
        <v>5844.3079430199441</v>
      </c>
      <c r="H551" s="301">
        <f t="shared" si="167"/>
        <v>38611.510833333334</v>
      </c>
      <c r="I551" s="301"/>
      <c r="J551" s="301">
        <f t="shared" si="168"/>
        <v>136.76544000000001</v>
      </c>
      <c r="K551" s="301">
        <f t="shared" si="169"/>
        <v>899468.4570864389</v>
      </c>
      <c r="L551" s="301">
        <f>K551*0.25</f>
        <v>224867.11427160972</v>
      </c>
      <c r="M551" s="315">
        <f t="shared" si="170"/>
        <v>1124335.5713580486</v>
      </c>
      <c r="N551" s="301">
        <f>M551+M555</f>
        <v>1230508.1530320439</v>
      </c>
      <c r="O551" s="301">
        <f t="shared" si="171"/>
        <v>23091.331623931619</v>
      </c>
    </row>
    <row r="552" spans="1:15" s="308" customFormat="1" ht="12.75" customHeight="1">
      <c r="A552" s="1036"/>
      <c r="B552" s="1037" t="s">
        <v>331</v>
      </c>
      <c r="C552" s="1036" t="s">
        <v>49</v>
      </c>
      <c r="D552" s="333" t="s">
        <v>18</v>
      </c>
      <c r="E552" s="301">
        <f t="shared" si="166"/>
        <v>55362.876195820914</v>
      </c>
      <c r="F552" s="301">
        <f t="shared" si="166"/>
        <v>0</v>
      </c>
      <c r="G552" s="301">
        <f t="shared" si="166"/>
        <v>784.14161317743583</v>
      </c>
      <c r="H552" s="301">
        <f t="shared" si="167"/>
        <v>20885.298507462685</v>
      </c>
      <c r="I552" s="301"/>
      <c r="J552" s="301">
        <f t="shared" si="168"/>
        <v>1032.6354197014923</v>
      </c>
      <c r="K552" s="301">
        <f t="shared" si="169"/>
        <v>78064.951736162533</v>
      </c>
      <c r="L552" s="301">
        <f>K552*0.15</f>
        <v>11709.74276042438</v>
      </c>
      <c r="M552" s="315">
        <f t="shared" si="170"/>
        <v>89774.694496586919</v>
      </c>
      <c r="N552" s="301"/>
      <c r="O552" s="301">
        <f t="shared" si="171"/>
        <v>1455.9322158438579</v>
      </c>
    </row>
    <row r="553" spans="1:15" s="308" customFormat="1" ht="12.75" customHeight="1">
      <c r="A553" s="1036"/>
      <c r="B553" s="1035"/>
      <c r="C553" s="1036"/>
      <c r="D553" s="298">
        <v>2</v>
      </c>
      <c r="E553" s="301">
        <f t="shared" si="166"/>
        <v>60595.69135024392</v>
      </c>
      <c r="F553" s="301">
        <f t="shared" si="166"/>
        <v>0</v>
      </c>
      <c r="G553" s="301">
        <f t="shared" si="166"/>
        <v>810.10509001955393</v>
      </c>
      <c r="H553" s="301">
        <f t="shared" si="167"/>
        <v>19578.414634146342</v>
      </c>
      <c r="I553" s="301"/>
      <c r="J553" s="301">
        <f t="shared" si="168"/>
        <v>1052.0749229268292</v>
      </c>
      <c r="K553" s="301">
        <f t="shared" si="169"/>
        <v>82036.285997336643</v>
      </c>
      <c r="L553" s="301">
        <f>K553*0.15</f>
        <v>12305.442899600495</v>
      </c>
      <c r="M553" s="315">
        <f t="shared" si="170"/>
        <v>94341.728896937144</v>
      </c>
      <c r="N553" s="301"/>
      <c r="O553" s="301">
        <f t="shared" si="171"/>
        <v>1581.8718198874296</v>
      </c>
    </row>
    <row r="554" spans="1:15" s="308" customFormat="1" ht="12.75" customHeight="1">
      <c r="A554" s="1036"/>
      <c r="B554" s="1035"/>
      <c r="C554" s="1036"/>
      <c r="D554" s="298">
        <v>3</v>
      </c>
      <c r="E554" s="301">
        <f t="shared" si="166"/>
        <v>66228.360235876302</v>
      </c>
      <c r="F554" s="301">
        <f t="shared" si="166"/>
        <v>0</v>
      </c>
      <c r="G554" s="301">
        <f t="shared" si="166"/>
        <v>876.36891831160449</v>
      </c>
      <c r="H554" s="301">
        <f t="shared" si="167"/>
        <v>18675.721649484534</v>
      </c>
      <c r="I554" s="301"/>
      <c r="J554" s="301">
        <f t="shared" si="168"/>
        <v>1130.4738705154641</v>
      </c>
      <c r="K554" s="301">
        <f t="shared" si="169"/>
        <v>86910.924674187903</v>
      </c>
      <c r="L554" s="301">
        <f>K554*0.15</f>
        <v>13036.638701128186</v>
      </c>
      <c r="M554" s="315">
        <f t="shared" si="170"/>
        <v>99947.563375316095</v>
      </c>
      <c r="N554" s="301"/>
      <c r="O554" s="301">
        <f t="shared" si="171"/>
        <v>1719.131990483743</v>
      </c>
    </row>
    <row r="555" spans="1:15" s="308" customFormat="1" ht="12.75" customHeight="1">
      <c r="A555" s="1036"/>
      <c r="B555" s="1035"/>
      <c r="C555" s="1036"/>
      <c r="D555" s="298">
        <v>4</v>
      </c>
      <c r="E555" s="301">
        <f t="shared" si="166"/>
        <v>72201.471576177792</v>
      </c>
      <c r="F555" s="301">
        <f t="shared" si="166"/>
        <v>0</v>
      </c>
      <c r="G555" s="301">
        <f t="shared" si="166"/>
        <v>930.66492549941131</v>
      </c>
      <c r="H555" s="301">
        <f t="shared" si="167"/>
        <v>17995.826666666668</v>
      </c>
      <c r="I555" s="301"/>
      <c r="J555" s="301">
        <f t="shared" si="168"/>
        <v>1196.020896</v>
      </c>
      <c r="K555" s="301">
        <f t="shared" si="169"/>
        <v>92323.98406434388</v>
      </c>
      <c r="L555" s="301">
        <f>K555*0.15</f>
        <v>13848.597609651582</v>
      </c>
      <c r="M555" s="315">
        <f t="shared" si="170"/>
        <v>106172.58167399546</v>
      </c>
      <c r="N555" s="301"/>
      <c r="O555" s="301">
        <f t="shared" si="171"/>
        <v>1865.5951863247863</v>
      </c>
    </row>
    <row r="556" spans="1:15" s="308" customFormat="1" ht="12.75" customHeight="1">
      <c r="A556" s="298" t="s">
        <v>335</v>
      </c>
      <c r="B556" s="340" t="s">
        <v>491</v>
      </c>
      <c r="C556" s="298"/>
      <c r="D556" s="298"/>
      <c r="E556" s="301"/>
      <c r="F556" s="301"/>
      <c r="G556" s="301"/>
      <c r="H556" s="301"/>
      <c r="I556" s="301"/>
      <c r="J556" s="301"/>
      <c r="K556" s="301"/>
      <c r="L556" s="301"/>
      <c r="M556" s="315"/>
      <c r="N556" s="301"/>
      <c r="O556" s="301"/>
    </row>
    <row r="557" spans="1:15" s="308" customFormat="1" ht="13.9" customHeight="1">
      <c r="A557" s="1036"/>
      <c r="B557" s="1035" t="s">
        <v>389</v>
      </c>
      <c r="C557" s="1036" t="s">
        <v>49</v>
      </c>
      <c r="D557" s="333" t="s">
        <v>18</v>
      </c>
      <c r="E557" s="301">
        <f>E$584/100+(E$586+E$587)/$C524</f>
        <v>14979.185970149258</v>
      </c>
      <c r="F557" s="301"/>
      <c r="G557" s="301">
        <f t="shared" ref="G557:H560" si="172">G520</f>
        <v>3772.6312150784543</v>
      </c>
      <c r="H557" s="301">
        <f t="shared" si="172"/>
        <v>63041.162574626862</v>
      </c>
      <c r="I557" s="301"/>
      <c r="J557" s="301">
        <f>J520</f>
        <v>85.701000000000008</v>
      </c>
      <c r="K557" s="301">
        <f>SUM(E557:J557)</f>
        <v>81878.680759854571</v>
      </c>
      <c r="L557" s="301">
        <f>K557*0.15</f>
        <v>12281.802113978185</v>
      </c>
      <c r="M557" s="315">
        <f>K557+L557</f>
        <v>94160.482873832749</v>
      </c>
      <c r="N557" s="301">
        <f>M557</f>
        <v>94160.482873832749</v>
      </c>
      <c r="O557" s="301">
        <f>O$584/100+(O$586+O$587)/$C524</f>
        <v>424.08725602755453</v>
      </c>
    </row>
    <row r="558" spans="1:15" s="308" customFormat="1" ht="13.9" customHeight="1">
      <c r="A558" s="1036"/>
      <c r="B558" s="1035"/>
      <c r="C558" s="1036"/>
      <c r="D558" s="333" t="s">
        <v>20</v>
      </c>
      <c r="E558" s="301">
        <f>E$584/100+(E$586+E$587)/$C525</f>
        <v>14125.252256097565</v>
      </c>
      <c r="F558" s="301"/>
      <c r="G558" s="301">
        <f t="shared" si="172"/>
        <v>4647.9799054096311</v>
      </c>
      <c r="H558" s="301">
        <f t="shared" si="172"/>
        <v>51991.836036585366</v>
      </c>
      <c r="I558" s="301"/>
      <c r="J558" s="301">
        <f>J521</f>
        <v>107.73840000000001</v>
      </c>
      <c r="K558" s="301">
        <f>SUM(E558:J558)</f>
        <v>70872.80659809256</v>
      </c>
      <c r="L558" s="301">
        <f>K558*0.15</f>
        <v>10630.920989713884</v>
      </c>
      <c r="M558" s="315">
        <f>K558+L558</f>
        <v>81503.727587806439</v>
      </c>
      <c r="N558" s="301">
        <f>M558</f>
        <v>81503.727587806439</v>
      </c>
      <c r="O558" s="301">
        <f>O$584/100+(O$586+O$587)/$C525</f>
        <v>399.9108818011257</v>
      </c>
    </row>
    <row r="559" spans="1:15" s="308" customFormat="1" ht="13.9" customHeight="1">
      <c r="A559" s="1036"/>
      <c r="B559" s="1035"/>
      <c r="C559" s="1036"/>
      <c r="D559" s="333" t="s">
        <v>35</v>
      </c>
      <c r="E559" s="301">
        <f>E$584/100+(E$586+E$587)/$C526</f>
        <v>13535.421752577324</v>
      </c>
      <c r="F559" s="301"/>
      <c r="G559" s="301">
        <f t="shared" si="172"/>
        <v>6134.8569103004675</v>
      </c>
      <c r="H559" s="301">
        <f t="shared" si="172"/>
        <v>44359.826984536077</v>
      </c>
      <c r="I559" s="301"/>
      <c r="J559" s="301">
        <f>J522</f>
        <v>143.7996</v>
      </c>
      <c r="K559" s="301">
        <f>SUM(E559:J559)</f>
        <v>64173.905247413866</v>
      </c>
      <c r="L559" s="301">
        <f>K559*0.15</f>
        <v>9626.0857871120788</v>
      </c>
      <c r="M559" s="315">
        <f>K559+L559</f>
        <v>73799.991034525941</v>
      </c>
      <c r="N559" s="301">
        <f>M559</f>
        <v>73799.991034525941</v>
      </c>
      <c r="O559" s="301">
        <f>O$584/100+(O$586+O$587)/$C526</f>
        <v>383.21173671689132</v>
      </c>
    </row>
    <row r="560" spans="1:15" s="308" customFormat="1" ht="13.9" customHeight="1">
      <c r="A560" s="1036"/>
      <c r="B560" s="1035"/>
      <c r="C560" s="1036"/>
      <c r="D560" s="333" t="s">
        <v>33</v>
      </c>
      <c r="E560" s="301">
        <f>E$584/100+(E$586+E$587)/$C527</f>
        <v>13091.170155555559</v>
      </c>
      <c r="F560" s="301"/>
      <c r="G560" s="301">
        <f t="shared" si="172"/>
        <v>7305.3849287749299</v>
      </c>
      <c r="H560" s="301">
        <f t="shared" si="172"/>
        <v>38611.510833333334</v>
      </c>
      <c r="I560" s="301"/>
      <c r="J560" s="301">
        <f>J523</f>
        <v>170.95680000000002</v>
      </c>
      <c r="K560" s="301">
        <f>SUM(E560:J560)</f>
        <v>59179.022717663822</v>
      </c>
      <c r="L560" s="301">
        <f>K560*0.15</f>
        <v>8876.8534076495725</v>
      </c>
      <c r="M560" s="315">
        <f>K560+L560</f>
        <v>68055.8761253134</v>
      </c>
      <c r="N560" s="301">
        <f>M560</f>
        <v>68055.8761253134</v>
      </c>
      <c r="O560" s="301">
        <f>O$584/100+(O$586+O$587)/$C527</f>
        <v>370.63418803418801</v>
      </c>
    </row>
    <row r="561" spans="1:15">
      <c r="A561" s="298">
        <v>1</v>
      </c>
      <c r="B561" s="316" t="s">
        <v>190</v>
      </c>
      <c r="C561" s="333"/>
      <c r="D561" s="333"/>
      <c r="E561" s="301"/>
      <c r="F561" s="301"/>
      <c r="G561" s="301"/>
      <c r="H561" s="301"/>
      <c r="I561" s="301"/>
      <c r="J561" s="301"/>
      <c r="K561" s="301"/>
      <c r="L561" s="301"/>
      <c r="M561" s="302"/>
      <c r="N561" s="301"/>
      <c r="O561" s="301"/>
    </row>
    <row r="562" spans="1:15">
      <c r="A562" s="1043">
        <v>1.1000000000000001</v>
      </c>
      <c r="B562" s="1038" t="str">
        <f>NhanCong!B$150</f>
        <v>Đối soát thực địa (công nhóm/mảnh)</v>
      </c>
      <c r="C562" s="1039" t="s">
        <v>317</v>
      </c>
      <c r="D562" s="319" t="s">
        <v>18</v>
      </c>
      <c r="E562" s="301">
        <f>NhanCong!I$150</f>
        <v>2357533.0625000005</v>
      </c>
      <c r="F562" s="301"/>
      <c r="G562" s="320">
        <f>Dcu!M$200</f>
        <v>19868.974358974359</v>
      </c>
      <c r="H562" s="320">
        <f>VLieu!F$133</f>
        <v>4047000</v>
      </c>
      <c r="I562" s="320"/>
      <c r="J562" s="320"/>
      <c r="K562" s="320">
        <f t="shared" ref="K562:K569" si="173">SUM(E562:J562)</f>
        <v>6424402.036858975</v>
      </c>
      <c r="L562" s="320">
        <f>K562*0.25</f>
        <v>1606100.5092147437</v>
      </c>
      <c r="M562" s="321">
        <f t="shared" ref="M562:M569" si="174">K562+L562</f>
        <v>8030502.5460737189</v>
      </c>
      <c r="N562" s="320"/>
      <c r="O562" s="320">
        <f>NhanCong!J$150</f>
        <v>71764.423076923078</v>
      </c>
    </row>
    <row r="563" spans="1:15">
      <c r="A563" s="1043"/>
      <c r="B563" s="1038"/>
      <c r="C563" s="1039"/>
      <c r="D563" s="319" t="s">
        <v>20</v>
      </c>
      <c r="E563" s="301">
        <f>NhanCong!I$151</f>
        <v>3060797.1625000006</v>
      </c>
      <c r="F563" s="301"/>
      <c r="G563" s="320">
        <f>Dcu!M$201</f>
        <v>24836.217948717949</v>
      </c>
      <c r="H563" s="320">
        <f>VLieu!F$133</f>
        <v>4047000</v>
      </c>
      <c r="I563" s="320"/>
      <c r="J563" s="320"/>
      <c r="K563" s="320">
        <f t="shared" si="173"/>
        <v>7132633.3804487186</v>
      </c>
      <c r="L563" s="320">
        <f t="shared" ref="L563:L573" si="175">K563*0.25</f>
        <v>1783158.3451121796</v>
      </c>
      <c r="M563" s="321">
        <f t="shared" si="174"/>
        <v>8915791.725560898</v>
      </c>
      <c r="N563" s="320"/>
      <c r="O563" s="320">
        <f>NhanCong!J$151</f>
        <v>93172.11538461539</v>
      </c>
    </row>
    <row r="564" spans="1:15">
      <c r="A564" s="1043"/>
      <c r="B564" s="1038"/>
      <c r="C564" s="1039"/>
      <c r="D564" s="319" t="s">
        <v>35</v>
      </c>
      <c r="E564" s="301">
        <f>NhanCong!I$152</f>
        <v>3979835.475000001</v>
      </c>
      <c r="F564" s="301"/>
      <c r="G564" s="320">
        <f>Dcu!M$202</f>
        <v>33114.957264957266</v>
      </c>
      <c r="H564" s="320">
        <f>VLieu!F$133</f>
        <v>4047000</v>
      </c>
      <c r="I564" s="320"/>
      <c r="J564" s="320"/>
      <c r="K564" s="320">
        <f t="shared" si="173"/>
        <v>8059950.4322649585</v>
      </c>
      <c r="L564" s="320">
        <f t="shared" si="175"/>
        <v>2014987.6080662396</v>
      </c>
      <c r="M564" s="321">
        <f t="shared" si="174"/>
        <v>10074938.040331198</v>
      </c>
      <c r="N564" s="320"/>
      <c r="O564" s="320">
        <f>NhanCong!J$152</f>
        <v>121148.07692307694</v>
      </c>
    </row>
    <row r="565" spans="1:15">
      <c r="A565" s="1043"/>
      <c r="B565" s="1038"/>
      <c r="C565" s="1039"/>
      <c r="D565" s="319" t="s">
        <v>33</v>
      </c>
      <c r="E565" s="301">
        <f>NhanCong!I$153</f>
        <v>5170589.4625000013</v>
      </c>
      <c r="F565" s="301"/>
      <c r="G565" s="320">
        <f>Dcu!M$203</f>
        <v>39737.948717948719</v>
      </c>
      <c r="H565" s="320">
        <f>VLieu!F$133</f>
        <v>4047000</v>
      </c>
      <c r="I565" s="320"/>
      <c r="J565" s="320"/>
      <c r="K565" s="320">
        <f t="shared" si="173"/>
        <v>9257327.4112179503</v>
      </c>
      <c r="L565" s="320">
        <f t="shared" si="175"/>
        <v>2314331.8528044876</v>
      </c>
      <c r="M565" s="321">
        <f t="shared" si="174"/>
        <v>11571659.264022438</v>
      </c>
      <c r="N565" s="320"/>
      <c r="O565" s="320">
        <f>NhanCong!J$153</f>
        <v>157395.19230769231</v>
      </c>
    </row>
    <row r="566" spans="1:15">
      <c r="A566" s="1043">
        <v>1.2</v>
      </c>
      <c r="B566" s="1038" t="str">
        <f>NhanCong!B$156</f>
        <v>Lưới đo vẽ (công nhóm/100 thửa có biến động cần chỉnh lý)</v>
      </c>
      <c r="C566" s="1040" t="s">
        <v>329</v>
      </c>
      <c r="D566" s="319" t="s">
        <v>18</v>
      </c>
      <c r="E566" s="301">
        <f>NhanCong!I$156</f>
        <v>4145887.2812500009</v>
      </c>
      <c r="F566" s="301"/>
      <c r="G566" s="320">
        <f>Dcu!M$222</f>
        <v>62575.814102564109</v>
      </c>
      <c r="H566" s="320">
        <f>VLieu!K$135</f>
        <v>12562.75</v>
      </c>
      <c r="I566" s="320"/>
      <c r="J566" s="320">
        <f>TBi!N$311</f>
        <v>779.09999999999991</v>
      </c>
      <c r="K566" s="320">
        <f t="shared" si="173"/>
        <v>4221804.9453525646</v>
      </c>
      <c r="L566" s="320">
        <f t="shared" si="175"/>
        <v>1055451.2363381411</v>
      </c>
      <c r="M566" s="321">
        <f t="shared" si="174"/>
        <v>5277256.1816907059</v>
      </c>
      <c r="N566" s="320"/>
      <c r="O566" s="320">
        <f>NhanCong!J$156</f>
        <v>117377.40384615384</v>
      </c>
    </row>
    <row r="567" spans="1:15">
      <c r="A567" s="1043"/>
      <c r="B567" s="1038"/>
      <c r="C567" s="1039" t="s">
        <v>49</v>
      </c>
      <c r="D567" s="319" t="s">
        <v>20</v>
      </c>
      <c r="E567" s="301">
        <f>NhanCong!I$157</f>
        <v>5198470.0625000019</v>
      </c>
      <c r="F567" s="301"/>
      <c r="G567" s="320">
        <f>Dcu!M$223</f>
        <v>78219.76762820514</v>
      </c>
      <c r="H567" s="320">
        <f>VLieu!K$135</f>
        <v>12562.75</v>
      </c>
      <c r="I567" s="320"/>
      <c r="J567" s="320">
        <f>TBi!O$311</f>
        <v>979.44</v>
      </c>
      <c r="K567" s="320">
        <f t="shared" si="173"/>
        <v>5290232.0201282073</v>
      </c>
      <c r="L567" s="320">
        <f t="shared" si="175"/>
        <v>1322558.0050320518</v>
      </c>
      <c r="M567" s="321">
        <f t="shared" si="174"/>
        <v>6612790.0251602586</v>
      </c>
      <c r="N567" s="320"/>
      <c r="O567" s="320">
        <f>NhanCong!J$157</f>
        <v>147177.88461538462</v>
      </c>
    </row>
    <row r="568" spans="1:15">
      <c r="A568" s="1043"/>
      <c r="B568" s="1038"/>
      <c r="C568" s="1039"/>
      <c r="D568" s="319" t="s">
        <v>35</v>
      </c>
      <c r="E568" s="301">
        <f>NhanCong!I$158</f>
        <v>6916972.5625000019</v>
      </c>
      <c r="F568" s="301"/>
      <c r="G568" s="320">
        <f>Dcu!M$224</f>
        <v>104293.02350427351</v>
      </c>
      <c r="H568" s="320">
        <f>VLieu!K$135</f>
        <v>12562.75</v>
      </c>
      <c r="I568" s="320"/>
      <c r="J568" s="320">
        <f>TBi!P$311</f>
        <v>1246.5600000000002</v>
      </c>
      <c r="K568" s="320">
        <f t="shared" si="173"/>
        <v>7035074.8960042754</v>
      </c>
      <c r="L568" s="320">
        <f t="shared" si="175"/>
        <v>1758768.7240010689</v>
      </c>
      <c r="M568" s="321">
        <f t="shared" si="174"/>
        <v>8793843.620005345</v>
      </c>
      <c r="N568" s="320"/>
      <c r="O568" s="320">
        <f>NhanCong!J$158</f>
        <v>195831.73076923078</v>
      </c>
    </row>
    <row r="569" spans="1:15">
      <c r="A569" s="1043"/>
      <c r="B569" s="1038"/>
      <c r="C569" s="1039"/>
      <c r="D569" s="319" t="s">
        <v>33</v>
      </c>
      <c r="E569" s="301">
        <f>NhanCong!I$159</f>
        <v>8291774.5625000019</v>
      </c>
      <c r="F569" s="301"/>
      <c r="G569" s="320">
        <f>Dcu!M$225</f>
        <v>125151.62820512822</v>
      </c>
      <c r="H569" s="320">
        <f>VLieu!K$135</f>
        <v>12562.75</v>
      </c>
      <c r="I569" s="320"/>
      <c r="J569" s="320">
        <f>TBi!Q$311</f>
        <v>1513.68</v>
      </c>
      <c r="K569" s="320">
        <f t="shared" si="173"/>
        <v>8431002.6207051296</v>
      </c>
      <c r="L569" s="320">
        <f t="shared" si="175"/>
        <v>2107750.6551762824</v>
      </c>
      <c r="M569" s="321">
        <f t="shared" si="174"/>
        <v>10538753.275881412</v>
      </c>
      <c r="N569" s="320"/>
      <c r="O569" s="320">
        <f>NhanCong!J$159</f>
        <v>234754.80769230769</v>
      </c>
    </row>
    <row r="570" spans="1:15" ht="12.75" customHeight="1">
      <c r="A570" s="1043">
        <v>1.3</v>
      </c>
      <c r="B570" s="1038" t="str">
        <f>NhanCong!B$162</f>
        <v>Đo đạc ranh giới thửa đất và các đối tượng địa lý có liên quan (công nhóm/100 thửa có biến động cần chỉnh lý)</v>
      </c>
      <c r="C570" s="1040" t="s">
        <v>329</v>
      </c>
      <c r="D570" s="319" t="s">
        <v>18</v>
      </c>
      <c r="E570" s="301">
        <f>NhanCong!I$162</f>
        <v>51340262.187500007</v>
      </c>
      <c r="F570" s="301">
        <f>NhanCong!I$163</f>
        <v>3039934.615384616</v>
      </c>
      <c r="G570" s="320">
        <f>Dcu!M$246</f>
        <v>285032.12179487181</v>
      </c>
      <c r="H570" s="320">
        <f>VLieu!K$145</f>
        <v>251255</v>
      </c>
      <c r="I570" s="320"/>
      <c r="J570" s="320">
        <f>TBi!N$346</f>
        <v>7791</v>
      </c>
      <c r="K570" s="320">
        <f>SUM(E570:J570)</f>
        <v>54924274.924679495</v>
      </c>
      <c r="L570" s="320">
        <f t="shared" si="175"/>
        <v>13731068.731169874</v>
      </c>
      <c r="M570" s="321">
        <f>K570+L570</f>
        <v>68655343.655849367</v>
      </c>
      <c r="N570" s="320"/>
      <c r="O570" s="320">
        <f>NhanCong!J$162</f>
        <v>1453533.6538461538</v>
      </c>
    </row>
    <row r="571" spans="1:15" ht="15" customHeight="1">
      <c r="A571" s="1043"/>
      <c r="B571" s="1038"/>
      <c r="C571" s="1039" t="s">
        <v>49</v>
      </c>
      <c r="D571" s="319" t="s">
        <v>20</v>
      </c>
      <c r="E571" s="301">
        <f>NhanCong!I$164</f>
        <v>61608314.625000015</v>
      </c>
      <c r="F571" s="301">
        <f>NhanCong!I$165</f>
        <v>3649376.923076923</v>
      </c>
      <c r="G571" s="320">
        <f>Dcu!M$247</f>
        <v>356290.15224358975</v>
      </c>
      <c r="H571" s="320">
        <f>VLieu!K$145</f>
        <v>251255</v>
      </c>
      <c r="I571" s="320"/>
      <c r="J571" s="320">
        <f>TBi!O$346</f>
        <v>9794.4000000000015</v>
      </c>
      <c r="K571" s="320">
        <f>SUM(E571:J571)</f>
        <v>65875031.100320525</v>
      </c>
      <c r="L571" s="320">
        <f t="shared" si="175"/>
        <v>16468757.775080131</v>
      </c>
      <c r="M571" s="321">
        <f>K571+L571</f>
        <v>82343788.875400662</v>
      </c>
      <c r="N571" s="320"/>
      <c r="O571" s="320">
        <f>NhanCong!J$164</f>
        <v>1744240.3846153847</v>
      </c>
    </row>
    <row r="572" spans="1:15" ht="15" customHeight="1">
      <c r="A572" s="1043"/>
      <c r="B572" s="1038"/>
      <c r="C572" s="1039"/>
      <c r="D572" s="319" t="s">
        <v>35</v>
      </c>
      <c r="E572" s="301">
        <f>NhanCong!I$166</f>
        <v>73938570.06250003</v>
      </c>
      <c r="F572" s="301">
        <f>NhanCong!I$167</f>
        <v>4378888.461538462</v>
      </c>
      <c r="G572" s="320">
        <f>Dcu!M$248</f>
        <v>475053.53632478637</v>
      </c>
      <c r="H572" s="320">
        <f>VLieu!K$145</f>
        <v>251255</v>
      </c>
      <c r="I572" s="320"/>
      <c r="J572" s="320">
        <f>TBi!P$346</f>
        <v>13133.400000000001</v>
      </c>
      <c r="K572" s="320">
        <f>SUM(E572:J572)</f>
        <v>79056900.460363284</v>
      </c>
      <c r="L572" s="320">
        <f t="shared" si="175"/>
        <v>19764225.115090821</v>
      </c>
      <c r="M572" s="321">
        <f>K572+L572</f>
        <v>98821125.575454101</v>
      </c>
      <c r="N572" s="320"/>
      <c r="O572" s="320">
        <f>NhanCong!J$166</f>
        <v>2093331.730769231</v>
      </c>
    </row>
    <row r="573" spans="1:15" ht="15" customHeight="1">
      <c r="A573" s="1043"/>
      <c r="B573" s="1038"/>
      <c r="C573" s="1039"/>
      <c r="D573" s="319" t="s">
        <v>33</v>
      </c>
      <c r="E573" s="301">
        <f>NhanCong!I$168</f>
        <v>88717691.562500015</v>
      </c>
      <c r="F573" s="301">
        <f>NhanCong!I$169</f>
        <v>5253938.461538462</v>
      </c>
      <c r="G573" s="320">
        <f>Dcu!M$249</f>
        <v>570064.24358974362</v>
      </c>
      <c r="H573" s="320">
        <f>VLieu!K$145</f>
        <v>251255</v>
      </c>
      <c r="I573" s="320"/>
      <c r="J573" s="320">
        <f>TBi!Q$346</f>
        <v>15582</v>
      </c>
      <c r="K573" s="320">
        <f>SUM(E573:J573)</f>
        <v>94808531.267628223</v>
      </c>
      <c r="L573" s="320">
        <f t="shared" si="175"/>
        <v>23702132.816907056</v>
      </c>
      <c r="M573" s="321">
        <f>K573+L573</f>
        <v>118510664.08453527</v>
      </c>
      <c r="N573" s="320"/>
      <c r="O573" s="320">
        <f>NhanCong!J$168</f>
        <v>2511754.8076923075</v>
      </c>
    </row>
    <row r="574" spans="1:15">
      <c r="A574" s="298">
        <v>2</v>
      </c>
      <c r="B574" s="316" t="s">
        <v>192</v>
      </c>
      <c r="C574" s="319"/>
      <c r="D574" s="319"/>
      <c r="E574" s="301"/>
      <c r="F574" s="301"/>
      <c r="G574" s="320"/>
      <c r="H574" s="320"/>
      <c r="I574" s="320"/>
      <c r="J574" s="320"/>
      <c r="K574" s="320"/>
      <c r="L574" s="320"/>
      <c r="M574" s="321"/>
      <c r="N574" s="320"/>
      <c r="O574" s="320"/>
    </row>
    <row r="575" spans="1:15" ht="12.75" customHeight="1">
      <c r="A575" s="1043" t="s">
        <v>268</v>
      </c>
      <c r="B575" s="1038" t="str">
        <f>NhanCong!B$173</f>
        <v>Số hóa BĐĐC: Áp dụng theo mức quy định tại Điều 8, Chương I</v>
      </c>
      <c r="C575" s="1039" t="s">
        <v>317</v>
      </c>
      <c r="D575" s="319" t="s">
        <v>18</v>
      </c>
      <c r="E575" s="301">
        <f t="shared" ref="E575:H579" si="176">E472</f>
        <v>277710.00400000002</v>
      </c>
      <c r="F575" s="301">
        <f t="shared" si="176"/>
        <v>0</v>
      </c>
      <c r="G575" s="301">
        <f t="shared" si="176"/>
        <v>4048.1521859829049</v>
      </c>
      <c r="H575" s="301">
        <f t="shared" si="176"/>
        <v>16368</v>
      </c>
      <c r="I575" s="301"/>
      <c r="J575" s="301">
        <f>J472</f>
        <v>7942.3680000000004</v>
      </c>
      <c r="K575" s="320">
        <f t="shared" ref="K575:K585" si="177">SUM(E575:J575)</f>
        <v>306068.52418598294</v>
      </c>
      <c r="L575" s="320">
        <f>K575*0.15</f>
        <v>45910.278627897438</v>
      </c>
      <c r="M575" s="321">
        <f t="shared" ref="M575:M585" si="178">K575+L575</f>
        <v>351978.80281388038</v>
      </c>
      <c r="N575" s="301">
        <f t="shared" ref="N575:O579" si="179">N472</f>
        <v>0</v>
      </c>
      <c r="O575" s="301">
        <f t="shared" si="179"/>
        <v>7862.461538461539</v>
      </c>
    </row>
    <row r="576" spans="1:15">
      <c r="A576" s="1043"/>
      <c r="B576" s="1038"/>
      <c r="C576" s="1039"/>
      <c r="D576" s="319" t="s">
        <v>20</v>
      </c>
      <c r="E576" s="301">
        <f t="shared" si="176"/>
        <v>306305.8856000001</v>
      </c>
      <c r="F576" s="301">
        <f t="shared" si="176"/>
        <v>0</v>
      </c>
      <c r="G576" s="301">
        <f t="shared" si="176"/>
        <v>4634.0689497435887</v>
      </c>
      <c r="H576" s="301">
        <f t="shared" si="176"/>
        <v>16368</v>
      </c>
      <c r="I576" s="301"/>
      <c r="J576" s="301">
        <f>J473</f>
        <v>9010.848</v>
      </c>
      <c r="K576" s="320">
        <f t="shared" si="177"/>
        <v>336318.80254974368</v>
      </c>
      <c r="L576" s="320">
        <f>K576*0.15</f>
        <v>50447.820382461548</v>
      </c>
      <c r="M576" s="321">
        <f t="shared" si="178"/>
        <v>386766.62293220521</v>
      </c>
      <c r="N576" s="301">
        <f t="shared" si="179"/>
        <v>0</v>
      </c>
      <c r="O576" s="301">
        <f t="shared" si="179"/>
        <v>8672.0615384615376</v>
      </c>
    </row>
    <row r="577" spans="1:17">
      <c r="A577" s="1043"/>
      <c r="B577" s="1038"/>
      <c r="C577" s="1039"/>
      <c r="D577" s="319" t="s">
        <v>35</v>
      </c>
      <c r="E577" s="301">
        <f t="shared" si="176"/>
        <v>339851.05440000002</v>
      </c>
      <c r="F577" s="301">
        <f t="shared" si="176"/>
        <v>0</v>
      </c>
      <c r="G577" s="301">
        <f t="shared" si="176"/>
        <v>5326.5160341880328</v>
      </c>
      <c r="H577" s="301">
        <f t="shared" si="176"/>
        <v>16368</v>
      </c>
      <c r="I577" s="301"/>
      <c r="J577" s="301">
        <f>J474</f>
        <v>10364.256000000001</v>
      </c>
      <c r="K577" s="320">
        <f t="shared" si="177"/>
        <v>371909.82643418806</v>
      </c>
      <c r="L577" s="320">
        <f>K577*0.15</f>
        <v>55786.473965128207</v>
      </c>
      <c r="M577" s="321">
        <f t="shared" si="178"/>
        <v>427696.30039931624</v>
      </c>
      <c r="N577" s="301">
        <f t="shared" si="179"/>
        <v>0</v>
      </c>
      <c r="O577" s="301">
        <f t="shared" si="179"/>
        <v>9621.7846153846149</v>
      </c>
    </row>
    <row r="578" spans="1:17">
      <c r="A578" s="1043"/>
      <c r="B578" s="1038"/>
      <c r="C578" s="1039"/>
      <c r="D578" s="319" t="s">
        <v>33</v>
      </c>
      <c r="E578" s="301">
        <f t="shared" si="176"/>
        <v>378345.51040000003</v>
      </c>
      <c r="F578" s="301">
        <f t="shared" si="176"/>
        <v>0</v>
      </c>
      <c r="G578" s="301">
        <f t="shared" si="176"/>
        <v>6125.4934393162375</v>
      </c>
      <c r="H578" s="301">
        <f t="shared" si="176"/>
        <v>16368</v>
      </c>
      <c r="I578" s="301"/>
      <c r="J578" s="301">
        <f>J475</f>
        <v>11966.976000000001</v>
      </c>
      <c r="K578" s="320">
        <f t="shared" si="177"/>
        <v>412805.97983931628</v>
      </c>
      <c r="L578" s="320">
        <f>K578*0.15</f>
        <v>61920.896975897442</v>
      </c>
      <c r="M578" s="321">
        <f t="shared" si="178"/>
        <v>474726.87681521371</v>
      </c>
      <c r="N578" s="301">
        <f t="shared" si="179"/>
        <v>0</v>
      </c>
      <c r="O578" s="301">
        <f t="shared" si="179"/>
        <v>10711.630769230767</v>
      </c>
    </row>
    <row r="579" spans="1:17">
      <c r="A579" s="1043"/>
      <c r="B579" s="1038"/>
      <c r="C579" s="1039"/>
      <c r="D579" s="319" t="s">
        <v>13</v>
      </c>
      <c r="E579" s="301">
        <f t="shared" si="176"/>
        <v>422339.17440000008</v>
      </c>
      <c r="F579" s="301">
        <f t="shared" si="176"/>
        <v>0</v>
      </c>
      <c r="G579" s="301">
        <f t="shared" si="176"/>
        <v>7031.0011651282039</v>
      </c>
      <c r="H579" s="301">
        <f t="shared" si="176"/>
        <v>16368</v>
      </c>
      <c r="I579" s="301"/>
      <c r="J579" s="301">
        <f>J476</f>
        <v>13854.624</v>
      </c>
      <c r="K579" s="320">
        <f t="shared" si="177"/>
        <v>459592.79956512828</v>
      </c>
      <c r="L579" s="320">
        <f>K579*0.15</f>
        <v>68938.919934769234</v>
      </c>
      <c r="M579" s="321">
        <f t="shared" si="178"/>
        <v>528531.71949989756</v>
      </c>
      <c r="N579" s="301">
        <f t="shared" si="179"/>
        <v>0</v>
      </c>
      <c r="O579" s="301">
        <f t="shared" si="179"/>
        <v>11957.16923076923</v>
      </c>
    </row>
    <row r="580" spans="1:17">
      <c r="A580" s="1043" t="s">
        <v>34</v>
      </c>
      <c r="B580" s="1038" t="str">
        <f>NhanCong!B$174</f>
        <v>Lập bản vẽ BĐĐC (Công nhóm/100 thửa chỉnh lý)</v>
      </c>
      <c r="C580" s="1040" t="s">
        <v>329</v>
      </c>
      <c r="D580" s="319" t="s">
        <v>18</v>
      </c>
      <c r="E580" s="301">
        <f>NhanCong!I$174</f>
        <v>4011729.9200000013</v>
      </c>
      <c r="F580" s="301"/>
      <c r="G580" s="320">
        <f>Dcu!M$271</f>
        <v>24310.638060000001</v>
      </c>
      <c r="H580" s="320">
        <f>VLieu!K$159</f>
        <v>626800</v>
      </c>
      <c r="I580" s="320"/>
      <c r="J580" s="320">
        <f>TBi!N$383</f>
        <v>63930.719999999994</v>
      </c>
      <c r="K580" s="320">
        <f t="shared" si="177"/>
        <v>4726771.2780600013</v>
      </c>
      <c r="L580" s="320">
        <f t="shared" ref="L580:L587" si="180">K580*0.15</f>
        <v>709015.69170900015</v>
      </c>
      <c r="M580" s="321">
        <f t="shared" si="178"/>
        <v>5435786.969769001</v>
      </c>
      <c r="N580" s="320"/>
      <c r="O580" s="320">
        <f>NhanCong!J$174</f>
        <v>99643.076923076922</v>
      </c>
    </row>
    <row r="581" spans="1:17">
      <c r="A581" s="1043"/>
      <c r="B581" s="1038"/>
      <c r="C581" s="1039"/>
      <c r="D581" s="319" t="s">
        <v>20</v>
      </c>
      <c r="E581" s="301">
        <f>NhanCong!I$175</f>
        <v>4810941.7400000012</v>
      </c>
      <c r="F581" s="301"/>
      <c r="G581" s="320">
        <f>Dcu!M$272</f>
        <v>30388.297575000001</v>
      </c>
      <c r="H581" s="320">
        <f>VLieu!K$159</f>
        <v>626800</v>
      </c>
      <c r="I581" s="320"/>
      <c r="J581" s="320">
        <f>TBi!O$383</f>
        <v>71966.58</v>
      </c>
      <c r="K581" s="320">
        <f t="shared" si="177"/>
        <v>5540096.617575001</v>
      </c>
      <c r="L581" s="320">
        <f t="shared" si="180"/>
        <v>831014.4926362501</v>
      </c>
      <c r="M581" s="321">
        <f t="shared" si="178"/>
        <v>6371111.1102112513</v>
      </c>
      <c r="N581" s="320"/>
      <c r="O581" s="320">
        <f>NhanCong!J$175</f>
        <v>119493.84615384614</v>
      </c>
    </row>
    <row r="582" spans="1:17">
      <c r="A582" s="1043"/>
      <c r="B582" s="1038"/>
      <c r="C582" s="1039"/>
      <c r="D582" s="319" t="s">
        <v>35</v>
      </c>
      <c r="E582" s="301">
        <f>NhanCong!I$176</f>
        <v>5610153.5600000015</v>
      </c>
      <c r="F582" s="301"/>
      <c r="G582" s="320">
        <f>Dcu!M$273</f>
        <v>40517.730100000001</v>
      </c>
      <c r="H582" s="320">
        <f>VLieu!K$159</f>
        <v>626800</v>
      </c>
      <c r="I582" s="320"/>
      <c r="J582" s="320">
        <f>TBi!P$383</f>
        <v>85344.840000000011</v>
      </c>
      <c r="K582" s="320">
        <f t="shared" si="177"/>
        <v>6362816.1301000016</v>
      </c>
      <c r="L582" s="320">
        <f t="shared" si="180"/>
        <v>954422.41951500019</v>
      </c>
      <c r="M582" s="321">
        <f t="shared" si="178"/>
        <v>7317238.5496150013</v>
      </c>
      <c r="N582" s="320"/>
      <c r="O582" s="320">
        <f>NhanCong!J$176</f>
        <v>139344.61538461538</v>
      </c>
    </row>
    <row r="583" spans="1:17">
      <c r="A583" s="1043"/>
      <c r="B583" s="1038"/>
      <c r="C583" s="1039"/>
      <c r="D583" s="319" t="s">
        <v>33</v>
      </c>
      <c r="E583" s="301">
        <f>NhanCong!I$177</f>
        <v>6425036.2000000011</v>
      </c>
      <c r="F583" s="301"/>
      <c r="G583" s="320">
        <f>Dcu!M$274</f>
        <v>48621.276120000002</v>
      </c>
      <c r="H583" s="320">
        <f>VLieu!K$159</f>
        <v>626800</v>
      </c>
      <c r="I583" s="320"/>
      <c r="J583" s="320">
        <f>TBi!Q$383</f>
        <v>96051.9</v>
      </c>
      <c r="K583" s="320">
        <f t="shared" si="177"/>
        <v>7196509.3761200011</v>
      </c>
      <c r="L583" s="320">
        <f t="shared" si="180"/>
        <v>1079476.4064180001</v>
      </c>
      <c r="M583" s="321">
        <f t="shared" si="178"/>
        <v>8275985.7825380014</v>
      </c>
      <c r="N583" s="320"/>
      <c r="O583" s="320">
        <f>NhanCong!J$177</f>
        <v>159584.61538461538</v>
      </c>
    </row>
    <row r="584" spans="1:17" s="345" customFormat="1" ht="26">
      <c r="A584" s="323" t="s">
        <v>246</v>
      </c>
      <c r="B584" s="324" t="str">
        <f>NhanCong!B$179</f>
        <v>Lập Phiếu đo đạc chỉnh lý thửa đất (Công/100 thửa chỉnh lý)</v>
      </c>
      <c r="C584" s="341" t="s">
        <v>329</v>
      </c>
      <c r="D584" s="341" t="s">
        <v>15</v>
      </c>
      <c r="E584" s="342">
        <f>NhanCong!I$179</f>
        <v>1031101.5000000002</v>
      </c>
      <c r="F584" s="342"/>
      <c r="G584" s="343">
        <f>Dcu!M$270</f>
        <v>40517.730100000001</v>
      </c>
      <c r="H584" s="320">
        <f>VLieu!K$159</f>
        <v>626800</v>
      </c>
      <c r="I584" s="343"/>
      <c r="J584" s="343"/>
      <c r="K584" s="343">
        <f t="shared" si="177"/>
        <v>1698419.2301000003</v>
      </c>
      <c r="L584" s="320">
        <f t="shared" si="180"/>
        <v>254762.88451500004</v>
      </c>
      <c r="M584" s="344">
        <f t="shared" si="178"/>
        <v>1953182.1146150003</v>
      </c>
      <c r="N584" s="343"/>
      <c r="O584" s="343">
        <f>NhanCong!J$179</f>
        <v>29192.307692307691</v>
      </c>
    </row>
    <row r="585" spans="1:17" s="345" customFormat="1" ht="26">
      <c r="A585" s="323" t="s">
        <v>271</v>
      </c>
      <c r="B585" s="324" t="str">
        <f>NhanCong!B$180</f>
        <v>Bổ sung sổ mục kê (công nhóm/100 thửa chỉnh lý)</v>
      </c>
      <c r="C585" s="341" t="s">
        <v>329</v>
      </c>
      <c r="D585" s="341" t="s">
        <v>15</v>
      </c>
      <c r="E585" s="342">
        <f>NhanCong!I$180</f>
        <v>893621.30000000016</v>
      </c>
      <c r="F585" s="342"/>
      <c r="G585" s="343">
        <f>Dcu!M$290</f>
        <v>13800.392222222223</v>
      </c>
      <c r="H585" s="343">
        <f>VLieu!J$170</f>
        <v>120500</v>
      </c>
      <c r="I585" s="343"/>
      <c r="J585" s="343">
        <f>TBi!N$414</f>
        <v>27379.800000000003</v>
      </c>
      <c r="K585" s="343">
        <f t="shared" si="177"/>
        <v>1055301.4922222223</v>
      </c>
      <c r="L585" s="320">
        <f t="shared" si="180"/>
        <v>158295.22383333332</v>
      </c>
      <c r="M585" s="344">
        <f t="shared" si="178"/>
        <v>1213596.7160555555</v>
      </c>
      <c r="N585" s="343"/>
      <c r="O585" s="343">
        <f>NhanCong!J$180</f>
        <v>25300</v>
      </c>
    </row>
    <row r="586" spans="1:17" s="345" customFormat="1" ht="26">
      <c r="A586" s="323" t="s">
        <v>365</v>
      </c>
      <c r="B586" s="324" t="str">
        <f>NhanCong!B$181</f>
        <v>Biên tập bản đồ và in (công nhóm/mảnh)</v>
      </c>
      <c r="C586" s="341" t="s">
        <v>317</v>
      </c>
      <c r="D586" s="341" t="s">
        <v>15</v>
      </c>
      <c r="E586" s="342">
        <f>NhanCong!I$181</f>
        <v>175287.25500000003</v>
      </c>
      <c r="F586" s="342"/>
      <c r="G586" s="343">
        <f>Dcu!M$304</f>
        <v>2980.8128205128205</v>
      </c>
      <c r="H586" s="343">
        <f>VLieu!K$181</f>
        <v>154100</v>
      </c>
      <c r="I586" s="343"/>
      <c r="J586" s="343">
        <f>TBi!N$422</f>
        <v>5787.6</v>
      </c>
      <c r="K586" s="343">
        <f>SUM(E586:J586)</f>
        <v>338155.66782051284</v>
      </c>
      <c r="L586" s="320">
        <f t="shared" si="180"/>
        <v>50723.350173076928</v>
      </c>
      <c r="M586" s="344">
        <f>K586+L586</f>
        <v>388879.01799358975</v>
      </c>
      <c r="N586" s="343"/>
      <c r="O586" s="343">
        <f>NhanCong!J$181</f>
        <v>4962.6923076923076</v>
      </c>
    </row>
    <row r="587" spans="1:17" s="345" customFormat="1" ht="26">
      <c r="A587" s="323" t="s">
        <v>366</v>
      </c>
      <c r="B587" s="324" t="str">
        <f>NhanCong!B$182</f>
        <v>Xác nhận hồ sơ các cấp (công nhóm/mảnh)</v>
      </c>
      <c r="C587" s="341" t="s">
        <v>317</v>
      </c>
      <c r="D587" s="341" t="s">
        <v>15</v>
      </c>
      <c r="E587" s="342">
        <f>NhanCong!I$182</f>
        <v>137480.20000000004</v>
      </c>
      <c r="F587" s="342"/>
      <c r="G587" s="343">
        <f>Dcu!M$304</f>
        <v>2980.8128205128205</v>
      </c>
      <c r="H587" s="343">
        <f>VLieu!K$181</f>
        <v>154100</v>
      </c>
      <c r="I587" s="343"/>
      <c r="J587" s="343">
        <f>TBi!N$422</f>
        <v>5787.6</v>
      </c>
      <c r="K587" s="343">
        <f>SUM(E587:J587)</f>
        <v>300348.61282051285</v>
      </c>
      <c r="L587" s="320">
        <f t="shared" si="180"/>
        <v>45052.291923076926</v>
      </c>
      <c r="M587" s="344">
        <f>K587+L587</f>
        <v>345400.90474358975</v>
      </c>
      <c r="N587" s="343"/>
      <c r="O587" s="343">
        <f>NhanCong!J$182</f>
        <v>3892.3076923076924</v>
      </c>
    </row>
    <row r="588" spans="1:17" s="345" customFormat="1" ht="26">
      <c r="A588" s="323" t="s">
        <v>367</v>
      </c>
      <c r="B588" s="324" t="str">
        <f>NhanCong!B$183</f>
        <v>Giao nộp sản phẩm (công nhóm/mảnh)</v>
      </c>
      <c r="C588" s="341" t="s">
        <v>317</v>
      </c>
      <c r="D588" s="341" t="s">
        <v>15</v>
      </c>
      <c r="E588" s="342">
        <f>NhanCong!I$183</f>
        <v>68740.10000000002</v>
      </c>
      <c r="F588" s="342"/>
      <c r="G588" s="343">
        <f>Dcu!M$304</f>
        <v>2980.8128205128205</v>
      </c>
      <c r="H588" s="343">
        <f>VLieu!K$181</f>
        <v>154100</v>
      </c>
      <c r="I588" s="343"/>
      <c r="J588" s="343">
        <f>TBi!N$422</f>
        <v>5787.6</v>
      </c>
      <c r="K588" s="343">
        <f>SUM(E588:J588)</f>
        <v>231608.51282051284</v>
      </c>
      <c r="L588" s="320">
        <f>K588*0.15</f>
        <v>34741.276923076926</v>
      </c>
      <c r="M588" s="344">
        <f>K588+L588</f>
        <v>266349.78974358976</v>
      </c>
      <c r="N588" s="343"/>
      <c r="O588" s="343">
        <f>NhanCong!J$183</f>
        <v>1946.1538461538462</v>
      </c>
    </row>
    <row r="589" spans="1:17" s="345" customFormat="1">
      <c r="A589" s="298" t="s">
        <v>27</v>
      </c>
      <c r="B589" s="316" t="s">
        <v>203</v>
      </c>
      <c r="C589" s="337" t="s">
        <v>349</v>
      </c>
      <c r="D589" s="333"/>
      <c r="E589" s="301"/>
      <c r="F589" s="301"/>
      <c r="G589" s="301"/>
      <c r="H589" s="301"/>
      <c r="I589" s="301"/>
      <c r="J589" s="301"/>
      <c r="K589" s="301"/>
      <c r="L589" s="301"/>
      <c r="M589" s="302">
        <v>6.25</v>
      </c>
      <c r="N589" s="301" t="s">
        <v>21</v>
      </c>
      <c r="O589" s="301"/>
    </row>
    <row r="590" spans="1:17" s="345" customFormat="1" ht="13.15" customHeight="1">
      <c r="A590" s="1036"/>
      <c r="B590" s="1035" t="s">
        <v>190</v>
      </c>
      <c r="C590" s="298">
        <f>HeSoKK!B31</f>
        <v>32</v>
      </c>
      <c r="D590" s="298">
        <v>1</v>
      </c>
      <c r="E590" s="301">
        <f>E641/C590+(E646+E651)/100</f>
        <v>404324.58137500007</v>
      </c>
      <c r="F590" s="301">
        <f>F641/C590+(F646+F651)/100</f>
        <v>21212.23076923077</v>
      </c>
      <c r="G590" s="301">
        <f>G641/C590+(G646+G651)/100</f>
        <v>2566.0304487179487</v>
      </c>
      <c r="H590" s="301">
        <f>H641/C590+(H646+H651)/100</f>
        <v>22147.89</v>
      </c>
      <c r="I590" s="301"/>
      <c r="J590" s="301">
        <f>J641/C590+(J646+J651)/100</f>
        <v>60.101999999999997</v>
      </c>
      <c r="K590" s="301">
        <f t="shared" ref="K590:K599" si="181">SUM(E590:J590)</f>
        <v>450310.83459294878</v>
      </c>
      <c r="L590" s="301">
        <f>K590*0.25</f>
        <v>112577.7086482372</v>
      </c>
      <c r="M590" s="315">
        <f t="shared" ref="M590:M599" si="182">K590+L590</f>
        <v>562888.54324118595</v>
      </c>
      <c r="N590" s="301">
        <f>M590+M595</f>
        <v>635670.66773574962</v>
      </c>
      <c r="O590" s="301">
        <f>O641/C590+(O646+O651)/100</f>
        <v>11484.740384615385</v>
      </c>
      <c r="Q590" s="346"/>
    </row>
    <row r="591" spans="1:17" s="345" customFormat="1" ht="13.15" customHeight="1">
      <c r="A591" s="1036"/>
      <c r="B591" s="1035"/>
      <c r="C591" s="298">
        <f>HeSoKK!D31</f>
        <v>42</v>
      </c>
      <c r="D591" s="298">
        <v>2</v>
      </c>
      <c r="E591" s="301">
        <f>E642/C591+(E647+E652)/100</f>
        <v>482974.41202083352</v>
      </c>
      <c r="F591" s="301">
        <f>F642/C591+(F647+F652)/100</f>
        <v>25469.23076923077</v>
      </c>
      <c r="G591" s="301">
        <f>G642/C591+(G647+G652)/100</f>
        <v>3163.1876717032965</v>
      </c>
      <c r="H591" s="301">
        <f>H642/C591+(H647+H652)/100</f>
        <v>17330.032857142858</v>
      </c>
      <c r="I591" s="301"/>
      <c r="J591" s="301">
        <f>J642/C591+(J647+J652)/100</f>
        <v>74.348399999999998</v>
      </c>
      <c r="K591" s="301">
        <f t="shared" si="181"/>
        <v>529011.21171891049</v>
      </c>
      <c r="L591" s="301">
        <f>K591*0.25</f>
        <v>132252.80292972762</v>
      </c>
      <c r="M591" s="315">
        <f t="shared" si="182"/>
        <v>661264.01464863808</v>
      </c>
      <c r="N591" s="301">
        <f>M591+M596</f>
        <v>734136.87124542147</v>
      </c>
      <c r="O591" s="301">
        <f>O642/C591+(O647+O652)/100</f>
        <v>13711.059294871793</v>
      </c>
      <c r="Q591" s="346"/>
    </row>
    <row r="592" spans="1:17" s="345" customFormat="1" ht="13.15" customHeight="1">
      <c r="A592" s="1036"/>
      <c r="B592" s="1035"/>
      <c r="C592" s="298">
        <f>HeSoKK!F31</f>
        <v>49.5</v>
      </c>
      <c r="D592" s="298">
        <v>3</v>
      </c>
      <c r="E592" s="301">
        <f>E643/C592+(E648+E653)/100</f>
        <v>582535.36637500022</v>
      </c>
      <c r="F592" s="301">
        <f>F643/C592+(F648+F653)/100</f>
        <v>30563.076923076926</v>
      </c>
      <c r="G592" s="301">
        <f>G643/C592+(G648+G653)/100</f>
        <v>4188.9126036001035</v>
      </c>
      <c r="H592" s="301">
        <f>H643/C592+(H648+H653)/100</f>
        <v>14994.102121212121</v>
      </c>
      <c r="I592" s="301"/>
      <c r="J592" s="301">
        <f>J643/C592+(J648+J653)/100</f>
        <v>98.389199999999988</v>
      </c>
      <c r="K592" s="301">
        <f t="shared" si="181"/>
        <v>632379.84722288931</v>
      </c>
      <c r="L592" s="301">
        <f>K592*0.25</f>
        <v>158094.96180572233</v>
      </c>
      <c r="M592" s="315">
        <f t="shared" si="182"/>
        <v>790474.80902861163</v>
      </c>
      <c r="N592" s="301">
        <f>M592+M597</f>
        <v>863322.72179151082</v>
      </c>
      <c r="O592" s="301">
        <f>O643/C592+(O648+O653)/100</f>
        <v>16533.682692307691</v>
      </c>
      <c r="Q592" s="346"/>
    </row>
    <row r="593" spans="1:17" s="345" customFormat="1" ht="13.15" customHeight="1">
      <c r="A593" s="1036"/>
      <c r="B593" s="1035"/>
      <c r="C593" s="298">
        <f>HeSoKK!H31</f>
        <v>59.5</v>
      </c>
      <c r="D593" s="298">
        <v>4</v>
      </c>
      <c r="E593" s="301">
        <f>E644/C593+(E649+E654)/100</f>
        <v>703756.83517279429</v>
      </c>
      <c r="F593" s="301">
        <f>F644/C593+(F649+F654)/100</f>
        <v>36657.5</v>
      </c>
      <c r="G593" s="301">
        <f>G644/C593+(G649+G654)/100</f>
        <v>5618.6030320782165</v>
      </c>
      <c r="H593" s="301">
        <f>H644/C593+(H649+H654)/100</f>
        <v>12795.579075630252</v>
      </c>
      <c r="I593" s="301"/>
      <c r="J593" s="301">
        <f>J644/C593+(J649+J654)/100</f>
        <v>132.2244</v>
      </c>
      <c r="K593" s="301">
        <f t="shared" si="181"/>
        <v>758960.74168050278</v>
      </c>
      <c r="L593" s="301">
        <f>K593*0.25</f>
        <v>189740.18542012569</v>
      </c>
      <c r="M593" s="315">
        <f t="shared" si="182"/>
        <v>948700.9271006285</v>
      </c>
      <c r="N593" s="301">
        <f>M593+M598</f>
        <v>1033706.375447711</v>
      </c>
      <c r="O593" s="301">
        <f>O644/C593+(O649+O654)/100</f>
        <v>19969.020563994825</v>
      </c>
      <c r="Q593" s="346"/>
    </row>
    <row r="594" spans="1:17" s="345" customFormat="1" ht="13.15" customHeight="1">
      <c r="A594" s="1036"/>
      <c r="B594" s="1035"/>
      <c r="C594" s="298">
        <f>HeSoKK!J31</f>
        <v>70</v>
      </c>
      <c r="D594" s="298">
        <v>5</v>
      </c>
      <c r="E594" s="301">
        <f>E645/C594+(E650+E655)/100</f>
        <v>846429.95951250033</v>
      </c>
      <c r="F594" s="301">
        <f>F645/C594+(F650+F655)/100</f>
        <v>44007.192307692312</v>
      </c>
      <c r="G594" s="301">
        <f>G645/C594+(G650+G655)/100</f>
        <v>7248.3114049145297</v>
      </c>
      <c r="H594" s="301">
        <f>H645/C594+(H650+H655)/100</f>
        <v>11163.175714285713</v>
      </c>
      <c r="I594" s="301"/>
      <c r="J594" s="301">
        <f>J645/C594+(J650+J655)/100</f>
        <v>166.05960000000002</v>
      </c>
      <c r="K594" s="301">
        <f t="shared" si="181"/>
        <v>909014.69853939279</v>
      </c>
      <c r="L594" s="301">
        <f>K594*0.25</f>
        <v>227253.6746348482</v>
      </c>
      <c r="M594" s="315">
        <f t="shared" si="182"/>
        <v>1136268.373174241</v>
      </c>
      <c r="N594" s="301">
        <f>M594+M599</f>
        <v>1229030.369363108</v>
      </c>
      <c r="O594" s="301">
        <f>O645/C594+(O650+O655)/100</f>
        <v>24013.001510989012</v>
      </c>
      <c r="Q594" s="346"/>
    </row>
    <row r="595" spans="1:17" s="345" customFormat="1" ht="13.15" customHeight="1">
      <c r="A595" s="1036"/>
      <c r="B595" s="1035" t="s">
        <v>192</v>
      </c>
      <c r="C595" s="298">
        <f>C590</f>
        <v>32</v>
      </c>
      <c r="D595" s="298">
        <v>1</v>
      </c>
      <c r="E595" s="301">
        <f>(E657+E669+E670+E671)/C595+(E662+E667+E668)/100</f>
        <v>44924.900075000012</v>
      </c>
      <c r="F595" s="301">
        <f>(F657+F669+F670+F671)/C595+(F662+F667+F668)/100</f>
        <v>0</v>
      </c>
      <c r="G595" s="301">
        <f>(G657+G669+G670+G671)/C595+(G662+G667+G668)/100</f>
        <v>780.5476333162394</v>
      </c>
      <c r="H595" s="301">
        <f>(H657+H669+H670+H671)/C595+(H662+H667+H668)/100</f>
        <v>16473.25</v>
      </c>
      <c r="I595" s="301"/>
      <c r="J595" s="301">
        <f>(J657+J669+J670+J671)/C595+(J662+J667+J668)/100</f>
        <v>1110.1061999999999</v>
      </c>
      <c r="K595" s="301">
        <f t="shared" si="181"/>
        <v>63288.803908316251</v>
      </c>
      <c r="L595" s="301">
        <f>K595*0.15</f>
        <v>9493.3205862474369</v>
      </c>
      <c r="M595" s="315">
        <f t="shared" si="182"/>
        <v>72782.124494563686</v>
      </c>
      <c r="N595" s="301"/>
      <c r="O595" s="301">
        <f>(O657+O669+O670+O671)/C595+(O662+O667+O668)/100</f>
        <v>1227.5365384615384</v>
      </c>
    </row>
    <row r="596" spans="1:17" s="345" customFormat="1" ht="13.15" customHeight="1">
      <c r="A596" s="1036"/>
      <c r="B596" s="1035"/>
      <c r="C596" s="298">
        <f>C591</f>
        <v>42</v>
      </c>
      <c r="D596" s="298">
        <v>2</v>
      </c>
      <c r="E596" s="301">
        <f>(E658+E669+E670+E671)/C596+(E663+E667+E668)/100</f>
        <v>45667.072261904774</v>
      </c>
      <c r="F596" s="301">
        <f>(F658+F669+F670+F671)/C596+(F663+F667+F668)/100</f>
        <v>0</v>
      </c>
      <c r="G596" s="301">
        <f>(G658+G669+G670+G671)/C596+(G663+G667+G668)/100</f>
        <v>785.24564088827833</v>
      </c>
      <c r="H596" s="301">
        <f>(H658+H669+H670+H671)/C596+(H663+H667+H668)/100</f>
        <v>15822.714285714286</v>
      </c>
      <c r="I596" s="301"/>
      <c r="J596" s="301">
        <f>(J658+J669+J670+J671)/C596+(J663+J667+J668)/100</f>
        <v>1092.6691999999998</v>
      </c>
      <c r="K596" s="301">
        <f t="shared" si="181"/>
        <v>63367.701388507332</v>
      </c>
      <c r="L596" s="301">
        <f>K596*0.15</f>
        <v>9505.1552082760991</v>
      </c>
      <c r="M596" s="315">
        <f t="shared" si="182"/>
        <v>72872.856596783429</v>
      </c>
      <c r="N596" s="301"/>
      <c r="O596" s="301">
        <f>(O658+O669+O670+O671)/C596+(O663+O667+O668)/100</f>
        <v>1237.6611721611721</v>
      </c>
    </row>
    <row r="597" spans="1:17" s="345" customFormat="1" ht="13.15" customHeight="1">
      <c r="A597" s="1036"/>
      <c r="B597" s="1035"/>
      <c r="C597" s="298">
        <f>C592</f>
        <v>49.5</v>
      </c>
      <c r="D597" s="298">
        <v>3</v>
      </c>
      <c r="E597" s="301">
        <f>(E659+E669+E670+E671)/C597+(E664+E667+E668)/100</f>
        <v>45848.685300000012</v>
      </c>
      <c r="F597" s="301">
        <f>(F659+F669+F670+F671)/C597+(F664+F667+F668)/100</f>
        <v>0</v>
      </c>
      <c r="G597" s="301">
        <f>(G659+G669+G670+G671)/C597+(G664+G667+G668)/100</f>
        <v>840.62429514288169</v>
      </c>
      <c r="H597" s="301">
        <f>(H659+H669+H670+H671)/C597+(H664+H667+H668)/100</f>
        <v>15507.30303030303</v>
      </c>
      <c r="I597" s="301"/>
      <c r="J597" s="301">
        <f>(J659+J669+J670+J671)/C597+(J664+J667+J668)/100</f>
        <v>1149.3984727272727</v>
      </c>
      <c r="K597" s="301">
        <f t="shared" si="181"/>
        <v>63346.0110981732</v>
      </c>
      <c r="L597" s="301">
        <f>K597*0.15</f>
        <v>9501.9016647259796</v>
      </c>
      <c r="M597" s="315">
        <f t="shared" si="182"/>
        <v>72847.912762899185</v>
      </c>
      <c r="N597" s="301"/>
      <c r="O597" s="301">
        <f>(O659+O669+O670+O671)/C597+(O664+O667+O668)/100</f>
        <v>1238.9923076923078</v>
      </c>
    </row>
    <row r="598" spans="1:17" s="345" customFormat="1" ht="13.15" customHeight="1">
      <c r="A598" s="1036"/>
      <c r="B598" s="1035"/>
      <c r="C598" s="298">
        <f>C593</f>
        <v>59.5</v>
      </c>
      <c r="D598" s="298">
        <v>4</v>
      </c>
      <c r="E598" s="301">
        <f>(E660+E669+E670+E671)/C598+(E665+E667+E668)/100</f>
        <v>56557.198805042033</v>
      </c>
      <c r="F598" s="301">
        <f>(F660+F669+F670+F671)/C598+(F665+F667+F668)/100</f>
        <v>0</v>
      </c>
      <c r="G598" s="301">
        <f>(G660+G669+G670+G671)/C598+(G665+G667+G668)/100</f>
        <v>921.70859994753278</v>
      </c>
      <c r="H598" s="301">
        <f>(H660+H669+H670+H671)/C598+(H665+H667+H668)/100</f>
        <v>15210.44537815126</v>
      </c>
      <c r="I598" s="301"/>
      <c r="J598" s="301">
        <f>(J660+J669+J670+J671)/C598+(J665+J667+J668)/100</f>
        <v>1228.4283882352941</v>
      </c>
      <c r="K598" s="301">
        <f t="shared" si="181"/>
        <v>73917.781171376118</v>
      </c>
      <c r="L598" s="301">
        <f>K598*0.15</f>
        <v>11087.667175706418</v>
      </c>
      <c r="M598" s="315">
        <f t="shared" si="182"/>
        <v>85005.448347082536</v>
      </c>
      <c r="N598" s="301"/>
      <c r="O598" s="301">
        <f>(O660+O669+O670+O671)/C598+(O665+O667+O668)/100</f>
        <v>1501.6130575307043</v>
      </c>
    </row>
    <row r="599" spans="1:17" s="345" customFormat="1" ht="13.15" customHeight="1">
      <c r="A599" s="1036"/>
      <c r="B599" s="1035"/>
      <c r="C599" s="298">
        <f>C594</f>
        <v>70</v>
      </c>
      <c r="D599" s="298">
        <v>5</v>
      </c>
      <c r="E599" s="301">
        <f>(E661+E669+E670+E671)/C599+(E666+E667+E668)/100</f>
        <v>63334.463688571443</v>
      </c>
      <c r="F599" s="301">
        <f>(F661+F669+F670+F671)/C599+(F666+F667+F668)/100</f>
        <v>0</v>
      </c>
      <c r="G599" s="301">
        <f>(G661+G669+G670+G671)/C599+(G666+G667+G668)/100</f>
        <v>1020.798121623321</v>
      </c>
      <c r="H599" s="301">
        <f>(H661+H669+H670+H671)/C599+(H666+H667+H668)/100</f>
        <v>14990.028571428571</v>
      </c>
      <c r="I599" s="301"/>
      <c r="J599" s="301">
        <f>(J661+J669+J670+J671)/C599+(J666+J667+J668)/100</f>
        <v>1317.3150000000001</v>
      </c>
      <c r="K599" s="301">
        <f t="shared" si="181"/>
        <v>80662.605381623347</v>
      </c>
      <c r="L599" s="301">
        <f>K599*0.15</f>
        <v>12099.390807243502</v>
      </c>
      <c r="M599" s="315">
        <f t="shared" si="182"/>
        <v>92761.996188866848</v>
      </c>
      <c r="N599" s="301"/>
      <c r="O599" s="301">
        <f>(O661+O669+O670+O671)/C599+(O666+O667+O668)/100</f>
        <v>1667.6314285714284</v>
      </c>
    </row>
    <row r="600" spans="1:17" s="345" customFormat="1" ht="13.5">
      <c r="A600" s="298"/>
      <c r="B600" s="340" t="s">
        <v>332</v>
      </c>
      <c r="C600" s="298"/>
      <c r="D600" s="298"/>
      <c r="E600" s="301"/>
      <c r="F600" s="301"/>
      <c r="G600" s="301"/>
      <c r="H600" s="301"/>
      <c r="I600" s="301"/>
      <c r="J600" s="301"/>
      <c r="K600" s="301"/>
      <c r="L600" s="301"/>
      <c r="M600" s="315"/>
      <c r="N600" s="301"/>
      <c r="O600" s="301"/>
    </row>
    <row r="601" spans="1:17" s="345" customFormat="1" ht="13.5">
      <c r="A601" s="298" t="s">
        <v>323</v>
      </c>
      <c r="B601" s="340" t="s">
        <v>333</v>
      </c>
      <c r="C601" s="298"/>
      <c r="D601" s="298"/>
      <c r="E601" s="301"/>
      <c r="F601" s="301"/>
      <c r="G601" s="301"/>
      <c r="H601" s="301"/>
      <c r="I601" s="301"/>
      <c r="J601" s="301"/>
      <c r="K601" s="301"/>
      <c r="L601" s="301"/>
      <c r="M601" s="315"/>
      <c r="N601" s="301"/>
      <c r="O601" s="301"/>
    </row>
    <row r="602" spans="1:17" s="345" customFormat="1" ht="13.15" customHeight="1">
      <c r="A602" s="1036"/>
      <c r="B602" s="1037" t="s">
        <v>330</v>
      </c>
      <c r="C602" s="1036" t="s">
        <v>49</v>
      </c>
      <c r="D602" s="298">
        <v>1</v>
      </c>
      <c r="E602" s="301">
        <f t="shared" ref="E602:H606" si="183">E590-E646/100</f>
        <v>375969.29012500006</v>
      </c>
      <c r="F602" s="301">
        <f t="shared" si="183"/>
        <v>21212.23076923077</v>
      </c>
      <c r="G602" s="301">
        <f t="shared" si="183"/>
        <v>2138.4458974358977</v>
      </c>
      <c r="H602" s="301">
        <f t="shared" si="183"/>
        <v>22056.799999999999</v>
      </c>
      <c r="I602" s="301"/>
      <c r="J602" s="301">
        <f>J590-J646/100</f>
        <v>55.65</v>
      </c>
      <c r="K602" s="301">
        <f t="shared" ref="K602:K611" si="184">SUM(E602:J602)</f>
        <v>421432.41679166671</v>
      </c>
      <c r="L602" s="301">
        <f>K602*0.25</f>
        <v>105358.10419791668</v>
      </c>
      <c r="M602" s="315">
        <f t="shared" ref="M602:M611" si="185">K602+L602</f>
        <v>526790.52098958334</v>
      </c>
      <c r="N602" s="301">
        <f>M602+M607</f>
        <v>599572.64548414701</v>
      </c>
      <c r="O602" s="301">
        <f>O590-O646/100</f>
        <v>10681.951923076924</v>
      </c>
    </row>
    <row r="603" spans="1:17" s="345" customFormat="1" ht="13.15" customHeight="1">
      <c r="A603" s="1036"/>
      <c r="B603" s="1037"/>
      <c r="C603" s="1036"/>
      <c r="D603" s="298">
        <v>2</v>
      </c>
      <c r="E603" s="301">
        <f t="shared" si="183"/>
        <v>447530.29795833351</v>
      </c>
      <c r="F603" s="301">
        <f t="shared" si="183"/>
        <v>25469.23076923077</v>
      </c>
      <c r="G603" s="301">
        <f t="shared" si="183"/>
        <v>2628.7069826007323</v>
      </c>
      <c r="H603" s="301">
        <f t="shared" si="183"/>
        <v>17238.942857142858</v>
      </c>
      <c r="I603" s="301"/>
      <c r="J603" s="301">
        <f>J591-J647/100</f>
        <v>69.006</v>
      </c>
      <c r="K603" s="301">
        <f t="shared" si="184"/>
        <v>492936.18456730788</v>
      </c>
      <c r="L603" s="301">
        <f>K603*0.25</f>
        <v>123234.04614182697</v>
      </c>
      <c r="M603" s="315">
        <f t="shared" si="185"/>
        <v>616170.23070913483</v>
      </c>
      <c r="N603" s="301">
        <f>M603+M608</f>
        <v>689043.08730591822</v>
      </c>
      <c r="O603" s="301">
        <f>O591-O647/100</f>
        <v>12707.573717948717</v>
      </c>
    </row>
    <row r="604" spans="1:17" s="345" customFormat="1" ht="13.15" customHeight="1">
      <c r="A604" s="1036"/>
      <c r="B604" s="1037"/>
      <c r="C604" s="1036"/>
      <c r="D604" s="298">
        <v>3</v>
      </c>
      <c r="E604" s="301">
        <f t="shared" si="183"/>
        <v>535276.54762500024</v>
      </c>
      <c r="F604" s="301">
        <f t="shared" si="183"/>
        <v>30563.076923076926</v>
      </c>
      <c r="G604" s="301">
        <f t="shared" si="183"/>
        <v>3476.2716847966849</v>
      </c>
      <c r="H604" s="301">
        <f t="shared" si="183"/>
        <v>14903.012121212121</v>
      </c>
      <c r="I604" s="301"/>
      <c r="J604" s="301">
        <f>J592-J648/100</f>
        <v>91.265999999999991</v>
      </c>
      <c r="K604" s="301">
        <f t="shared" si="184"/>
        <v>584310.17435408582</v>
      </c>
      <c r="L604" s="301">
        <f>K604*0.25</f>
        <v>146077.54358852145</v>
      </c>
      <c r="M604" s="315">
        <f t="shared" si="185"/>
        <v>730387.71794260724</v>
      </c>
      <c r="N604" s="301">
        <f>M604+M609</f>
        <v>803235.63070550642</v>
      </c>
      <c r="O604" s="301">
        <f>O592-O648/100</f>
        <v>15195.701923076922</v>
      </c>
    </row>
    <row r="605" spans="1:17" s="345" customFormat="1" ht="13.15" customHeight="1">
      <c r="A605" s="1036"/>
      <c r="B605" s="1037"/>
      <c r="C605" s="1036"/>
      <c r="D605" s="298">
        <v>4</v>
      </c>
      <c r="E605" s="301">
        <f t="shared" si="183"/>
        <v>639957.42986029433</v>
      </c>
      <c r="F605" s="301">
        <f t="shared" si="183"/>
        <v>36657.5</v>
      </c>
      <c r="G605" s="301">
        <f t="shared" si="183"/>
        <v>4656.5377916936013</v>
      </c>
      <c r="H605" s="301">
        <f t="shared" si="183"/>
        <v>12704.489075630252</v>
      </c>
      <c r="I605" s="301"/>
      <c r="J605" s="301">
        <f>J593-J649/100</f>
        <v>122.43</v>
      </c>
      <c r="K605" s="301">
        <f t="shared" si="184"/>
        <v>694098.38672761817</v>
      </c>
      <c r="L605" s="301">
        <f>K605*0.25</f>
        <v>173524.59668190454</v>
      </c>
      <c r="M605" s="315">
        <f t="shared" si="185"/>
        <v>867622.98340952268</v>
      </c>
      <c r="N605" s="301">
        <f>M605+M610</f>
        <v>952628.43175660516</v>
      </c>
      <c r="O605" s="301">
        <f>O593-O649/100</f>
        <v>18162.746525533286</v>
      </c>
    </row>
    <row r="606" spans="1:17" s="345" customFormat="1" ht="13.15" customHeight="1">
      <c r="A606" s="1036"/>
      <c r="B606" s="1037"/>
      <c r="C606" s="1036"/>
      <c r="D606" s="298"/>
      <c r="E606" s="301">
        <f t="shared" si="183"/>
        <v>766089.96763750026</v>
      </c>
      <c r="F606" s="301">
        <f t="shared" si="183"/>
        <v>44007.192307692312</v>
      </c>
      <c r="G606" s="301">
        <f t="shared" si="183"/>
        <v>6001.1897970085465</v>
      </c>
      <c r="H606" s="301">
        <f t="shared" si="183"/>
        <v>11072.085714285713</v>
      </c>
      <c r="I606" s="301"/>
      <c r="J606" s="301">
        <f>J594-J650/100</f>
        <v>153.59400000000002</v>
      </c>
      <c r="K606" s="301">
        <f t="shared" si="184"/>
        <v>827324.02945648681</v>
      </c>
      <c r="L606" s="301">
        <f>K606*0.25</f>
        <v>206831.0073641217</v>
      </c>
      <c r="M606" s="315">
        <f t="shared" si="185"/>
        <v>1034155.0368206085</v>
      </c>
      <c r="N606" s="301">
        <f>M606+M611</f>
        <v>1126917.0330094753</v>
      </c>
      <c r="O606" s="301">
        <f>O594-O650/100</f>
        <v>21738.434203296703</v>
      </c>
    </row>
    <row r="607" spans="1:17" s="345" customFormat="1">
      <c r="A607" s="1036"/>
      <c r="B607" s="1037" t="s">
        <v>331</v>
      </c>
      <c r="C607" s="1036" t="s">
        <v>49</v>
      </c>
      <c r="D607" s="298">
        <v>1</v>
      </c>
      <c r="E607" s="301">
        <f t="shared" ref="E607:H611" si="186">E595</f>
        <v>44924.900075000012</v>
      </c>
      <c r="F607" s="301">
        <f t="shared" si="186"/>
        <v>0</v>
      </c>
      <c r="G607" s="301">
        <f t="shared" si="186"/>
        <v>780.5476333162394</v>
      </c>
      <c r="H607" s="301">
        <f t="shared" si="186"/>
        <v>16473.25</v>
      </c>
      <c r="I607" s="301"/>
      <c r="J607" s="301">
        <f>J595</f>
        <v>1110.1061999999999</v>
      </c>
      <c r="K607" s="301">
        <f t="shared" si="184"/>
        <v>63288.803908316251</v>
      </c>
      <c r="L607" s="301">
        <f>K607*0.15</f>
        <v>9493.3205862474369</v>
      </c>
      <c r="M607" s="315">
        <f t="shared" si="185"/>
        <v>72782.124494563686</v>
      </c>
      <c r="N607" s="301"/>
      <c r="O607" s="301">
        <f>O595</f>
        <v>1227.5365384615384</v>
      </c>
    </row>
    <row r="608" spans="1:17" s="345" customFormat="1">
      <c r="A608" s="1036"/>
      <c r="B608" s="1035"/>
      <c r="C608" s="1036"/>
      <c r="D608" s="298">
        <v>2</v>
      </c>
      <c r="E608" s="301">
        <f t="shared" si="186"/>
        <v>45667.072261904774</v>
      </c>
      <c r="F608" s="301">
        <f t="shared" si="186"/>
        <v>0</v>
      </c>
      <c r="G608" s="301">
        <f t="shared" si="186"/>
        <v>785.24564088827833</v>
      </c>
      <c r="H608" s="301">
        <f t="shared" si="186"/>
        <v>15822.714285714286</v>
      </c>
      <c r="I608" s="301"/>
      <c r="J608" s="301">
        <f>J596</f>
        <v>1092.6691999999998</v>
      </c>
      <c r="K608" s="301">
        <f t="shared" si="184"/>
        <v>63367.701388507332</v>
      </c>
      <c r="L608" s="301">
        <f>K608*0.15</f>
        <v>9505.1552082760991</v>
      </c>
      <c r="M608" s="315">
        <f t="shared" si="185"/>
        <v>72872.856596783429</v>
      </c>
      <c r="N608" s="301"/>
      <c r="O608" s="301">
        <f>O596</f>
        <v>1237.6611721611721</v>
      </c>
    </row>
    <row r="609" spans="1:15" s="345" customFormat="1">
      <c r="A609" s="1036"/>
      <c r="B609" s="1035"/>
      <c r="C609" s="1036"/>
      <c r="D609" s="298">
        <v>3</v>
      </c>
      <c r="E609" s="301">
        <f t="shared" si="186"/>
        <v>45848.685300000012</v>
      </c>
      <c r="F609" s="301">
        <f t="shared" si="186"/>
        <v>0</v>
      </c>
      <c r="G609" s="301">
        <f t="shared" si="186"/>
        <v>840.62429514288169</v>
      </c>
      <c r="H609" s="301">
        <f t="shared" si="186"/>
        <v>15507.30303030303</v>
      </c>
      <c r="I609" s="301"/>
      <c r="J609" s="301">
        <f>J597</f>
        <v>1149.3984727272727</v>
      </c>
      <c r="K609" s="301">
        <f t="shared" si="184"/>
        <v>63346.0110981732</v>
      </c>
      <c r="L609" s="301">
        <f>K609*0.15</f>
        <v>9501.9016647259796</v>
      </c>
      <c r="M609" s="315">
        <f t="shared" si="185"/>
        <v>72847.912762899185</v>
      </c>
      <c r="N609" s="301"/>
      <c r="O609" s="301">
        <f>O597</f>
        <v>1238.9923076923078</v>
      </c>
    </row>
    <row r="610" spans="1:15" s="345" customFormat="1">
      <c r="A610" s="1036"/>
      <c r="B610" s="1035"/>
      <c r="C610" s="1036"/>
      <c r="D610" s="298">
        <v>4</v>
      </c>
      <c r="E610" s="301">
        <f t="shared" si="186"/>
        <v>56557.198805042033</v>
      </c>
      <c r="F610" s="301">
        <f t="shared" si="186"/>
        <v>0</v>
      </c>
      <c r="G610" s="301">
        <f t="shared" si="186"/>
        <v>921.70859994753278</v>
      </c>
      <c r="H610" s="301">
        <f t="shared" si="186"/>
        <v>15210.44537815126</v>
      </c>
      <c r="I610" s="301"/>
      <c r="J610" s="301">
        <f>J598</f>
        <v>1228.4283882352941</v>
      </c>
      <c r="K610" s="301">
        <f t="shared" si="184"/>
        <v>73917.781171376118</v>
      </c>
      <c r="L610" s="301">
        <f>K610*0.15</f>
        <v>11087.667175706418</v>
      </c>
      <c r="M610" s="315">
        <f t="shared" si="185"/>
        <v>85005.448347082536</v>
      </c>
      <c r="N610" s="301"/>
      <c r="O610" s="301">
        <f>O598</f>
        <v>1501.6130575307043</v>
      </c>
    </row>
    <row r="611" spans="1:15" s="345" customFormat="1">
      <c r="A611" s="1036"/>
      <c r="B611" s="1035"/>
      <c r="C611" s="1036"/>
      <c r="D611" s="298">
        <v>5</v>
      </c>
      <c r="E611" s="301">
        <f t="shared" si="186"/>
        <v>63334.463688571443</v>
      </c>
      <c r="F611" s="301">
        <f t="shared" si="186"/>
        <v>0</v>
      </c>
      <c r="G611" s="301">
        <f t="shared" si="186"/>
        <v>1020.798121623321</v>
      </c>
      <c r="H611" s="301">
        <f t="shared" si="186"/>
        <v>14990.028571428571</v>
      </c>
      <c r="I611" s="301"/>
      <c r="J611" s="301">
        <f>J599</f>
        <v>1317.3150000000001</v>
      </c>
      <c r="K611" s="301">
        <f t="shared" si="184"/>
        <v>80662.605381623347</v>
      </c>
      <c r="L611" s="301">
        <f>K611*0.15</f>
        <v>12099.390807243502</v>
      </c>
      <c r="M611" s="315">
        <f t="shared" si="185"/>
        <v>92761.996188866848</v>
      </c>
      <c r="N611" s="301"/>
      <c r="O611" s="301">
        <f>O599</f>
        <v>1667.6314285714284</v>
      </c>
    </row>
    <row r="612" spans="1:15" s="345" customFormat="1" ht="13.5">
      <c r="A612" s="298" t="s">
        <v>325</v>
      </c>
      <c r="B612" s="340" t="s">
        <v>423</v>
      </c>
      <c r="C612" s="298"/>
      <c r="D612" s="298"/>
      <c r="E612" s="301"/>
      <c r="F612" s="301"/>
      <c r="G612" s="301"/>
      <c r="H612" s="301"/>
      <c r="I612" s="301"/>
      <c r="J612" s="301"/>
      <c r="K612" s="301"/>
      <c r="L612" s="301"/>
      <c r="M612" s="315"/>
      <c r="N612" s="301"/>
      <c r="O612" s="301"/>
    </row>
    <row r="613" spans="1:15" s="345" customFormat="1" ht="13.15" customHeight="1">
      <c r="A613" s="1036"/>
      <c r="B613" s="1037" t="s">
        <v>330</v>
      </c>
      <c r="C613" s="1036" t="s">
        <v>49</v>
      </c>
      <c r="D613" s="298">
        <v>1</v>
      </c>
      <c r="E613" s="301">
        <f t="shared" ref="E613:G622" si="187">E590*0.9</f>
        <v>363892.12323750008</v>
      </c>
      <c r="F613" s="301">
        <f t="shared" si="187"/>
        <v>19091.007692307692</v>
      </c>
      <c r="G613" s="301">
        <f t="shared" si="187"/>
        <v>2309.427403846154</v>
      </c>
      <c r="H613" s="301">
        <f t="shared" ref="H613:H622" si="188">H602</f>
        <v>22056.799999999999</v>
      </c>
      <c r="I613" s="301"/>
      <c r="J613" s="301">
        <f t="shared" ref="J613:J622" si="189">J590*0.9</f>
        <v>54.091799999999999</v>
      </c>
      <c r="K613" s="301">
        <f t="shared" ref="K613:K622" si="190">SUM(E613:J613)</f>
        <v>407403.45013365394</v>
      </c>
      <c r="L613" s="301">
        <f>K613*0.25</f>
        <v>101850.86253341348</v>
      </c>
      <c r="M613" s="315">
        <f t="shared" ref="M613:M622" si="191">K613+L613</f>
        <v>509254.3126670674</v>
      </c>
      <c r="N613" s="301">
        <f>M613+M618</f>
        <v>576652.64846217469</v>
      </c>
      <c r="O613" s="301">
        <f t="shared" ref="O613:O622" si="192">O590*0.9</f>
        <v>10336.266346153847</v>
      </c>
    </row>
    <row r="614" spans="1:15" s="345" customFormat="1" ht="13.15" customHeight="1">
      <c r="A614" s="1036"/>
      <c r="B614" s="1037"/>
      <c r="C614" s="1036"/>
      <c r="D614" s="298">
        <v>2</v>
      </c>
      <c r="E614" s="301">
        <f t="shared" si="187"/>
        <v>434676.97081875015</v>
      </c>
      <c r="F614" s="301">
        <f t="shared" si="187"/>
        <v>22922.307692307691</v>
      </c>
      <c r="G614" s="301">
        <f t="shared" si="187"/>
        <v>2846.868904532967</v>
      </c>
      <c r="H614" s="301">
        <f t="shared" si="188"/>
        <v>17238.942857142858</v>
      </c>
      <c r="I614" s="301"/>
      <c r="J614" s="301">
        <f t="shared" si="189"/>
        <v>66.913560000000004</v>
      </c>
      <c r="K614" s="301">
        <f t="shared" si="190"/>
        <v>477752.00383273372</v>
      </c>
      <c r="L614" s="301">
        <f>K614*0.25</f>
        <v>119438.00095818343</v>
      </c>
      <c r="M614" s="315">
        <f t="shared" si="191"/>
        <v>597190.00479091716</v>
      </c>
      <c r="N614" s="301">
        <f>M614+M619</f>
        <v>664595.18787087942</v>
      </c>
      <c r="O614" s="301">
        <f t="shared" si="192"/>
        <v>12339.953365384614</v>
      </c>
    </row>
    <row r="615" spans="1:15" s="345" customFormat="1" ht="13.15" customHeight="1">
      <c r="A615" s="1036"/>
      <c r="B615" s="1037"/>
      <c r="C615" s="1036"/>
      <c r="D615" s="298">
        <v>3</v>
      </c>
      <c r="E615" s="301">
        <f t="shared" si="187"/>
        <v>524281.82973750023</v>
      </c>
      <c r="F615" s="301">
        <f t="shared" si="187"/>
        <v>27506.769230769234</v>
      </c>
      <c r="G615" s="301">
        <f t="shared" si="187"/>
        <v>3770.0213432400933</v>
      </c>
      <c r="H615" s="301">
        <f t="shared" si="188"/>
        <v>14903.012121212121</v>
      </c>
      <c r="I615" s="301"/>
      <c r="J615" s="301">
        <f t="shared" si="189"/>
        <v>88.550279999999987</v>
      </c>
      <c r="K615" s="301">
        <f t="shared" si="190"/>
        <v>570550.18271272152</v>
      </c>
      <c r="L615" s="301">
        <f>K615*0.25</f>
        <v>142637.54567818038</v>
      </c>
      <c r="M615" s="315">
        <f t="shared" si="191"/>
        <v>713187.72839090193</v>
      </c>
      <c r="N615" s="301">
        <f>M615+M620</f>
        <v>780534.189725996</v>
      </c>
      <c r="O615" s="301">
        <f t="shared" si="192"/>
        <v>14880.314423076923</v>
      </c>
    </row>
    <row r="616" spans="1:15" s="345" customFormat="1" ht="13.15" customHeight="1">
      <c r="A616" s="1036"/>
      <c r="B616" s="1037"/>
      <c r="C616" s="1036"/>
      <c r="D616" s="298">
        <v>4</v>
      </c>
      <c r="E616" s="301">
        <f t="shared" si="187"/>
        <v>633381.15165551484</v>
      </c>
      <c r="F616" s="301">
        <f t="shared" si="187"/>
        <v>32991.75</v>
      </c>
      <c r="G616" s="301">
        <f t="shared" si="187"/>
        <v>5056.7427288703948</v>
      </c>
      <c r="H616" s="301">
        <f t="shared" si="188"/>
        <v>12704.489075630252</v>
      </c>
      <c r="I616" s="301"/>
      <c r="J616" s="301">
        <f t="shared" si="189"/>
        <v>119.00196000000001</v>
      </c>
      <c r="K616" s="301">
        <f t="shared" si="190"/>
        <v>684253.13542001543</v>
      </c>
      <c r="L616" s="301">
        <f>K616*0.25</f>
        <v>171063.28385500386</v>
      </c>
      <c r="M616" s="315">
        <f t="shared" si="191"/>
        <v>855316.41927501932</v>
      </c>
      <c r="N616" s="301">
        <f>M616+M621</f>
        <v>933570.52400588105</v>
      </c>
      <c r="O616" s="301">
        <f t="shared" si="192"/>
        <v>17972.118507595344</v>
      </c>
    </row>
    <row r="617" spans="1:15" s="345" customFormat="1" ht="13.15" customHeight="1">
      <c r="A617" s="1036"/>
      <c r="B617" s="1037"/>
      <c r="C617" s="1036"/>
      <c r="D617" s="298">
        <v>5</v>
      </c>
      <c r="E617" s="301">
        <f t="shared" si="187"/>
        <v>761786.96356125036</v>
      </c>
      <c r="F617" s="301">
        <f t="shared" si="187"/>
        <v>39606.473076923081</v>
      </c>
      <c r="G617" s="301">
        <f t="shared" si="187"/>
        <v>6523.4802644230767</v>
      </c>
      <c r="H617" s="301">
        <f t="shared" si="188"/>
        <v>11072.085714285713</v>
      </c>
      <c r="I617" s="301"/>
      <c r="J617" s="301">
        <f t="shared" si="189"/>
        <v>149.45364000000001</v>
      </c>
      <c r="K617" s="301">
        <f t="shared" si="190"/>
        <v>819138.45625688217</v>
      </c>
      <c r="L617" s="301">
        <f>K617*0.25</f>
        <v>204784.61406422054</v>
      </c>
      <c r="M617" s="315">
        <f t="shared" si="191"/>
        <v>1023923.0703211027</v>
      </c>
      <c r="N617" s="301">
        <f>M617+M622</f>
        <v>1109132.7201767971</v>
      </c>
      <c r="O617" s="301">
        <f t="shared" si="192"/>
        <v>21611.70135989011</v>
      </c>
    </row>
    <row r="618" spans="1:15" s="345" customFormat="1">
      <c r="A618" s="1036"/>
      <c r="B618" s="1037" t="s">
        <v>331</v>
      </c>
      <c r="C618" s="1036" t="s">
        <v>49</v>
      </c>
      <c r="D618" s="333" t="s">
        <v>18</v>
      </c>
      <c r="E618" s="301">
        <f t="shared" si="187"/>
        <v>40432.410067500015</v>
      </c>
      <c r="F618" s="301">
        <f t="shared" si="187"/>
        <v>0</v>
      </c>
      <c r="G618" s="301">
        <f t="shared" si="187"/>
        <v>702.49286998461548</v>
      </c>
      <c r="H618" s="301">
        <f t="shared" si="188"/>
        <v>16473.25</v>
      </c>
      <c r="I618" s="301"/>
      <c r="J618" s="301">
        <f t="shared" si="189"/>
        <v>999.09557999999993</v>
      </c>
      <c r="K618" s="301">
        <f t="shared" si="190"/>
        <v>58607.24851748463</v>
      </c>
      <c r="L618" s="301">
        <f>K618*0.15</f>
        <v>8791.0872776226934</v>
      </c>
      <c r="M618" s="315">
        <f t="shared" si="191"/>
        <v>67398.335795107327</v>
      </c>
      <c r="N618" s="301"/>
      <c r="O618" s="301">
        <f t="shared" si="192"/>
        <v>1104.7828846153845</v>
      </c>
    </row>
    <row r="619" spans="1:15" s="345" customFormat="1">
      <c r="A619" s="1036"/>
      <c r="B619" s="1035"/>
      <c r="C619" s="1036"/>
      <c r="D619" s="298">
        <v>2</v>
      </c>
      <c r="E619" s="301">
        <f t="shared" si="187"/>
        <v>41100.365035714298</v>
      </c>
      <c r="F619" s="301">
        <f t="shared" si="187"/>
        <v>0</v>
      </c>
      <c r="G619" s="301">
        <f t="shared" si="187"/>
        <v>706.72107679945054</v>
      </c>
      <c r="H619" s="301">
        <f t="shared" si="188"/>
        <v>15822.714285714286</v>
      </c>
      <c r="I619" s="301"/>
      <c r="J619" s="301">
        <f t="shared" si="189"/>
        <v>983.40227999999991</v>
      </c>
      <c r="K619" s="301">
        <f t="shared" si="190"/>
        <v>58613.202678228037</v>
      </c>
      <c r="L619" s="301">
        <f>K619*0.15</f>
        <v>8791.9804017342049</v>
      </c>
      <c r="M619" s="315">
        <f t="shared" si="191"/>
        <v>67405.18307996224</v>
      </c>
      <c r="N619" s="301"/>
      <c r="O619" s="301">
        <f t="shared" si="192"/>
        <v>1113.8950549450549</v>
      </c>
    </row>
    <row r="620" spans="1:15" s="345" customFormat="1">
      <c r="A620" s="1036"/>
      <c r="B620" s="1035"/>
      <c r="C620" s="1036"/>
      <c r="D620" s="298">
        <v>3</v>
      </c>
      <c r="E620" s="301">
        <f t="shared" si="187"/>
        <v>41263.816770000012</v>
      </c>
      <c r="F620" s="301">
        <f t="shared" si="187"/>
        <v>0</v>
      </c>
      <c r="G620" s="301">
        <f t="shared" si="187"/>
        <v>756.56186562859352</v>
      </c>
      <c r="H620" s="301">
        <f t="shared" si="188"/>
        <v>15507.30303030303</v>
      </c>
      <c r="I620" s="301"/>
      <c r="J620" s="301">
        <f t="shared" si="189"/>
        <v>1034.4586254545454</v>
      </c>
      <c r="K620" s="301">
        <f t="shared" si="190"/>
        <v>58562.140291386182</v>
      </c>
      <c r="L620" s="301">
        <f>K620*0.15</f>
        <v>8784.3210437079269</v>
      </c>
      <c r="M620" s="315">
        <f t="shared" si="191"/>
        <v>67346.461335094107</v>
      </c>
      <c r="N620" s="301"/>
      <c r="O620" s="301">
        <f t="shared" si="192"/>
        <v>1115.093076923077</v>
      </c>
    </row>
    <row r="621" spans="1:15" s="345" customFormat="1">
      <c r="A621" s="1036"/>
      <c r="B621" s="1035"/>
      <c r="C621" s="1036"/>
      <c r="D621" s="298">
        <v>4</v>
      </c>
      <c r="E621" s="301">
        <f t="shared" si="187"/>
        <v>50901.478924537834</v>
      </c>
      <c r="F621" s="301">
        <f t="shared" si="187"/>
        <v>0</v>
      </c>
      <c r="G621" s="301">
        <f t="shared" si="187"/>
        <v>829.53773995277948</v>
      </c>
      <c r="H621" s="301">
        <f t="shared" si="188"/>
        <v>15210.44537815126</v>
      </c>
      <c r="I621" s="301"/>
      <c r="J621" s="301">
        <f t="shared" si="189"/>
        <v>1105.5855494117648</v>
      </c>
      <c r="K621" s="301">
        <f t="shared" si="190"/>
        <v>68047.047592053641</v>
      </c>
      <c r="L621" s="301">
        <f>K621*0.15</f>
        <v>10207.057138808046</v>
      </c>
      <c r="M621" s="315">
        <f t="shared" si="191"/>
        <v>78254.104730861683</v>
      </c>
      <c r="N621" s="301"/>
      <c r="O621" s="301">
        <f t="shared" si="192"/>
        <v>1351.4517517776339</v>
      </c>
    </row>
    <row r="622" spans="1:15" s="345" customFormat="1">
      <c r="A622" s="1036"/>
      <c r="B622" s="1035"/>
      <c r="C622" s="1036"/>
      <c r="D622" s="298">
        <v>5</v>
      </c>
      <c r="E622" s="301">
        <f t="shared" si="187"/>
        <v>57001.017319714301</v>
      </c>
      <c r="F622" s="301">
        <f t="shared" si="187"/>
        <v>0</v>
      </c>
      <c r="G622" s="301">
        <f t="shared" si="187"/>
        <v>918.71830946098885</v>
      </c>
      <c r="H622" s="301">
        <f t="shared" si="188"/>
        <v>14990.028571428571</v>
      </c>
      <c r="I622" s="301"/>
      <c r="J622" s="301">
        <f t="shared" si="189"/>
        <v>1185.5835000000002</v>
      </c>
      <c r="K622" s="301">
        <f t="shared" si="190"/>
        <v>74095.347700603845</v>
      </c>
      <c r="L622" s="301">
        <f>K622*0.15</f>
        <v>11114.302155090576</v>
      </c>
      <c r="M622" s="315">
        <f t="shared" si="191"/>
        <v>85209.649855694413</v>
      </c>
      <c r="N622" s="301"/>
      <c r="O622" s="301">
        <f t="shared" si="192"/>
        <v>1500.8682857142855</v>
      </c>
    </row>
    <row r="623" spans="1:15" s="345" customFormat="1" ht="13.5">
      <c r="A623" s="298" t="s">
        <v>334</v>
      </c>
      <c r="B623" s="340" t="s">
        <v>424</v>
      </c>
      <c r="C623" s="298"/>
      <c r="D623" s="298"/>
      <c r="E623" s="301"/>
      <c r="F623" s="301"/>
      <c r="G623" s="301"/>
      <c r="H623" s="301"/>
      <c r="I623" s="301"/>
      <c r="J623" s="301"/>
      <c r="K623" s="301"/>
      <c r="L623" s="301"/>
      <c r="M623" s="315"/>
      <c r="N623" s="301"/>
      <c r="O623" s="301"/>
    </row>
    <row r="624" spans="1:15" s="345" customFormat="1" ht="13.15" customHeight="1">
      <c r="A624" s="1036"/>
      <c r="B624" s="1037" t="s">
        <v>330</v>
      </c>
      <c r="C624" s="1036" t="s">
        <v>49</v>
      </c>
      <c r="D624" s="298">
        <v>1</v>
      </c>
      <c r="E624" s="301">
        <f t="shared" ref="E624:G633" si="193">E590*0.8</f>
        <v>323459.6651000001</v>
      </c>
      <c r="F624" s="301">
        <f t="shared" si="193"/>
        <v>16969.784615384615</v>
      </c>
      <c r="G624" s="301">
        <f t="shared" si="193"/>
        <v>2052.8243589743593</v>
      </c>
      <c r="H624" s="301">
        <f t="shared" ref="H624:H633" si="194">H602</f>
        <v>22056.799999999999</v>
      </c>
      <c r="I624" s="301"/>
      <c r="J624" s="301">
        <f t="shared" ref="J624:J633" si="195">J590*0.8</f>
        <v>48.081600000000002</v>
      </c>
      <c r="K624" s="301">
        <f t="shared" ref="K624:K633" si="196">SUM(E624:J624)</f>
        <v>364587.155674359</v>
      </c>
      <c r="L624" s="301">
        <f>K624*0.25</f>
        <v>91146.788918589751</v>
      </c>
      <c r="M624" s="315">
        <f t="shared" ref="M624:M633" si="197">K624+L624</f>
        <v>455733.94459294877</v>
      </c>
      <c r="N624" s="301">
        <f>M624+M629</f>
        <v>517748.49168859969</v>
      </c>
      <c r="O624" s="301">
        <f t="shared" ref="O624:O633" si="198">O590*0.8</f>
        <v>9187.7923076923089</v>
      </c>
    </row>
    <row r="625" spans="1:15" s="345" customFormat="1" ht="13.15" customHeight="1">
      <c r="A625" s="1036"/>
      <c r="B625" s="1037"/>
      <c r="C625" s="1036"/>
      <c r="D625" s="298">
        <v>2</v>
      </c>
      <c r="E625" s="301">
        <f t="shared" si="193"/>
        <v>386379.52961666684</v>
      </c>
      <c r="F625" s="301">
        <f t="shared" si="193"/>
        <v>20375.384615384617</v>
      </c>
      <c r="G625" s="301">
        <f t="shared" si="193"/>
        <v>2530.5501373626375</v>
      </c>
      <c r="H625" s="301">
        <f t="shared" si="194"/>
        <v>17238.942857142858</v>
      </c>
      <c r="I625" s="301"/>
      <c r="J625" s="301">
        <f t="shared" si="195"/>
        <v>59.478720000000003</v>
      </c>
      <c r="K625" s="301">
        <f t="shared" si="196"/>
        <v>426583.88594655693</v>
      </c>
      <c r="L625" s="301">
        <f>K625*0.25</f>
        <v>106645.97148663923</v>
      </c>
      <c r="M625" s="315">
        <f t="shared" si="197"/>
        <v>533229.85743319616</v>
      </c>
      <c r="N625" s="301">
        <f>M625+M630</f>
        <v>595167.36699633719</v>
      </c>
      <c r="O625" s="301">
        <f t="shared" si="198"/>
        <v>10968.847435897434</v>
      </c>
    </row>
    <row r="626" spans="1:15" s="345" customFormat="1" ht="13.15" customHeight="1">
      <c r="A626" s="1036"/>
      <c r="B626" s="1037"/>
      <c r="C626" s="1036"/>
      <c r="D626" s="298">
        <v>3</v>
      </c>
      <c r="E626" s="301">
        <f t="shared" si="193"/>
        <v>466028.29310000018</v>
      </c>
      <c r="F626" s="301">
        <f t="shared" si="193"/>
        <v>24450.461538461543</v>
      </c>
      <c r="G626" s="301">
        <f t="shared" si="193"/>
        <v>3351.1300828800831</v>
      </c>
      <c r="H626" s="301">
        <f t="shared" si="194"/>
        <v>14903.012121212121</v>
      </c>
      <c r="I626" s="301"/>
      <c r="J626" s="301">
        <f t="shared" si="195"/>
        <v>78.711359999999999</v>
      </c>
      <c r="K626" s="301">
        <f t="shared" si="196"/>
        <v>508811.60820255399</v>
      </c>
      <c r="L626" s="301">
        <f>K626*0.25</f>
        <v>127202.9020506385</v>
      </c>
      <c r="M626" s="315">
        <f t="shared" si="197"/>
        <v>636014.51025319251</v>
      </c>
      <c r="N626" s="301">
        <f>M626+M631</f>
        <v>697859.52016048157</v>
      </c>
      <c r="O626" s="301">
        <f t="shared" si="198"/>
        <v>13226.946153846155</v>
      </c>
    </row>
    <row r="627" spans="1:15" s="345" customFormat="1" ht="13.15" customHeight="1">
      <c r="A627" s="1036"/>
      <c r="B627" s="1037"/>
      <c r="C627" s="1036"/>
      <c r="D627" s="298">
        <v>4</v>
      </c>
      <c r="E627" s="301">
        <f t="shared" si="193"/>
        <v>563005.4681382355</v>
      </c>
      <c r="F627" s="301">
        <f t="shared" si="193"/>
        <v>29326</v>
      </c>
      <c r="G627" s="301">
        <f t="shared" si="193"/>
        <v>4494.882425662573</v>
      </c>
      <c r="H627" s="301">
        <f t="shared" si="194"/>
        <v>12704.489075630252</v>
      </c>
      <c r="I627" s="301"/>
      <c r="J627" s="301">
        <f t="shared" si="195"/>
        <v>105.77952000000001</v>
      </c>
      <c r="K627" s="301">
        <f t="shared" si="196"/>
        <v>609636.61915952829</v>
      </c>
      <c r="L627" s="301">
        <f>K627*0.25</f>
        <v>152409.15478988207</v>
      </c>
      <c r="M627" s="315">
        <f t="shared" si="197"/>
        <v>762045.7739494103</v>
      </c>
      <c r="N627" s="301">
        <f>M627+M632</f>
        <v>833548.53506405116</v>
      </c>
      <c r="O627" s="301">
        <f t="shared" si="198"/>
        <v>15975.216451195862</v>
      </c>
    </row>
    <row r="628" spans="1:15" s="345" customFormat="1" ht="13.15" customHeight="1">
      <c r="A628" s="1036"/>
      <c r="B628" s="1037"/>
      <c r="C628" s="1036"/>
      <c r="D628" s="298">
        <v>5</v>
      </c>
      <c r="E628" s="301">
        <f t="shared" si="193"/>
        <v>677143.96761000028</v>
      </c>
      <c r="F628" s="301">
        <f t="shared" si="193"/>
        <v>35205.75384615385</v>
      </c>
      <c r="G628" s="301">
        <f t="shared" si="193"/>
        <v>5798.6491239316238</v>
      </c>
      <c r="H628" s="301">
        <f t="shared" si="194"/>
        <v>11072.085714285713</v>
      </c>
      <c r="I628" s="301"/>
      <c r="J628" s="301">
        <f t="shared" si="195"/>
        <v>132.84768000000003</v>
      </c>
      <c r="K628" s="301">
        <f t="shared" si="196"/>
        <v>729353.30397437152</v>
      </c>
      <c r="L628" s="301">
        <f>K628*0.25</f>
        <v>182338.32599359288</v>
      </c>
      <c r="M628" s="315">
        <f t="shared" si="197"/>
        <v>911691.62996796437</v>
      </c>
      <c r="N628" s="301">
        <f>M628+M633</f>
        <v>989348.93349048635</v>
      </c>
      <c r="O628" s="301">
        <f t="shared" si="198"/>
        <v>19210.401208791209</v>
      </c>
    </row>
    <row r="629" spans="1:15" s="345" customFormat="1" ht="13.15" customHeight="1">
      <c r="A629" s="1036"/>
      <c r="B629" s="1037" t="s">
        <v>331</v>
      </c>
      <c r="C629" s="1036" t="s">
        <v>49</v>
      </c>
      <c r="D629" s="333" t="s">
        <v>18</v>
      </c>
      <c r="E629" s="301">
        <f t="shared" si="193"/>
        <v>35939.920060000011</v>
      </c>
      <c r="F629" s="301">
        <f t="shared" si="193"/>
        <v>0</v>
      </c>
      <c r="G629" s="301">
        <f t="shared" si="193"/>
        <v>624.43810665299156</v>
      </c>
      <c r="H629" s="301">
        <f t="shared" si="194"/>
        <v>16473.25</v>
      </c>
      <c r="I629" s="301"/>
      <c r="J629" s="301">
        <f t="shared" si="195"/>
        <v>888.08496000000002</v>
      </c>
      <c r="K629" s="301">
        <f t="shared" si="196"/>
        <v>53925.693126653001</v>
      </c>
      <c r="L629" s="301">
        <f>K629*0.15</f>
        <v>8088.8539689979498</v>
      </c>
      <c r="M629" s="315">
        <f t="shared" si="197"/>
        <v>62014.547095650953</v>
      </c>
      <c r="N629" s="301"/>
      <c r="O629" s="301">
        <f t="shared" si="198"/>
        <v>982.02923076923071</v>
      </c>
    </row>
    <row r="630" spans="1:15" s="345" customFormat="1" ht="13.15" customHeight="1">
      <c r="A630" s="1036"/>
      <c r="B630" s="1037"/>
      <c r="C630" s="1036"/>
      <c r="D630" s="298">
        <v>2</v>
      </c>
      <c r="E630" s="301">
        <f t="shared" si="193"/>
        <v>36533.657809523822</v>
      </c>
      <c r="F630" s="301">
        <f t="shared" si="193"/>
        <v>0</v>
      </c>
      <c r="G630" s="301">
        <f t="shared" si="193"/>
        <v>628.19651271062276</v>
      </c>
      <c r="H630" s="301">
        <f t="shared" si="194"/>
        <v>15822.714285714286</v>
      </c>
      <c r="I630" s="301"/>
      <c r="J630" s="301">
        <f t="shared" si="195"/>
        <v>874.13535999999988</v>
      </c>
      <c r="K630" s="301">
        <f t="shared" si="196"/>
        <v>53858.703967948735</v>
      </c>
      <c r="L630" s="301">
        <f>K630*0.15</f>
        <v>8078.8055951923097</v>
      </c>
      <c r="M630" s="315">
        <f t="shared" si="197"/>
        <v>61937.509563141044</v>
      </c>
      <c r="N630" s="301"/>
      <c r="O630" s="301">
        <f t="shared" si="198"/>
        <v>990.12893772893767</v>
      </c>
    </row>
    <row r="631" spans="1:15" s="345" customFormat="1" ht="13.15" customHeight="1">
      <c r="A631" s="1036"/>
      <c r="B631" s="1037"/>
      <c r="C631" s="1036"/>
      <c r="D631" s="298">
        <v>3</v>
      </c>
      <c r="E631" s="301">
        <f t="shared" si="193"/>
        <v>36678.948240000012</v>
      </c>
      <c r="F631" s="301">
        <f t="shared" si="193"/>
        <v>0</v>
      </c>
      <c r="G631" s="301">
        <f t="shared" si="193"/>
        <v>672.49943611430535</v>
      </c>
      <c r="H631" s="301">
        <f t="shared" si="194"/>
        <v>15507.30303030303</v>
      </c>
      <c r="I631" s="301"/>
      <c r="J631" s="301">
        <f t="shared" si="195"/>
        <v>919.51877818181822</v>
      </c>
      <c r="K631" s="301">
        <f t="shared" si="196"/>
        <v>53778.269484599165</v>
      </c>
      <c r="L631" s="301">
        <f>K631*0.15</f>
        <v>8066.7404226898743</v>
      </c>
      <c r="M631" s="315">
        <f t="shared" si="197"/>
        <v>61845.009907289037</v>
      </c>
      <c r="N631" s="301"/>
      <c r="O631" s="301">
        <f t="shared" si="198"/>
        <v>991.19384615384627</v>
      </c>
    </row>
    <row r="632" spans="1:15" s="345" customFormat="1" ht="13.15" customHeight="1">
      <c r="A632" s="1036"/>
      <c r="B632" s="1037"/>
      <c r="C632" s="1036"/>
      <c r="D632" s="298">
        <v>4</v>
      </c>
      <c r="E632" s="301">
        <f t="shared" si="193"/>
        <v>45245.759044033628</v>
      </c>
      <c r="F632" s="301">
        <f t="shared" si="193"/>
        <v>0</v>
      </c>
      <c r="G632" s="301">
        <f t="shared" si="193"/>
        <v>737.36687995802629</v>
      </c>
      <c r="H632" s="301">
        <f t="shared" si="194"/>
        <v>15210.44537815126</v>
      </c>
      <c r="I632" s="301"/>
      <c r="J632" s="301">
        <f t="shared" si="195"/>
        <v>982.74271058823524</v>
      </c>
      <c r="K632" s="301">
        <f t="shared" si="196"/>
        <v>62176.314012731149</v>
      </c>
      <c r="L632" s="301">
        <f>K632*0.15</f>
        <v>9326.4471019096727</v>
      </c>
      <c r="M632" s="315">
        <f t="shared" si="197"/>
        <v>71502.761114640816</v>
      </c>
      <c r="N632" s="301"/>
      <c r="O632" s="301">
        <f t="shared" si="198"/>
        <v>1201.2904460245634</v>
      </c>
    </row>
    <row r="633" spans="1:15" s="345" customFormat="1" ht="13.15" customHeight="1">
      <c r="A633" s="1036"/>
      <c r="B633" s="1037"/>
      <c r="C633" s="1036"/>
      <c r="D633" s="298">
        <v>5</v>
      </c>
      <c r="E633" s="301">
        <f t="shared" si="193"/>
        <v>50667.57095085716</v>
      </c>
      <c r="F633" s="301">
        <f t="shared" si="193"/>
        <v>0</v>
      </c>
      <c r="G633" s="301">
        <f t="shared" si="193"/>
        <v>816.63849729865683</v>
      </c>
      <c r="H633" s="301">
        <f t="shared" si="194"/>
        <v>14990.028571428571</v>
      </c>
      <c r="I633" s="301"/>
      <c r="J633" s="301">
        <f t="shared" si="195"/>
        <v>1053.8520000000001</v>
      </c>
      <c r="K633" s="301">
        <f t="shared" si="196"/>
        <v>67528.090019584386</v>
      </c>
      <c r="L633" s="301">
        <f>K633*0.15</f>
        <v>10129.213502937657</v>
      </c>
      <c r="M633" s="315">
        <f t="shared" si="197"/>
        <v>77657.303522522037</v>
      </c>
      <c r="N633" s="301"/>
      <c r="O633" s="301">
        <f t="shared" si="198"/>
        <v>1334.1051428571427</v>
      </c>
    </row>
    <row r="634" spans="1:15" s="308" customFormat="1" ht="12.75" customHeight="1">
      <c r="A634" s="298" t="s">
        <v>335</v>
      </c>
      <c r="B634" s="340" t="s">
        <v>491</v>
      </c>
      <c r="C634" s="316"/>
      <c r="D634" s="298"/>
      <c r="E634" s="301"/>
      <c r="F634" s="301"/>
      <c r="G634" s="301"/>
      <c r="H634" s="301"/>
      <c r="I634" s="301"/>
      <c r="J634" s="301"/>
      <c r="K634" s="301"/>
      <c r="L634" s="301"/>
      <c r="M634" s="315"/>
      <c r="N634" s="301"/>
      <c r="O634" s="301"/>
    </row>
    <row r="635" spans="1:15" s="308" customFormat="1" ht="13.9" customHeight="1">
      <c r="A635" s="1036"/>
      <c r="B635" s="1035" t="s">
        <v>389</v>
      </c>
      <c r="C635" s="1036" t="s">
        <v>49</v>
      </c>
      <c r="D635" s="333" t="s">
        <v>18</v>
      </c>
      <c r="E635" s="301">
        <f>E$667/100+(E$669+E$670)/$C595</f>
        <v>12373.218000000003</v>
      </c>
      <c r="F635" s="301"/>
      <c r="G635" s="301">
        <f t="shared" ref="G635:H639" si="199">G595</f>
        <v>780.5476333162394</v>
      </c>
      <c r="H635" s="301">
        <f t="shared" si="199"/>
        <v>16473.25</v>
      </c>
      <c r="I635" s="301"/>
      <c r="J635" s="301">
        <f>J595</f>
        <v>1110.1061999999999</v>
      </c>
      <c r="K635" s="301">
        <f>SUM(E635:J635)</f>
        <v>30737.12183331624</v>
      </c>
      <c r="L635" s="301">
        <f>K635*0.15</f>
        <v>4610.5682749974358</v>
      </c>
      <c r="M635" s="315">
        <f>K635+L635</f>
        <v>35347.690108313676</v>
      </c>
      <c r="N635" s="301">
        <f>M635</f>
        <v>35347.690108313676</v>
      </c>
      <c r="O635" s="301">
        <f>O$667/100+(O$669+O$670)/$C595</f>
        <v>350.30769230769226</v>
      </c>
    </row>
    <row r="636" spans="1:15" s="308" customFormat="1" ht="13.9" customHeight="1">
      <c r="A636" s="1036"/>
      <c r="B636" s="1035"/>
      <c r="C636" s="1036"/>
      <c r="D636" s="333" t="s">
        <v>20</v>
      </c>
      <c r="E636" s="301">
        <f>E$667/100+(E$669+E$670)/$C596</f>
        <v>11882.217285714289</v>
      </c>
      <c r="F636" s="301"/>
      <c r="G636" s="301">
        <f t="shared" si="199"/>
        <v>785.24564088827833</v>
      </c>
      <c r="H636" s="301">
        <f t="shared" si="199"/>
        <v>15822.714285714286</v>
      </c>
      <c r="I636" s="301"/>
      <c r="J636" s="301">
        <f>J596</f>
        <v>1092.6691999999998</v>
      </c>
      <c r="K636" s="301">
        <f>SUM(E636:J636)</f>
        <v>29582.846412316856</v>
      </c>
      <c r="L636" s="301">
        <f>K636*0.15</f>
        <v>4437.4269618475282</v>
      </c>
      <c r="M636" s="315">
        <f>K636+L636</f>
        <v>34020.273374164382</v>
      </c>
      <c r="N636" s="301">
        <f>M636</f>
        <v>34020.273374164382</v>
      </c>
      <c r="O636" s="301">
        <f>O$667/100+(O$669+O$670)/$C596</f>
        <v>336.4065934065934</v>
      </c>
    </row>
    <row r="637" spans="1:15" s="308" customFormat="1" ht="13.9" customHeight="1">
      <c r="A637" s="1036"/>
      <c r="B637" s="1035"/>
      <c r="C637" s="1036"/>
      <c r="D637" s="333" t="s">
        <v>35</v>
      </c>
      <c r="E637" s="301">
        <f>E$667/100+(E$669+E$670)/$C597</f>
        <v>11644.156333333336</v>
      </c>
      <c r="F637" s="301"/>
      <c r="G637" s="301">
        <f t="shared" si="199"/>
        <v>840.62429514288169</v>
      </c>
      <c r="H637" s="301">
        <f t="shared" si="199"/>
        <v>15507.30303030303</v>
      </c>
      <c r="I637" s="301"/>
      <c r="J637" s="301">
        <f>J597</f>
        <v>1149.3984727272727</v>
      </c>
      <c r="K637" s="301">
        <f>SUM(E637:J637)</f>
        <v>29141.48213150652</v>
      </c>
      <c r="L637" s="301">
        <f>K637*0.15</f>
        <v>4371.2223197259782</v>
      </c>
      <c r="M637" s="315">
        <f>K637+L637</f>
        <v>33512.704451232501</v>
      </c>
      <c r="N637" s="301">
        <f>M637</f>
        <v>33512.704451232501</v>
      </c>
      <c r="O637" s="301">
        <f>O$667/100+(O$669+O$670)/$C597</f>
        <v>329.66666666666663</v>
      </c>
    </row>
    <row r="638" spans="1:15" s="308" customFormat="1" ht="13.9" customHeight="1">
      <c r="A638" s="1036"/>
      <c r="B638" s="1035"/>
      <c r="C638" s="1036"/>
      <c r="D638" s="339" t="s">
        <v>33</v>
      </c>
      <c r="E638" s="301">
        <f>E$667/100+(E$669+E$670)/$C598</f>
        <v>11420.098966386558</v>
      </c>
      <c r="F638" s="301"/>
      <c r="G638" s="301">
        <f t="shared" si="199"/>
        <v>921.70859994753278</v>
      </c>
      <c r="H638" s="301">
        <f t="shared" si="199"/>
        <v>15210.44537815126</v>
      </c>
      <c r="I638" s="301"/>
      <c r="J638" s="301">
        <f>J598</f>
        <v>1228.4283882352941</v>
      </c>
      <c r="K638" s="301">
        <f>SUM(E638:J638)</f>
        <v>28780.681332720644</v>
      </c>
      <c r="L638" s="301">
        <f>K638*0.15</f>
        <v>4317.1021999080967</v>
      </c>
      <c r="M638" s="315">
        <f>K638+L638</f>
        <v>33097.783532628739</v>
      </c>
      <c r="N638" s="301">
        <f>M638</f>
        <v>33097.783532628739</v>
      </c>
      <c r="O638" s="301">
        <f>O$667/100+(O$669+O$670)/$C598</f>
        <v>323.32320620555913</v>
      </c>
    </row>
    <row r="639" spans="1:15" s="308" customFormat="1" ht="13.9" customHeight="1">
      <c r="A639" s="298"/>
      <c r="B639" s="340"/>
      <c r="C639" s="298"/>
      <c r="D639" s="347">
        <v>5</v>
      </c>
      <c r="E639" s="301">
        <f>E$667/100+(E$669+E$670)/$C599</f>
        <v>11253.736371428575</v>
      </c>
      <c r="F639" s="301"/>
      <c r="G639" s="301">
        <f t="shared" si="199"/>
        <v>1020.798121623321</v>
      </c>
      <c r="H639" s="301">
        <f t="shared" si="199"/>
        <v>14990.028571428571</v>
      </c>
      <c r="I639" s="301"/>
      <c r="J639" s="301">
        <f>J599</f>
        <v>1317.3150000000001</v>
      </c>
      <c r="K639" s="301">
        <f>SUM(E639:J639)</f>
        <v>28581.878064480465</v>
      </c>
      <c r="L639" s="301">
        <f>K639*0.15</f>
        <v>4287.2817096720692</v>
      </c>
      <c r="M639" s="315">
        <f>K639+L639</f>
        <v>32869.159774152533</v>
      </c>
      <c r="N639" s="301">
        <f>M639</f>
        <v>32869.159774152533</v>
      </c>
      <c r="O639" s="301">
        <f>O$667/100+(O$669+O$670)/$C599</f>
        <v>318.61318681318681</v>
      </c>
    </row>
    <row r="640" spans="1:15" s="345" customFormat="1">
      <c r="A640" s="298">
        <v>1</v>
      </c>
      <c r="B640" s="316" t="s">
        <v>190</v>
      </c>
      <c r="C640" s="333"/>
      <c r="D640" s="333"/>
      <c r="E640" s="301"/>
      <c r="F640" s="301"/>
      <c r="G640" s="301"/>
      <c r="H640" s="301"/>
      <c r="I640" s="301"/>
      <c r="J640" s="301"/>
      <c r="K640" s="301"/>
      <c r="L640" s="301"/>
      <c r="M640" s="302"/>
      <c r="N640" s="301"/>
      <c r="O640" s="301"/>
    </row>
    <row r="641" spans="1:15" s="345" customFormat="1">
      <c r="A641" s="1043">
        <v>1.1000000000000001</v>
      </c>
      <c r="B641" s="1038" t="str">
        <f>NhanCong!B$150</f>
        <v>Đối soát thực địa (công nhóm/mảnh)</v>
      </c>
      <c r="C641" s="1039" t="s">
        <v>317</v>
      </c>
      <c r="D641" s="319" t="s">
        <v>18</v>
      </c>
      <c r="E641" s="301">
        <f>NhanCong!M$150</f>
        <v>565168.60400000005</v>
      </c>
      <c r="F641" s="301"/>
      <c r="G641" s="320">
        <f>Dcu!N$200</f>
        <v>4768.5538461538463</v>
      </c>
      <c r="H641" s="320">
        <f>VLieu!F$133/6.25</f>
        <v>647520</v>
      </c>
      <c r="I641" s="320"/>
      <c r="J641" s="320"/>
      <c r="K641" s="320">
        <f t="shared" ref="K641:K655" si="200">SUM(E641:J641)</f>
        <v>1217457.1578461539</v>
      </c>
      <c r="L641" s="320">
        <f>K641*0.25</f>
        <v>304364.28946153849</v>
      </c>
      <c r="M641" s="321">
        <f t="shared" ref="M641:M655" si="201">K641+L641</f>
        <v>1521821.4473076924</v>
      </c>
      <c r="N641" s="320"/>
      <c r="O641" s="320">
        <f>NhanCong!N$150</f>
        <v>17204</v>
      </c>
    </row>
    <row r="642" spans="1:15" s="345" customFormat="1">
      <c r="A642" s="1043"/>
      <c r="B642" s="1038"/>
      <c r="C642" s="1039"/>
      <c r="D642" s="319" t="s">
        <v>20</v>
      </c>
      <c r="E642" s="301">
        <f>NhanCong!M$151</f>
        <v>733951.98800000013</v>
      </c>
      <c r="F642" s="301"/>
      <c r="G642" s="320">
        <f>Dcu!N$201</f>
        <v>5960.6923076923085</v>
      </c>
      <c r="H642" s="320">
        <f>VLieu!F$133/6.25</f>
        <v>647520</v>
      </c>
      <c r="I642" s="320"/>
      <c r="J642" s="320"/>
      <c r="K642" s="320">
        <f t="shared" si="200"/>
        <v>1387432.6803076924</v>
      </c>
      <c r="L642" s="320">
        <f t="shared" ref="L642:L655" si="202">K642*0.25</f>
        <v>346858.1700769231</v>
      </c>
      <c r="M642" s="321">
        <f t="shared" si="201"/>
        <v>1734290.8503846154</v>
      </c>
      <c r="N642" s="320"/>
      <c r="O642" s="320">
        <f>NhanCong!N$151</f>
        <v>22341.846153846156</v>
      </c>
    </row>
    <row r="643" spans="1:15" s="345" customFormat="1">
      <c r="A643" s="1043"/>
      <c r="B643" s="1038"/>
      <c r="C643" s="1039"/>
      <c r="D643" s="319" t="s">
        <v>35</v>
      </c>
      <c r="E643" s="301">
        <f>NhanCong!M$152</f>
        <v>955160.51400000008</v>
      </c>
      <c r="F643" s="301"/>
      <c r="G643" s="320">
        <f>Dcu!N$202</f>
        <v>7947.5897435897441</v>
      </c>
      <c r="H643" s="320">
        <f>VLieu!F$133/6.25</f>
        <v>647520</v>
      </c>
      <c r="I643" s="320"/>
      <c r="J643" s="320"/>
      <c r="K643" s="320">
        <f t="shared" si="200"/>
        <v>1610628.1037435899</v>
      </c>
      <c r="L643" s="320">
        <f t="shared" si="202"/>
        <v>402657.02593589749</v>
      </c>
      <c r="M643" s="321">
        <f t="shared" si="201"/>
        <v>2013285.1296794876</v>
      </c>
      <c r="N643" s="320"/>
      <c r="O643" s="320">
        <f>NhanCong!N$152</f>
        <v>29075.538461538461</v>
      </c>
    </row>
    <row r="644" spans="1:15" s="345" customFormat="1">
      <c r="A644" s="1043"/>
      <c r="B644" s="1038"/>
      <c r="C644" s="1039"/>
      <c r="D644" s="319" t="s">
        <v>33</v>
      </c>
      <c r="E644" s="301">
        <f>NhanCong!M$153</f>
        <v>1241580.8020000004</v>
      </c>
      <c r="F644" s="301"/>
      <c r="G644" s="320">
        <f>Dcu!N$203</f>
        <v>10729.246153846156</v>
      </c>
      <c r="H644" s="320">
        <f>VLieu!F$133/6.25</f>
        <v>647520</v>
      </c>
      <c r="I644" s="320"/>
      <c r="J644" s="320"/>
      <c r="K644" s="320">
        <f t="shared" si="200"/>
        <v>1899830.0481538465</v>
      </c>
      <c r="L644" s="320">
        <f t="shared" si="202"/>
        <v>474957.51203846163</v>
      </c>
      <c r="M644" s="321">
        <f t="shared" si="201"/>
        <v>2374787.5601923084</v>
      </c>
      <c r="N644" s="320"/>
      <c r="O644" s="320">
        <f>NhanCong!N$153</f>
        <v>37794.307692307695</v>
      </c>
    </row>
    <row r="645" spans="1:15" s="345" customFormat="1">
      <c r="A645" s="1043"/>
      <c r="B645" s="1038"/>
      <c r="C645" s="1039"/>
      <c r="D645" s="319" t="s">
        <v>13</v>
      </c>
      <c r="E645" s="301">
        <f>NhanCong!M$154</f>
        <v>1613671.4440000001</v>
      </c>
      <c r="F645" s="301"/>
      <c r="G645" s="320">
        <f>Dcu!N$204</f>
        <v>13908.282051282053</v>
      </c>
      <c r="H645" s="320">
        <f>VLieu!F$133/6.25</f>
        <v>647520</v>
      </c>
      <c r="I645" s="320"/>
      <c r="J645" s="320"/>
      <c r="K645" s="320">
        <f t="shared" si="200"/>
        <v>2275099.7260512821</v>
      </c>
      <c r="L645" s="320">
        <f t="shared" si="202"/>
        <v>568774.93151282053</v>
      </c>
      <c r="M645" s="321">
        <f t="shared" si="201"/>
        <v>2843874.6575641027</v>
      </c>
      <c r="N645" s="320"/>
      <c r="O645" s="320">
        <f>NhanCong!N$154</f>
        <v>49120.923076923078</v>
      </c>
    </row>
    <row r="646" spans="1:15" s="345" customFormat="1" ht="12.75" customHeight="1">
      <c r="A646" s="1043">
        <v>1.2</v>
      </c>
      <c r="B646" s="1038" t="str">
        <f>NhanCong!B$156</f>
        <v>Lưới đo vẽ (công nhóm/100 thửa có biến động cần chỉnh lý)</v>
      </c>
      <c r="C646" s="1040" t="s">
        <v>329</v>
      </c>
      <c r="D646" s="319" t="s">
        <v>18</v>
      </c>
      <c r="E646" s="301">
        <f>NhanCong!M$156</f>
        <v>2835529.1250000009</v>
      </c>
      <c r="F646" s="301"/>
      <c r="G646" s="320">
        <f>Dcu!N$222</f>
        <v>42758.455128205125</v>
      </c>
      <c r="H646" s="320">
        <f>VLieu!L$135</f>
        <v>9109</v>
      </c>
      <c r="I646" s="320"/>
      <c r="J646" s="320">
        <f>TBi!N$316</f>
        <v>445.20000000000005</v>
      </c>
      <c r="K646" s="320">
        <f t="shared" si="200"/>
        <v>2887841.7801282061</v>
      </c>
      <c r="L646" s="320">
        <f t="shared" si="202"/>
        <v>721960.44503205153</v>
      </c>
      <c r="M646" s="321">
        <f t="shared" si="201"/>
        <v>3609802.2251602579</v>
      </c>
      <c r="N646" s="320"/>
      <c r="O646" s="320">
        <f>NhanCong!N$156</f>
        <v>80278.846153846156</v>
      </c>
    </row>
    <row r="647" spans="1:15" s="345" customFormat="1">
      <c r="A647" s="1043"/>
      <c r="B647" s="1038"/>
      <c r="C647" s="1039" t="s">
        <v>49</v>
      </c>
      <c r="D647" s="319" t="s">
        <v>20</v>
      </c>
      <c r="E647" s="301">
        <f>NhanCong!M$157</f>
        <v>3544411.4062500005</v>
      </c>
      <c r="F647" s="301"/>
      <c r="G647" s="320">
        <f>Dcu!N$223</f>
        <v>53448.068910256407</v>
      </c>
      <c r="H647" s="320">
        <f>VLieu!L$135</f>
        <v>9109</v>
      </c>
      <c r="I647" s="320"/>
      <c r="J647" s="320">
        <f>TBi!O$316</f>
        <v>534.24</v>
      </c>
      <c r="K647" s="320">
        <f t="shared" si="200"/>
        <v>3607502.7151602572</v>
      </c>
      <c r="L647" s="320">
        <f t="shared" si="202"/>
        <v>901875.6787900643</v>
      </c>
      <c r="M647" s="321">
        <f t="shared" si="201"/>
        <v>4509378.3939503217</v>
      </c>
      <c r="N647" s="320"/>
      <c r="O647" s="320">
        <f>NhanCong!N$157</f>
        <v>100348.55769230769</v>
      </c>
    </row>
    <row r="648" spans="1:15" s="345" customFormat="1">
      <c r="A648" s="1043"/>
      <c r="B648" s="1038"/>
      <c r="C648" s="1039"/>
      <c r="D648" s="319" t="s">
        <v>35</v>
      </c>
      <c r="E648" s="301">
        <f>NhanCong!M$158</f>
        <v>4725881.8750000019</v>
      </c>
      <c r="F648" s="301"/>
      <c r="G648" s="320">
        <f>Dcu!N$224</f>
        <v>71264.091880341875</v>
      </c>
      <c r="H648" s="320">
        <f>VLieu!L$135</f>
        <v>9109</v>
      </c>
      <c r="I648" s="320"/>
      <c r="J648" s="320">
        <f>TBi!P$316</f>
        <v>712.32</v>
      </c>
      <c r="K648" s="320">
        <f t="shared" si="200"/>
        <v>4806967.2868803442</v>
      </c>
      <c r="L648" s="320">
        <f t="shared" si="202"/>
        <v>1201741.821720086</v>
      </c>
      <c r="M648" s="321">
        <f t="shared" si="201"/>
        <v>6008709.1086004302</v>
      </c>
      <c r="N648" s="320"/>
      <c r="O648" s="320">
        <f>NhanCong!N$158</f>
        <v>133798.07692307691</v>
      </c>
    </row>
    <row r="649" spans="1:15" s="345" customFormat="1">
      <c r="A649" s="1043"/>
      <c r="B649" s="1038"/>
      <c r="C649" s="1039"/>
      <c r="D649" s="319" t="s">
        <v>33</v>
      </c>
      <c r="E649" s="301">
        <f>NhanCong!M$159</f>
        <v>6379940.5312500019</v>
      </c>
      <c r="F649" s="301"/>
      <c r="G649" s="320">
        <f>Dcu!N$225</f>
        <v>96206.524038461532</v>
      </c>
      <c r="H649" s="320">
        <f>VLieu!L$135</f>
        <v>9109</v>
      </c>
      <c r="I649" s="320"/>
      <c r="J649" s="320">
        <f>TBi!Q$316</f>
        <v>979.44</v>
      </c>
      <c r="K649" s="320">
        <f t="shared" si="200"/>
        <v>6486235.4952884642</v>
      </c>
      <c r="L649" s="320">
        <f t="shared" si="202"/>
        <v>1621558.8738221161</v>
      </c>
      <c r="M649" s="321">
        <f t="shared" si="201"/>
        <v>8107794.3691105805</v>
      </c>
      <c r="N649" s="320"/>
      <c r="O649" s="320">
        <f>NhanCong!N$159</f>
        <v>180627.40384615387</v>
      </c>
    </row>
    <row r="650" spans="1:15" s="345" customFormat="1">
      <c r="A650" s="1043"/>
      <c r="B650" s="1038"/>
      <c r="C650" s="1039"/>
      <c r="D650" s="319" t="s">
        <v>13</v>
      </c>
      <c r="E650" s="301">
        <f>NhanCong!M$160</f>
        <v>8033999.1875000028</v>
      </c>
      <c r="F650" s="301"/>
      <c r="G650" s="320">
        <f>Dcu!N$226</f>
        <v>124712.16079059828</v>
      </c>
      <c r="H650" s="320">
        <f>VLieu!L$135</f>
        <v>9109</v>
      </c>
      <c r="I650" s="320"/>
      <c r="J650" s="320">
        <f>TBi!R$316</f>
        <v>1246.5600000000002</v>
      </c>
      <c r="K650" s="320">
        <f t="shared" si="200"/>
        <v>8169066.9082906004</v>
      </c>
      <c r="L650" s="320">
        <f t="shared" si="202"/>
        <v>2042266.7270726501</v>
      </c>
      <c r="M650" s="321">
        <f t="shared" si="201"/>
        <v>10211333.635363251</v>
      </c>
      <c r="N650" s="320"/>
      <c r="O650" s="320">
        <f>NhanCong!N$160</f>
        <v>227456.73076923078</v>
      </c>
    </row>
    <row r="651" spans="1:15" s="345" customFormat="1" ht="12.75" customHeight="1">
      <c r="A651" s="1043">
        <v>1.3</v>
      </c>
      <c r="B651" s="1038" t="str">
        <f>NhanCong!B$162</f>
        <v>Đo đạc ranh giới thửa đất và các đối tượng địa lý có liên quan (công nhóm/100 thửa có biến động cần chỉnh lý)</v>
      </c>
      <c r="C651" s="1040" t="s">
        <v>329</v>
      </c>
      <c r="D651" s="319" t="s">
        <v>18</v>
      </c>
      <c r="E651" s="301">
        <f>NhanCong!M$162</f>
        <v>35830777.125000007</v>
      </c>
      <c r="F651" s="301">
        <f>NhanCong!M$163</f>
        <v>2121223.076923077</v>
      </c>
      <c r="G651" s="320">
        <f>Dcu!N$246</f>
        <v>198942.85897435897</v>
      </c>
      <c r="H651" s="320">
        <f>VLieu!L$145</f>
        <v>182180</v>
      </c>
      <c r="I651" s="320"/>
      <c r="J651" s="320">
        <f>TBi!N$351</f>
        <v>5565</v>
      </c>
      <c r="K651" s="320">
        <f t="shared" si="200"/>
        <v>38338688.060897447</v>
      </c>
      <c r="L651" s="320">
        <f t="shared" si="202"/>
        <v>9584672.0152243618</v>
      </c>
      <c r="M651" s="321">
        <f t="shared" si="201"/>
        <v>47923360.076121807</v>
      </c>
      <c r="N651" s="320"/>
      <c r="O651" s="320">
        <f>NhanCong!N$162</f>
        <v>1014432.6923076924</v>
      </c>
    </row>
    <row r="652" spans="1:15" s="345" customFormat="1">
      <c r="A652" s="1043"/>
      <c r="B652" s="1038"/>
      <c r="C652" s="1039" t="s">
        <v>49</v>
      </c>
      <c r="D652" s="319" t="s">
        <v>20</v>
      </c>
      <c r="E652" s="301">
        <f>NhanCong!M$164</f>
        <v>43005525.062500015</v>
      </c>
      <c r="F652" s="301">
        <f>NhanCong!M$165</f>
        <v>2546923.076923077</v>
      </c>
      <c r="G652" s="320">
        <f>Dcu!N$247</f>
        <v>248678.57371794872</v>
      </c>
      <c r="H652" s="320">
        <f>VLieu!L$145</f>
        <v>182180</v>
      </c>
      <c r="I652" s="320"/>
      <c r="J652" s="320">
        <f>TBi!O$351</f>
        <v>6900.6</v>
      </c>
      <c r="K652" s="320">
        <f t="shared" si="200"/>
        <v>45990207.313141048</v>
      </c>
      <c r="L652" s="320">
        <f t="shared" si="202"/>
        <v>11497551.828285262</v>
      </c>
      <c r="M652" s="321">
        <f t="shared" si="201"/>
        <v>57487759.14142631</v>
      </c>
      <c r="N652" s="320"/>
      <c r="O652" s="320">
        <f>NhanCong!N$164</f>
        <v>1217562.4999999998</v>
      </c>
    </row>
    <row r="653" spans="1:15" s="345" customFormat="1">
      <c r="A653" s="1043"/>
      <c r="B653" s="1038"/>
      <c r="C653" s="1039"/>
      <c r="D653" s="319" t="s">
        <v>35</v>
      </c>
      <c r="E653" s="301">
        <f>NhanCong!M$166</f>
        <v>51598037.562500015</v>
      </c>
      <c r="F653" s="301">
        <f>NhanCong!M$167</f>
        <v>3056307.6923076925</v>
      </c>
      <c r="G653" s="320">
        <f>Dcu!N$248</f>
        <v>331571.43162393162</v>
      </c>
      <c r="H653" s="320">
        <f>VLieu!L$145</f>
        <v>182180</v>
      </c>
      <c r="I653" s="320"/>
      <c r="J653" s="320">
        <f>TBi!P$351</f>
        <v>9126.5999999999985</v>
      </c>
      <c r="K653" s="320">
        <f t="shared" si="200"/>
        <v>55177223.28643164</v>
      </c>
      <c r="L653" s="320">
        <f t="shared" si="202"/>
        <v>13794305.82160791</v>
      </c>
      <c r="M653" s="321">
        <f t="shared" si="201"/>
        <v>68971529.108039558</v>
      </c>
      <c r="N653" s="320"/>
      <c r="O653" s="320">
        <f>NhanCong!N$166</f>
        <v>1460831.7307692305</v>
      </c>
    </row>
    <row r="654" spans="1:15" s="345" customFormat="1">
      <c r="A654" s="1043"/>
      <c r="B654" s="1038"/>
      <c r="C654" s="1039"/>
      <c r="D654" s="319" t="s">
        <v>33</v>
      </c>
      <c r="E654" s="301">
        <f>NhanCong!M$168</f>
        <v>61909052.562500015</v>
      </c>
      <c r="F654" s="301">
        <f>NhanCong!M$169</f>
        <v>3665750</v>
      </c>
      <c r="G654" s="320">
        <f>Dcu!N$249</f>
        <v>447621.43269230775</v>
      </c>
      <c r="H654" s="320">
        <f>VLieu!L$145</f>
        <v>182180</v>
      </c>
      <c r="I654" s="320"/>
      <c r="J654" s="320">
        <f>TBi!Q$351</f>
        <v>12243</v>
      </c>
      <c r="K654" s="320">
        <f t="shared" si="200"/>
        <v>66216846.995192319</v>
      </c>
      <c r="L654" s="320">
        <f t="shared" si="202"/>
        <v>16554211.74879808</v>
      </c>
      <c r="M654" s="321">
        <f t="shared" si="201"/>
        <v>82771058.743990391</v>
      </c>
      <c r="N654" s="320"/>
      <c r="O654" s="320">
        <f>NhanCong!N$168</f>
        <v>1752754.8076923075</v>
      </c>
    </row>
    <row r="655" spans="1:15" s="345" customFormat="1">
      <c r="A655" s="1043"/>
      <c r="B655" s="1038"/>
      <c r="C655" s="1039"/>
      <c r="D655" s="319" t="s">
        <v>13</v>
      </c>
      <c r="E655" s="301">
        <f>NhanCong!M$170</f>
        <v>74303751.84375003</v>
      </c>
      <c r="F655" s="301">
        <f>NhanCong!M$171</f>
        <v>4400719.230769231</v>
      </c>
      <c r="G655" s="320">
        <f>Dcu!N$250</f>
        <v>580250.00534188037</v>
      </c>
      <c r="H655" s="320">
        <f>VLieu!L$145</f>
        <v>182180</v>
      </c>
      <c r="I655" s="320"/>
      <c r="J655" s="320">
        <f>TBi!R$351</f>
        <v>15359.400000000001</v>
      </c>
      <c r="K655" s="320">
        <f t="shared" si="200"/>
        <v>79482260.479861155</v>
      </c>
      <c r="L655" s="320">
        <f t="shared" si="202"/>
        <v>19870565.119965289</v>
      </c>
      <c r="M655" s="321">
        <f t="shared" si="201"/>
        <v>99352825.59982644</v>
      </c>
      <c r="N655" s="320"/>
      <c r="O655" s="320">
        <f>NhanCong!N$170</f>
        <v>2103670.673076923</v>
      </c>
    </row>
    <row r="656" spans="1:15" s="345" customFormat="1">
      <c r="A656" s="298">
        <v>2</v>
      </c>
      <c r="B656" s="316" t="s">
        <v>192</v>
      </c>
      <c r="C656" s="319"/>
      <c r="D656" s="319"/>
      <c r="E656" s="301"/>
      <c r="F656" s="301"/>
      <c r="G656" s="320"/>
      <c r="H656" s="320"/>
      <c r="I656" s="320"/>
      <c r="J656" s="320"/>
      <c r="K656" s="320"/>
      <c r="L656" s="320"/>
      <c r="M656" s="321"/>
      <c r="N656" s="320"/>
      <c r="O656" s="320"/>
    </row>
    <row r="657" spans="1:15" s="240" customFormat="1">
      <c r="A657" s="1010" t="s">
        <v>268</v>
      </c>
      <c r="B657" s="1011" t="str">
        <f>NhanCong!B$173</f>
        <v>Số hóa BĐĐC: Áp dụng theo mức quy định tại Điều 8, Chương I</v>
      </c>
      <c r="C657" s="1013" t="s">
        <v>317</v>
      </c>
      <c r="D657" s="274" t="s">
        <v>18</v>
      </c>
      <c r="E657" s="271">
        <f t="shared" ref="E657:H661" si="203">E472</f>
        <v>277710.00400000002</v>
      </c>
      <c r="F657" s="271">
        <f t="shared" si="203"/>
        <v>0</v>
      </c>
      <c r="G657" s="271">
        <f t="shared" si="203"/>
        <v>4048.1521859829049</v>
      </c>
      <c r="H657" s="271">
        <f t="shared" si="203"/>
        <v>16368</v>
      </c>
      <c r="I657" s="271"/>
      <c r="J657" s="271">
        <f>J472</f>
        <v>7942.3680000000004</v>
      </c>
      <c r="K657" s="905">
        <f>SUM(E657:J657)</f>
        <v>306068.52418598294</v>
      </c>
      <c r="L657" s="905">
        <f>K657*0.15</f>
        <v>45910.278627897438</v>
      </c>
      <c r="M657" s="906">
        <f>K657+L657</f>
        <v>351978.80281388038</v>
      </c>
      <c r="N657" s="271">
        <f t="shared" ref="N657:O661" si="204">N472</f>
        <v>0</v>
      </c>
      <c r="O657" s="271">
        <f t="shared" si="204"/>
        <v>7862.461538461539</v>
      </c>
    </row>
    <row r="658" spans="1:15" s="240" customFormat="1">
      <c r="A658" s="1010"/>
      <c r="B658" s="1011"/>
      <c r="C658" s="1013"/>
      <c r="D658" s="274" t="s">
        <v>20</v>
      </c>
      <c r="E658" s="271">
        <f t="shared" si="203"/>
        <v>306305.8856000001</v>
      </c>
      <c r="F658" s="271">
        <f t="shared" si="203"/>
        <v>0</v>
      </c>
      <c r="G658" s="271">
        <f t="shared" si="203"/>
        <v>4634.0689497435887</v>
      </c>
      <c r="H658" s="271">
        <f t="shared" si="203"/>
        <v>16368</v>
      </c>
      <c r="I658" s="271"/>
      <c r="J658" s="271">
        <f>J473</f>
        <v>9010.848</v>
      </c>
      <c r="K658" s="905">
        <f>SUM(E658:J658)</f>
        <v>336318.80254974368</v>
      </c>
      <c r="L658" s="905">
        <f>K658*0.15</f>
        <v>50447.820382461548</v>
      </c>
      <c r="M658" s="906">
        <f>K658+L658</f>
        <v>386766.62293220521</v>
      </c>
      <c r="N658" s="271">
        <f t="shared" si="204"/>
        <v>0</v>
      </c>
      <c r="O658" s="271">
        <f t="shared" si="204"/>
        <v>8672.0615384615376</v>
      </c>
    </row>
    <row r="659" spans="1:15" s="240" customFormat="1">
      <c r="A659" s="1010"/>
      <c r="B659" s="1011"/>
      <c r="C659" s="1013"/>
      <c r="D659" s="274" t="s">
        <v>35</v>
      </c>
      <c r="E659" s="271">
        <f t="shared" si="203"/>
        <v>339851.05440000002</v>
      </c>
      <c r="F659" s="271">
        <f t="shared" si="203"/>
        <v>0</v>
      </c>
      <c r="G659" s="271">
        <f t="shared" si="203"/>
        <v>5326.5160341880328</v>
      </c>
      <c r="H659" s="271">
        <f t="shared" si="203"/>
        <v>16368</v>
      </c>
      <c r="I659" s="271"/>
      <c r="J659" s="271">
        <f>J474</f>
        <v>10364.256000000001</v>
      </c>
      <c r="K659" s="905">
        <f>SUM(E659:J659)</f>
        <v>371909.82643418806</v>
      </c>
      <c r="L659" s="905">
        <f>K659*0.15</f>
        <v>55786.473965128207</v>
      </c>
      <c r="M659" s="906">
        <f>K659+L659</f>
        <v>427696.30039931624</v>
      </c>
      <c r="N659" s="271">
        <f t="shared" si="204"/>
        <v>0</v>
      </c>
      <c r="O659" s="271">
        <f t="shared" si="204"/>
        <v>9621.7846153846149</v>
      </c>
    </row>
    <row r="660" spans="1:15" s="240" customFormat="1">
      <c r="A660" s="1010"/>
      <c r="B660" s="1011"/>
      <c r="C660" s="1013"/>
      <c r="D660" s="274" t="s">
        <v>33</v>
      </c>
      <c r="E660" s="271">
        <f t="shared" si="203"/>
        <v>378345.51040000003</v>
      </c>
      <c r="F660" s="271">
        <f t="shared" si="203"/>
        <v>0</v>
      </c>
      <c r="G660" s="271">
        <f t="shared" si="203"/>
        <v>6125.4934393162375</v>
      </c>
      <c r="H660" s="271">
        <f t="shared" si="203"/>
        <v>16368</v>
      </c>
      <c r="I660" s="271"/>
      <c r="J660" s="271">
        <f>J475</f>
        <v>11966.976000000001</v>
      </c>
      <c r="K660" s="905">
        <f>SUM(E660:J660)</f>
        <v>412805.97983931628</v>
      </c>
      <c r="L660" s="905">
        <f>K660*0.15</f>
        <v>61920.896975897442</v>
      </c>
      <c r="M660" s="906">
        <f>K660+L660</f>
        <v>474726.87681521371</v>
      </c>
      <c r="N660" s="271">
        <f t="shared" si="204"/>
        <v>0</v>
      </c>
      <c r="O660" s="271">
        <f t="shared" si="204"/>
        <v>10711.630769230767</v>
      </c>
    </row>
    <row r="661" spans="1:15" s="240" customFormat="1">
      <c r="A661" s="1010"/>
      <c r="B661" s="1011"/>
      <c r="C661" s="1013"/>
      <c r="D661" s="274" t="s">
        <v>13</v>
      </c>
      <c r="E661" s="271">
        <f t="shared" si="203"/>
        <v>422339.17440000008</v>
      </c>
      <c r="F661" s="271">
        <f t="shared" si="203"/>
        <v>0</v>
      </c>
      <c r="G661" s="271">
        <f t="shared" si="203"/>
        <v>7031.0011651282039</v>
      </c>
      <c r="H661" s="271">
        <f t="shared" si="203"/>
        <v>16368</v>
      </c>
      <c r="I661" s="271"/>
      <c r="J661" s="271">
        <f>J476</f>
        <v>13854.624</v>
      </c>
      <c r="K661" s="905">
        <f>SUM(E661:J661)</f>
        <v>459592.79956512828</v>
      </c>
      <c r="L661" s="905">
        <f>K661*0.15</f>
        <v>68938.919934769234</v>
      </c>
      <c r="M661" s="906">
        <f>K661+L661</f>
        <v>528531.71949989756</v>
      </c>
      <c r="N661" s="271">
        <f t="shared" si="204"/>
        <v>0</v>
      </c>
      <c r="O661" s="271">
        <f t="shared" si="204"/>
        <v>11957.16923076923</v>
      </c>
    </row>
    <row r="662" spans="1:15" s="345" customFormat="1" ht="12.75" customHeight="1">
      <c r="A662" s="1043" t="s">
        <v>34</v>
      </c>
      <c r="B662" s="1038" t="str">
        <f>NhanCong!B$174</f>
        <v>Lập bản vẽ BĐĐC (Công nhóm/100 thửa chỉnh lý)</v>
      </c>
      <c r="C662" s="1040" t="s">
        <v>329</v>
      </c>
      <c r="D662" s="319" t="s">
        <v>18</v>
      </c>
      <c r="E662" s="301">
        <f>NhanCong!M$174</f>
        <v>1277171.8300000003</v>
      </c>
      <c r="F662" s="301"/>
      <c r="G662" s="320">
        <f>Dcu!N$271</f>
        <v>16242.609861538462</v>
      </c>
      <c r="H662" s="320">
        <f>VLieu!L$159</f>
        <v>626800</v>
      </c>
      <c r="I662" s="320"/>
      <c r="J662" s="320">
        <f>TBi!N$388</f>
        <v>48793.920000000006</v>
      </c>
      <c r="K662" s="320">
        <f t="shared" ref="K662:K668" si="205">SUM(E662:J662)</f>
        <v>1969008.3598615387</v>
      </c>
      <c r="L662" s="320">
        <f t="shared" ref="L662:L670" si="206">K662*0.15</f>
        <v>295351.25397923082</v>
      </c>
      <c r="M662" s="321">
        <f t="shared" ref="M662:M668" si="207">K662+L662</f>
        <v>2264359.6138407695</v>
      </c>
      <c r="N662" s="320"/>
      <c r="O662" s="320">
        <f>NhanCong!N$174</f>
        <v>31722.307692307688</v>
      </c>
    </row>
    <row r="663" spans="1:15" s="345" customFormat="1">
      <c r="A663" s="1043"/>
      <c r="B663" s="1038"/>
      <c r="C663" s="1039"/>
      <c r="D663" s="319" t="s">
        <v>20</v>
      </c>
      <c r="E663" s="301">
        <f>NhanCong!M$175</f>
        <v>1590588.2300000002</v>
      </c>
      <c r="F663" s="301"/>
      <c r="G663" s="320">
        <f>Dcu!N$272</f>
        <v>20303.262326923075</v>
      </c>
      <c r="H663" s="320">
        <f>VLieu!L$159</f>
        <v>626800</v>
      </c>
      <c r="I663" s="320"/>
      <c r="J663" s="320">
        <f>TBi!O$388</f>
        <v>52800.719999999994</v>
      </c>
      <c r="K663" s="320">
        <f t="shared" si="205"/>
        <v>2290492.2123269234</v>
      </c>
      <c r="L663" s="320">
        <f t="shared" si="206"/>
        <v>343573.83184903848</v>
      </c>
      <c r="M663" s="321">
        <f t="shared" si="207"/>
        <v>2634066.044175962</v>
      </c>
      <c r="N663" s="320"/>
      <c r="O663" s="320">
        <f>NhanCong!N$175</f>
        <v>39506.923076923071</v>
      </c>
    </row>
    <row r="664" spans="1:15" s="345" customFormat="1">
      <c r="A664" s="1043"/>
      <c r="B664" s="1038"/>
      <c r="C664" s="1039"/>
      <c r="D664" s="319" t="s">
        <v>35</v>
      </c>
      <c r="E664" s="301">
        <f>NhanCong!M$176</f>
        <v>1700283.9700000004</v>
      </c>
      <c r="F664" s="301"/>
      <c r="G664" s="320">
        <f>Dcu!N$273</f>
        <v>27071.016435897436</v>
      </c>
      <c r="H664" s="320">
        <f>VLieu!L$159</f>
        <v>626800</v>
      </c>
      <c r="I664" s="320"/>
      <c r="J664" s="320">
        <f>TBi!P$388</f>
        <v>60146.52</v>
      </c>
      <c r="K664" s="320">
        <f t="shared" si="205"/>
        <v>2414301.5064358977</v>
      </c>
      <c r="L664" s="320">
        <f t="shared" si="206"/>
        <v>362145.22596538463</v>
      </c>
      <c r="M664" s="321">
        <f t="shared" si="207"/>
        <v>2776446.7324012825</v>
      </c>
      <c r="N664" s="320"/>
      <c r="O664" s="320">
        <f>NhanCong!N$176</f>
        <v>42231.538461538461</v>
      </c>
    </row>
    <row r="665" spans="1:15" s="345" customFormat="1">
      <c r="A665" s="1043"/>
      <c r="B665" s="1038"/>
      <c r="C665" s="1039"/>
      <c r="D665" s="319" t="s">
        <v>33</v>
      </c>
      <c r="E665" s="301">
        <f>NhanCong!M$177</f>
        <v>2867760.060000001</v>
      </c>
      <c r="F665" s="301"/>
      <c r="G665" s="320">
        <f>Dcu!N$274</f>
        <v>36545.872188461544</v>
      </c>
      <c r="H665" s="320">
        <f>VLieu!L$159</f>
        <v>626800</v>
      </c>
      <c r="I665" s="320"/>
      <c r="J665" s="320">
        <f>TBi!Q$388</f>
        <v>69963.179999999993</v>
      </c>
      <c r="K665" s="320">
        <f t="shared" si="205"/>
        <v>3601069.1121884626</v>
      </c>
      <c r="L665" s="320">
        <f t="shared" si="206"/>
        <v>540160.36682826933</v>
      </c>
      <c r="M665" s="321">
        <f t="shared" si="207"/>
        <v>4141229.479016732</v>
      </c>
      <c r="N665" s="320"/>
      <c r="O665" s="320">
        <f>NhanCong!N$177</f>
        <v>71229.230769230766</v>
      </c>
    </row>
    <row r="666" spans="1:15" s="345" customFormat="1">
      <c r="A666" s="1043"/>
      <c r="B666" s="1038"/>
      <c r="C666" s="1039"/>
      <c r="D666" s="319" t="s">
        <v>13</v>
      </c>
      <c r="E666" s="301">
        <f>NhanCong!M$178</f>
        <v>3612124.0100000012</v>
      </c>
      <c r="F666" s="301"/>
      <c r="G666" s="320">
        <f>Dcu!N$275</f>
        <v>47374.278762820511</v>
      </c>
      <c r="H666" s="320">
        <f>VLieu!L$159</f>
        <v>626800</v>
      </c>
      <c r="I666" s="320"/>
      <c r="J666" s="320">
        <f>TBi!R$388</f>
        <v>79980.179999999993</v>
      </c>
      <c r="K666" s="320">
        <f t="shared" si="205"/>
        <v>4366278.4687628215</v>
      </c>
      <c r="L666" s="320">
        <f t="shared" si="206"/>
        <v>654941.77031442325</v>
      </c>
      <c r="M666" s="321">
        <f t="shared" si="207"/>
        <v>5021220.2390772449</v>
      </c>
      <c r="N666" s="320"/>
      <c r="O666" s="320">
        <f>NhanCong!N$178</f>
        <v>89717.692307692312</v>
      </c>
    </row>
    <row r="667" spans="1:15" s="345" customFormat="1" ht="38.25" customHeight="1">
      <c r="A667" s="323" t="s">
        <v>246</v>
      </c>
      <c r="B667" s="324" t="str">
        <f>NhanCong!B$179</f>
        <v>Lập Phiếu đo đạc chỉnh lý thửa đất (Công/100 thửa chỉnh lý)</v>
      </c>
      <c r="C667" s="341" t="s">
        <v>329</v>
      </c>
      <c r="D667" s="341" t="s">
        <v>622</v>
      </c>
      <c r="E667" s="342">
        <f>NhanCong!M$179</f>
        <v>1031101.5000000002</v>
      </c>
      <c r="F667" s="342"/>
      <c r="G667" s="343">
        <f>Dcu!N$270</f>
        <v>27071.016435897436</v>
      </c>
      <c r="H667" s="320">
        <f>VLieu!L$159</f>
        <v>626800</v>
      </c>
      <c r="I667" s="343"/>
      <c r="J667" s="343"/>
      <c r="K667" s="343">
        <f t="shared" si="205"/>
        <v>1684972.5164358977</v>
      </c>
      <c r="L667" s="320">
        <f t="shared" si="206"/>
        <v>252745.87746538463</v>
      </c>
      <c r="M667" s="344">
        <f t="shared" si="207"/>
        <v>1937718.3939012822</v>
      </c>
      <c r="N667" s="343"/>
      <c r="O667" s="343">
        <f>NhanCong!N$179</f>
        <v>29192.307692307691</v>
      </c>
    </row>
    <row r="668" spans="1:15" s="345" customFormat="1" ht="26">
      <c r="A668" s="323" t="s">
        <v>271</v>
      </c>
      <c r="B668" s="324" t="str">
        <f>NhanCong!B$180</f>
        <v>Bổ sung sổ mục kê (công nhóm/100 thửa chỉnh lý)</v>
      </c>
      <c r="C668" s="341" t="s">
        <v>329</v>
      </c>
      <c r="D668" s="341" t="s">
        <v>622</v>
      </c>
      <c r="E668" s="342">
        <f>NhanCong!M$180</f>
        <v>893621.30000000016</v>
      </c>
      <c r="F668" s="342"/>
      <c r="G668" s="343">
        <f>Dcu!N$290</f>
        <v>13800.392222222223</v>
      </c>
      <c r="H668" s="343">
        <f>VLieu!J$170</f>
        <v>120500</v>
      </c>
      <c r="I668" s="343"/>
      <c r="J668" s="343">
        <f>TBi!N$414</f>
        <v>27379.800000000003</v>
      </c>
      <c r="K668" s="343">
        <f t="shared" si="205"/>
        <v>1055301.4922222223</v>
      </c>
      <c r="L668" s="320">
        <f t="shared" si="206"/>
        <v>158295.22383333332</v>
      </c>
      <c r="M668" s="344">
        <f t="shared" si="207"/>
        <v>1213596.7160555555</v>
      </c>
      <c r="N668" s="343"/>
      <c r="O668" s="343">
        <f>NhanCong!N$180</f>
        <v>25300</v>
      </c>
    </row>
    <row r="669" spans="1:15" s="345" customFormat="1" ht="25.5" customHeight="1">
      <c r="A669" s="323" t="s">
        <v>365</v>
      </c>
      <c r="B669" s="324" t="str">
        <f>NhanCong!B$181</f>
        <v>Biên tập bản đồ và in (công nhóm/mảnh)</v>
      </c>
      <c r="C669" s="341" t="s">
        <v>317</v>
      </c>
      <c r="D669" s="341" t="s">
        <v>622</v>
      </c>
      <c r="E669" s="342">
        <f>NhanCong!M$181</f>
        <v>32995.248</v>
      </c>
      <c r="F669" s="342"/>
      <c r="G669" s="343">
        <f>Dcu!N$304</f>
        <v>884.29538461538471</v>
      </c>
      <c r="H669" s="343">
        <f>VLieu!L$181</f>
        <v>23688</v>
      </c>
      <c r="I669" s="343"/>
      <c r="J669" s="343">
        <f>TBi!N$427</f>
        <v>1068.48</v>
      </c>
      <c r="K669" s="343">
        <f>SUM(E669:J669)</f>
        <v>58636.023384615386</v>
      </c>
      <c r="L669" s="320">
        <f t="shared" si="206"/>
        <v>8795.4035076923083</v>
      </c>
      <c r="M669" s="344">
        <f>K669+L669</f>
        <v>67431.426892307689</v>
      </c>
      <c r="N669" s="343"/>
      <c r="O669" s="343">
        <f>NhanCong!N$181</f>
        <v>934.15384615384608</v>
      </c>
    </row>
    <row r="670" spans="1:15" s="345" customFormat="1" ht="25.5" customHeight="1">
      <c r="A670" s="323" t="s">
        <v>366</v>
      </c>
      <c r="B670" s="324" t="str">
        <f>NhanCong!B$182</f>
        <v>Xác nhận hồ sơ các cấp (công nhóm/mảnh)</v>
      </c>
      <c r="C670" s="341" t="s">
        <v>317</v>
      </c>
      <c r="D670" s="341" t="s">
        <v>622</v>
      </c>
      <c r="E670" s="342">
        <f>NhanCong!M$182</f>
        <v>32995.248</v>
      </c>
      <c r="F670" s="342"/>
      <c r="G670" s="343">
        <f>Dcu!N$304</f>
        <v>884.29538461538471</v>
      </c>
      <c r="H670" s="343">
        <f>VLieu!L$181</f>
        <v>23688</v>
      </c>
      <c r="I670" s="343"/>
      <c r="J670" s="343">
        <f>TBi!N$427</f>
        <v>1068.48</v>
      </c>
      <c r="K670" s="343">
        <f>SUM(E670:J670)</f>
        <v>58636.023384615386</v>
      </c>
      <c r="L670" s="320">
        <f t="shared" si="206"/>
        <v>8795.4035076923083</v>
      </c>
      <c r="M670" s="344">
        <f>K670+L670</f>
        <v>67431.426892307689</v>
      </c>
      <c r="N670" s="343"/>
      <c r="O670" s="343">
        <f>NhanCong!N$182</f>
        <v>934.15384615384608</v>
      </c>
    </row>
    <row r="671" spans="1:15" s="345" customFormat="1" ht="25.5" customHeight="1">
      <c r="A671" s="323" t="s">
        <v>367</v>
      </c>
      <c r="B671" s="324" t="str">
        <f>NhanCong!B$183</f>
        <v>Giao nộp sản phẩm (công nhóm/mảnh)</v>
      </c>
      <c r="C671" s="341" t="s">
        <v>317</v>
      </c>
      <c r="D671" s="341" t="s">
        <v>622</v>
      </c>
      <c r="E671" s="342">
        <f>NhanCong!M$183</f>
        <v>69290.020800000013</v>
      </c>
      <c r="F671" s="342"/>
      <c r="G671" s="343">
        <f>Dcu!N$304</f>
        <v>884.29538461538471</v>
      </c>
      <c r="H671" s="343">
        <f>VLieu!L$181</f>
        <v>23688</v>
      </c>
      <c r="I671" s="343"/>
      <c r="J671" s="343">
        <f>TBi!N$427</f>
        <v>1068.48</v>
      </c>
      <c r="K671" s="343">
        <f>SUM(E671:J671)</f>
        <v>94930.796184615392</v>
      </c>
      <c r="L671" s="320">
        <f>K671*0.15</f>
        <v>14239.619427692309</v>
      </c>
      <c r="M671" s="344">
        <f>K671+L671</f>
        <v>109170.4156123077</v>
      </c>
      <c r="N671" s="343"/>
      <c r="O671" s="343">
        <f>NhanCong!N$183</f>
        <v>1961.7230769230769</v>
      </c>
    </row>
    <row r="672" spans="1:15" s="345" customFormat="1">
      <c r="A672" s="298" t="s">
        <v>28</v>
      </c>
      <c r="B672" s="316" t="s">
        <v>204</v>
      </c>
      <c r="C672" s="337" t="s">
        <v>349</v>
      </c>
      <c r="D672" s="333"/>
      <c r="E672" s="301"/>
      <c r="F672" s="301"/>
      <c r="G672" s="301"/>
      <c r="H672" s="301"/>
      <c r="I672" s="301"/>
      <c r="J672" s="301"/>
      <c r="K672" s="301"/>
      <c r="L672" s="301"/>
      <c r="M672" s="302">
        <v>25</v>
      </c>
      <c r="N672" s="301" t="s">
        <v>21</v>
      </c>
      <c r="O672" s="301"/>
    </row>
    <row r="673" spans="1:17" s="345" customFormat="1" ht="13.15" customHeight="1">
      <c r="A673" s="316"/>
      <c r="B673" s="1035" t="s">
        <v>190</v>
      </c>
      <c r="C673" s="298">
        <f>HeSoKK!B32</f>
        <v>34.5</v>
      </c>
      <c r="D673" s="298">
        <v>1</v>
      </c>
      <c r="E673" s="301">
        <f>E724/C673+(E729+E734)/100</f>
        <v>144697.40106250002</v>
      </c>
      <c r="F673" s="301">
        <f>F724/C673+(F729+F734)/100</f>
        <v>7731.7307692307695</v>
      </c>
      <c r="G673" s="301">
        <f>G724/C673+(G729+G734)/100</f>
        <v>970.23326923076922</v>
      </c>
      <c r="H673" s="301">
        <f>H724/C673+(H729+H734)/100</f>
        <v>119143.94782608697</v>
      </c>
      <c r="I673" s="301"/>
      <c r="J673" s="301">
        <f>J724/C673+(J729+J734)/100</f>
        <v>22.482599999999998</v>
      </c>
      <c r="K673" s="301">
        <f t="shared" ref="K673:K682" si="208">SUM(E673:J673)</f>
        <v>272565.79552704853</v>
      </c>
      <c r="L673" s="301">
        <f>K673*0.25</f>
        <v>68141.448881762131</v>
      </c>
      <c r="M673" s="315">
        <f t="shared" ref="M673:M682" si="209">K673+L673</f>
        <v>340707.24440881063</v>
      </c>
      <c r="N673" s="301">
        <f>M673+M678</f>
        <v>391043.15961847559</v>
      </c>
      <c r="O673" s="301">
        <f>O724/C673+(O729+O734)/100</f>
        <v>4109.7163461538457</v>
      </c>
      <c r="Q673" s="346"/>
    </row>
    <row r="674" spans="1:17" s="345" customFormat="1" ht="13.15" customHeight="1">
      <c r="A674" s="316"/>
      <c r="B674" s="1035"/>
      <c r="C674" s="298">
        <f>HeSoKK!D32</f>
        <v>44.5</v>
      </c>
      <c r="D674" s="298">
        <v>2</v>
      </c>
      <c r="E674" s="301">
        <f>E725/C674+(E730+E735)/100</f>
        <v>172886.91465730342</v>
      </c>
      <c r="F674" s="301">
        <f>F725/C674+(F730+F735)/100</f>
        <v>9296.2692307692323</v>
      </c>
      <c r="G674" s="301">
        <f>G725/C674+(G730+G735)/100</f>
        <v>1198.235982966004</v>
      </c>
      <c r="H674" s="301">
        <f>H725/C674+(H730+H735)/100</f>
        <v>92783.420224719113</v>
      </c>
      <c r="I674" s="301"/>
      <c r="J674" s="301">
        <f>J725/C674+(J730+J735)/100</f>
        <v>28.492799999999999</v>
      </c>
      <c r="K674" s="301">
        <f t="shared" si="208"/>
        <v>276193.33289575775</v>
      </c>
      <c r="L674" s="301">
        <f>K674*0.25</f>
        <v>69048.333223939437</v>
      </c>
      <c r="M674" s="315">
        <f t="shared" si="209"/>
        <v>345241.66611969715</v>
      </c>
      <c r="N674" s="301">
        <f>M674+M679</f>
        <v>395851.71355621901</v>
      </c>
      <c r="O674" s="301">
        <f>O725/C674+(O730+O735)/100</f>
        <v>4907.9157303370785</v>
      </c>
      <c r="Q674" s="346"/>
    </row>
    <row r="675" spans="1:17" s="345" customFormat="1" ht="13.15" customHeight="1">
      <c r="A675" s="316"/>
      <c r="B675" s="1035"/>
      <c r="C675" s="298">
        <f>HeSoKK!F32</f>
        <v>54.5</v>
      </c>
      <c r="D675" s="298">
        <v>3</v>
      </c>
      <c r="E675" s="301">
        <f>E726/C675+(E731+E736)/100</f>
        <v>207634.0651605505</v>
      </c>
      <c r="F675" s="301">
        <f>F726/C675+(F731+F736)/100</f>
        <v>11133.69230769231</v>
      </c>
      <c r="G675" s="301">
        <f>G726/C675+(G731+G736)/100</f>
        <v>1585.3625137222616</v>
      </c>
      <c r="H675" s="301">
        <f>H726/C675+(H731+H736)/100</f>
        <v>76096.480733944962</v>
      </c>
      <c r="I675" s="301"/>
      <c r="J675" s="301">
        <f>J726/C675+(J731+J736)/100</f>
        <v>38.064600000000006</v>
      </c>
      <c r="K675" s="301">
        <f t="shared" si="208"/>
        <v>296487.66531591001</v>
      </c>
      <c r="L675" s="301">
        <f>K675*0.25</f>
        <v>74121.916328977502</v>
      </c>
      <c r="M675" s="315">
        <f t="shared" si="209"/>
        <v>370609.58164488751</v>
      </c>
      <c r="N675" s="301">
        <f>M675+M680</f>
        <v>422766.46322455339</v>
      </c>
      <c r="O675" s="301">
        <f>O726/C675+(O731+O736)/100</f>
        <v>5892.4717713479176</v>
      </c>
      <c r="Q675" s="346"/>
    </row>
    <row r="676" spans="1:17" s="345" customFormat="1" ht="13.15" customHeight="1">
      <c r="A676" s="316"/>
      <c r="B676" s="1035"/>
      <c r="C676" s="298">
        <f>HeSoKK!H32</f>
        <v>17</v>
      </c>
      <c r="D676" s="298">
        <v>4</v>
      </c>
      <c r="E676" s="301">
        <f>E727/C676+(E732+E737)/100</f>
        <v>270761.32644485298</v>
      </c>
      <c r="F676" s="301">
        <f>F727/C676+(F732+F737)/100</f>
        <v>13371.346153846154</v>
      </c>
      <c r="G676" s="301">
        <f>G727/C676+(G732+G737)/100</f>
        <v>2303.0443693438915</v>
      </c>
      <c r="H676" s="301">
        <f>H727/C676+(H732+H737)/100</f>
        <v>239898.42352941178</v>
      </c>
      <c r="I676" s="301"/>
      <c r="J676" s="301">
        <f>J727/C676+(J732+J737)/100</f>
        <v>50.752800000000008</v>
      </c>
      <c r="K676" s="301">
        <f t="shared" si="208"/>
        <v>526384.89329745481</v>
      </c>
      <c r="L676" s="301">
        <f>K676*0.25</f>
        <v>131596.2233243637</v>
      </c>
      <c r="M676" s="315">
        <f t="shared" si="209"/>
        <v>657981.11662181851</v>
      </c>
      <c r="N676" s="301">
        <f>M676+M681</f>
        <v>724550.48457114818</v>
      </c>
      <c r="O676" s="301">
        <f>O727/C676+(O732+O737)/100</f>
        <v>7724.012726244342</v>
      </c>
      <c r="Q676" s="346"/>
    </row>
    <row r="677" spans="1:17" s="345" customFormat="1" ht="13.15" customHeight="1">
      <c r="A677" s="316"/>
      <c r="B677" s="1035"/>
      <c r="C677" s="298">
        <f>HeSoKK!J32</f>
        <v>22.5</v>
      </c>
      <c r="D677" s="298">
        <v>5</v>
      </c>
      <c r="E677" s="301">
        <f>E728/C677+(E733+E738)/100</f>
        <v>320328.82594166673</v>
      </c>
      <c r="F677" s="301">
        <f>F728/C677+(F733+F738)/100</f>
        <v>16045.615384615387</v>
      </c>
      <c r="G677" s="301">
        <f>G728/C677+(G733+G738)/100</f>
        <v>2910.4527332621083</v>
      </c>
      <c r="H677" s="301">
        <f>H728/C677+(H733+H738)/100</f>
        <v>181706.26666666666</v>
      </c>
      <c r="I677" s="301"/>
      <c r="J677" s="301">
        <f>J728/C677+(J733+J738)/100</f>
        <v>66.557399999999987</v>
      </c>
      <c r="K677" s="301">
        <f t="shared" si="208"/>
        <v>521057.71812621085</v>
      </c>
      <c r="L677" s="301">
        <f>K677*0.25</f>
        <v>130264.42953155271</v>
      </c>
      <c r="M677" s="315">
        <f t="shared" si="209"/>
        <v>651322.14765776356</v>
      </c>
      <c r="N677" s="301">
        <f>M677+M682</f>
        <v>718629.46992804389</v>
      </c>
      <c r="O677" s="301">
        <f>O728/C677+(O733+O738)/100</f>
        <v>9126.3262820512809</v>
      </c>
      <c r="Q677" s="346"/>
    </row>
    <row r="678" spans="1:17" s="345" customFormat="1">
      <c r="A678" s="1036"/>
      <c r="B678" s="1035" t="s">
        <v>192</v>
      </c>
      <c r="C678" s="298">
        <f>C673</f>
        <v>34.5</v>
      </c>
      <c r="D678" s="298">
        <v>1</v>
      </c>
      <c r="E678" s="301">
        <f>(E740+E752+E753+E754)/C678+(E745+E750+E751)/100</f>
        <v>28211.10563333334</v>
      </c>
      <c r="F678" s="301">
        <f>(F740+F752+F753+F754)/C678+(F745+F750+F751)/100</f>
        <v>0</v>
      </c>
      <c r="G678" s="301">
        <f>(G740+G752+G753+G754)/C678+(G745+G750+G751)/100</f>
        <v>486.60142724489037</v>
      </c>
      <c r="H678" s="301">
        <f>(H740+H752+H753+H754)/C678+(H745+H750+H751)/100</f>
        <v>14292.008695652174</v>
      </c>
      <c r="I678" s="301"/>
      <c r="J678" s="301">
        <f>(J740+J752+J753+J754)/C678+(J745+J750+J751)/100</f>
        <v>780.6452956521739</v>
      </c>
      <c r="K678" s="301">
        <f t="shared" si="208"/>
        <v>43770.361051882581</v>
      </c>
      <c r="L678" s="301">
        <f>K678*0.15</f>
        <v>6565.5541577823869</v>
      </c>
      <c r="M678" s="315">
        <f t="shared" si="209"/>
        <v>50335.91520966497</v>
      </c>
      <c r="N678" s="301"/>
      <c r="O678" s="301">
        <f>(O740+O752+O753+O754)/C678+(O745+O750+O751)/100</f>
        <v>783.73589743589741</v>
      </c>
    </row>
    <row r="679" spans="1:17" s="345" customFormat="1">
      <c r="A679" s="1036"/>
      <c r="B679" s="1035"/>
      <c r="C679" s="298">
        <f>C674</f>
        <v>44.5</v>
      </c>
      <c r="D679" s="298">
        <v>2</v>
      </c>
      <c r="E679" s="301">
        <f>(E741+E752+E753+E754)/C679+(E746+E750+E751)/100</f>
        <v>28571.074239325848</v>
      </c>
      <c r="F679" s="301">
        <f>(F741+F752+F753+F754)/C679+(F746+F750+F751)/100</f>
        <v>0</v>
      </c>
      <c r="G679" s="301">
        <f>(G741+G752+G753+G754)/C679+(G746+G750+G751)/100</f>
        <v>500.88336536828956</v>
      </c>
      <c r="H679" s="301">
        <f>(H741+H752+H753+H754)/C679+(H746+H750+H751)/100</f>
        <v>14168.186516853933</v>
      </c>
      <c r="I679" s="301"/>
      <c r="J679" s="301">
        <f>(J741+J752+J753+J754)/C679+(J746+J750+J751)/100</f>
        <v>768.59277977528086</v>
      </c>
      <c r="K679" s="301">
        <f t="shared" si="208"/>
        <v>44008.736901323355</v>
      </c>
      <c r="L679" s="301">
        <f>K679*0.15</f>
        <v>6601.3105351985032</v>
      </c>
      <c r="M679" s="315">
        <f t="shared" si="209"/>
        <v>50610.047436521854</v>
      </c>
      <c r="N679" s="301"/>
      <c r="O679" s="301">
        <f>(O741+O752+O753+O754)/C679+(O746+O750+O751)/100</f>
        <v>790.11659464131367</v>
      </c>
    </row>
    <row r="680" spans="1:17" s="345" customFormat="1">
      <c r="A680" s="1036"/>
      <c r="B680" s="1035"/>
      <c r="C680" s="298">
        <f>C675</f>
        <v>54.5</v>
      </c>
      <c r="D680" s="298">
        <v>3</v>
      </c>
      <c r="E680" s="301">
        <f>(E742+E752+E753+E754)/C680+(E747+E750+E751)/100</f>
        <v>29944.522935779823</v>
      </c>
      <c r="F680" s="301">
        <f>(F742+F752+F753+F754)/C680+(F747+F750+F751)/100</f>
        <v>0</v>
      </c>
      <c r="G680" s="301">
        <f>(G742+G752+G753+G754)/C680+(G747+G750+G751)/100</f>
        <v>537.20171331137772</v>
      </c>
      <c r="H680" s="301">
        <f>(H742+H752+H753+H754)/C680+(H747+H750+H751)/100</f>
        <v>14089.80366972477</v>
      </c>
      <c r="I680" s="301"/>
      <c r="J680" s="301">
        <f>(J742+J752+J753+J754)/C680+(J747+J750+J751)/100</f>
        <v>782.28175045871569</v>
      </c>
      <c r="K680" s="301">
        <f t="shared" si="208"/>
        <v>45353.810069274681</v>
      </c>
      <c r="L680" s="301">
        <f>K680*0.15</f>
        <v>6803.0715103912016</v>
      </c>
      <c r="M680" s="315">
        <f t="shared" si="209"/>
        <v>52156.881579665882</v>
      </c>
      <c r="N680" s="301"/>
      <c r="O680" s="301">
        <f>(O742+O752+O753+O754)/C680+(O747+O750+O751)/100</f>
        <v>822.74100211714892</v>
      </c>
    </row>
    <row r="681" spans="1:17" s="345" customFormat="1">
      <c r="A681" s="1036"/>
      <c r="B681" s="1035"/>
      <c r="C681" s="298">
        <f>C676</f>
        <v>17</v>
      </c>
      <c r="D681" s="298">
        <v>4</v>
      </c>
      <c r="E681" s="301">
        <f>(E743+E752+E753+E754)/C681+(E748+E750+E751)/100</f>
        <v>41215.04834117648</v>
      </c>
      <c r="F681" s="301">
        <f>(F743+F752+F753+F754)/C681+(F748+F750+F751)/100</f>
        <v>0</v>
      </c>
      <c r="G681" s="301">
        <f>(G743+G752+G753+G754)/C681+(G748+G750+G751)/100</f>
        <v>746.48337128406229</v>
      </c>
      <c r="H681" s="301">
        <f>(H743+H752+H753+H754)/C681+(H748+H750+H751)/100</f>
        <v>14859.223529411765</v>
      </c>
      <c r="I681" s="301"/>
      <c r="J681" s="301">
        <f>(J743+J752+J753+J754)/C681+(J748+J750+J751)/100</f>
        <v>1065.6516705882352</v>
      </c>
      <c r="K681" s="301">
        <f t="shared" si="208"/>
        <v>57886.406912460545</v>
      </c>
      <c r="L681" s="301">
        <f>K681*0.15</f>
        <v>8682.961036869081</v>
      </c>
      <c r="M681" s="315">
        <f t="shared" si="209"/>
        <v>66569.367949329622</v>
      </c>
      <c r="N681" s="301"/>
      <c r="O681" s="301">
        <f>(O743+O752+O753+O754)/C681+(O748+O750+O751)/100</f>
        <v>1133.1194570135747</v>
      </c>
    </row>
    <row r="682" spans="1:17" s="345" customFormat="1">
      <c r="A682" s="1036"/>
      <c r="B682" s="1035"/>
      <c r="C682" s="298">
        <f>C677</f>
        <v>22.5</v>
      </c>
      <c r="D682" s="298">
        <v>5</v>
      </c>
      <c r="E682" s="301">
        <f>(E744+E752+E753+E754)/C682+(E749+E750+E751)/100</f>
        <v>42047.993362222231</v>
      </c>
      <c r="F682" s="301">
        <f>(F744+F752+F753+F754)/C682+(F749+F750+F751)/100</f>
        <v>0</v>
      </c>
      <c r="G682" s="301">
        <f>(G744+G752+G753+G754)/C682+(G749+G750+G751)/100</f>
        <v>781.50502642735034</v>
      </c>
      <c r="H682" s="301">
        <f>(H744+H752+H753+H754)/C682+(H749+H750+H751)/100</f>
        <v>14585.880000000001</v>
      </c>
      <c r="I682" s="301"/>
      <c r="J682" s="301">
        <f>(J744+J752+J753+J754)/C682+(J749+J750+J751)/100</f>
        <v>1112.7279333333333</v>
      </c>
      <c r="K682" s="301">
        <f t="shared" si="208"/>
        <v>58528.106321982916</v>
      </c>
      <c r="L682" s="301">
        <f>K682*0.15</f>
        <v>8779.2159482974366</v>
      </c>
      <c r="M682" s="315">
        <f t="shared" si="209"/>
        <v>67307.322270280347</v>
      </c>
      <c r="N682" s="301"/>
      <c r="O682" s="301">
        <f>(O744+O752+O753+O754)/C682+(O749+O750+O751)/100</f>
        <v>1146.6305982905983</v>
      </c>
    </row>
    <row r="683" spans="1:17" s="345" customFormat="1" ht="13.5">
      <c r="A683" s="298"/>
      <c r="B683" s="340" t="s">
        <v>332</v>
      </c>
      <c r="C683" s="298"/>
      <c r="D683" s="298"/>
      <c r="E683" s="301"/>
      <c r="F683" s="301"/>
      <c r="G683" s="301"/>
      <c r="H683" s="301"/>
      <c r="I683" s="301"/>
      <c r="J683" s="301"/>
      <c r="K683" s="301"/>
      <c r="L683" s="301"/>
      <c r="M683" s="315"/>
      <c r="N683" s="301"/>
      <c r="O683" s="301"/>
    </row>
    <row r="684" spans="1:17" s="345" customFormat="1" ht="13.5">
      <c r="A684" s="298" t="s">
        <v>502</v>
      </c>
      <c r="B684" s="340" t="s">
        <v>333</v>
      </c>
      <c r="C684" s="298"/>
      <c r="D684" s="298"/>
      <c r="E684" s="301"/>
      <c r="F684" s="301"/>
      <c r="G684" s="301"/>
      <c r="H684" s="301"/>
      <c r="I684" s="301"/>
      <c r="J684" s="301"/>
      <c r="K684" s="301"/>
      <c r="L684" s="301"/>
      <c r="M684" s="315"/>
      <c r="N684" s="301"/>
      <c r="O684" s="301"/>
    </row>
    <row r="685" spans="1:17" s="345" customFormat="1" ht="13.15" customHeight="1">
      <c r="A685" s="1029"/>
      <c r="B685" s="1035" t="s">
        <v>330</v>
      </c>
      <c r="C685" s="1036" t="s">
        <v>49</v>
      </c>
      <c r="D685" s="298">
        <v>1</v>
      </c>
      <c r="E685" s="301">
        <f t="shared" ref="E685:H689" si="210">E673-E729/100</f>
        <v>136964.13981250001</v>
      </c>
      <c r="F685" s="301">
        <f t="shared" si="210"/>
        <v>7731.7307692307695</v>
      </c>
      <c r="G685" s="301">
        <f t="shared" si="210"/>
        <v>853.61833333333334</v>
      </c>
      <c r="H685" s="301">
        <f t="shared" si="210"/>
        <v>119056.34782608696</v>
      </c>
      <c r="I685" s="301"/>
      <c r="J685" s="301">
        <f>J673-J729/100</f>
        <v>21.146999999999998</v>
      </c>
      <c r="K685" s="301">
        <f t="shared" ref="K685:K694" si="211">SUM(E685:J685)</f>
        <v>264626.98374115111</v>
      </c>
      <c r="L685" s="301">
        <f>K685*0.25</f>
        <v>66156.745935287778</v>
      </c>
      <c r="M685" s="315">
        <f t="shared" ref="M685:M694" si="212">K685+L685</f>
        <v>330783.7296764389</v>
      </c>
      <c r="N685" s="301">
        <f>M685+M690</f>
        <v>381119.64488610387</v>
      </c>
      <c r="O685" s="301">
        <f>O673-O729/100</f>
        <v>3890.7740384615381</v>
      </c>
    </row>
    <row r="686" spans="1:17" s="345" customFormat="1" ht="13.15" customHeight="1">
      <c r="A686" s="1030"/>
      <c r="B686" s="1035"/>
      <c r="C686" s="1036"/>
      <c r="D686" s="298">
        <v>2</v>
      </c>
      <c r="E686" s="301">
        <f t="shared" si="210"/>
        <v>163220.33809480342</v>
      </c>
      <c r="F686" s="301">
        <f t="shared" si="210"/>
        <v>9296.2692307692323</v>
      </c>
      <c r="G686" s="301">
        <f t="shared" si="210"/>
        <v>1052.4673130942092</v>
      </c>
      <c r="H686" s="301">
        <f t="shared" si="210"/>
        <v>92695.820224719108</v>
      </c>
      <c r="I686" s="301"/>
      <c r="J686" s="301">
        <f>J674-J730/100</f>
        <v>27.1572</v>
      </c>
      <c r="K686" s="301">
        <f t="shared" si="211"/>
        <v>266292.05206338596</v>
      </c>
      <c r="L686" s="301">
        <f>K686*0.25</f>
        <v>66573.013015846489</v>
      </c>
      <c r="M686" s="315">
        <f t="shared" si="212"/>
        <v>332865.06507923244</v>
      </c>
      <c r="N686" s="301">
        <f>M686+M691</f>
        <v>383475.1125157543</v>
      </c>
      <c r="O686" s="301">
        <f>O674-O730/100</f>
        <v>4634.2378457216937</v>
      </c>
    </row>
    <row r="687" spans="1:17" s="345" customFormat="1" ht="13.15" customHeight="1">
      <c r="A687" s="1030"/>
      <c r="B687" s="1035"/>
      <c r="C687" s="1036"/>
      <c r="D687" s="298">
        <v>3</v>
      </c>
      <c r="E687" s="301">
        <f t="shared" si="210"/>
        <v>194745.29641055048</v>
      </c>
      <c r="F687" s="301">
        <f t="shared" si="210"/>
        <v>11133.69230769231</v>
      </c>
      <c r="G687" s="301">
        <f t="shared" si="210"/>
        <v>1391.0042872265351</v>
      </c>
      <c r="H687" s="301">
        <f t="shared" si="210"/>
        <v>76008.880733944956</v>
      </c>
      <c r="I687" s="301"/>
      <c r="J687" s="301">
        <f>J675-J731/100</f>
        <v>36.061200000000007</v>
      </c>
      <c r="K687" s="301">
        <f t="shared" si="211"/>
        <v>283314.93493941426</v>
      </c>
      <c r="L687" s="301">
        <f>K687*0.25</f>
        <v>70828.733734853566</v>
      </c>
      <c r="M687" s="315">
        <f t="shared" si="212"/>
        <v>354143.66867426783</v>
      </c>
      <c r="N687" s="301">
        <f>M687+M692</f>
        <v>406300.5502539337</v>
      </c>
      <c r="O687" s="301">
        <f>O675-O731/100</f>
        <v>5527.567925194071</v>
      </c>
    </row>
    <row r="688" spans="1:17" s="345" customFormat="1" ht="13.15" customHeight="1">
      <c r="A688" s="1030"/>
      <c r="B688" s="1035"/>
      <c r="C688" s="1036"/>
      <c r="D688" s="298">
        <v>4</v>
      </c>
      <c r="E688" s="301">
        <f t="shared" si="210"/>
        <v>253361.48863235296</v>
      </c>
      <c r="F688" s="301">
        <f t="shared" si="210"/>
        <v>13371.346153846154</v>
      </c>
      <c r="G688" s="301">
        <f t="shared" si="210"/>
        <v>2040.6607635746607</v>
      </c>
      <c r="H688" s="301">
        <f t="shared" si="210"/>
        <v>239810.82352941178</v>
      </c>
      <c r="I688" s="301"/>
      <c r="J688" s="301">
        <f>J676-J732/100</f>
        <v>48.081600000000009</v>
      </c>
      <c r="K688" s="301">
        <f t="shared" si="211"/>
        <v>508632.40067918546</v>
      </c>
      <c r="L688" s="301">
        <f>K688*0.25</f>
        <v>127158.10016979637</v>
      </c>
      <c r="M688" s="315">
        <f t="shared" si="212"/>
        <v>635790.50084898178</v>
      </c>
      <c r="N688" s="301">
        <f>M688+M693</f>
        <v>702359.86879831145</v>
      </c>
      <c r="O688" s="301">
        <f>O676-O732/100</f>
        <v>7231.3925339366497</v>
      </c>
    </row>
    <row r="689" spans="1:15" s="345" customFormat="1" ht="13.15" customHeight="1">
      <c r="A689" s="1031"/>
      <c r="B689" s="1035"/>
      <c r="C689" s="1036"/>
      <c r="D689" s="298">
        <v>5</v>
      </c>
      <c r="E689" s="301">
        <f t="shared" si="210"/>
        <v>297988.2934416667</v>
      </c>
      <c r="F689" s="301">
        <f t="shared" si="210"/>
        <v>16045.615384615387</v>
      </c>
      <c r="G689" s="301">
        <f t="shared" si="210"/>
        <v>2570.3258368945872</v>
      </c>
      <c r="H689" s="301">
        <f t="shared" si="210"/>
        <v>181618.66666666666</v>
      </c>
      <c r="I689" s="301"/>
      <c r="J689" s="301">
        <f>J677-J733/100</f>
        <v>63.218399999999988</v>
      </c>
      <c r="K689" s="301">
        <f t="shared" si="211"/>
        <v>498286.11972984334</v>
      </c>
      <c r="L689" s="301">
        <f>K689*0.25</f>
        <v>124571.52993246083</v>
      </c>
      <c r="M689" s="315">
        <f t="shared" si="212"/>
        <v>622857.6496623042</v>
      </c>
      <c r="N689" s="301">
        <f>M689+M694</f>
        <v>690164.97193258454</v>
      </c>
      <c r="O689" s="301">
        <f>O677-O733/100</f>
        <v>8493.8262820512809</v>
      </c>
    </row>
    <row r="690" spans="1:15" s="345" customFormat="1" ht="13.15" customHeight="1">
      <c r="A690" s="1036"/>
      <c r="B690" s="1035" t="s">
        <v>331</v>
      </c>
      <c r="C690" s="1036" t="s">
        <v>49</v>
      </c>
      <c r="D690" s="298">
        <v>1</v>
      </c>
      <c r="E690" s="301">
        <f t="shared" ref="E690:H694" si="213">E678</f>
        <v>28211.10563333334</v>
      </c>
      <c r="F690" s="301">
        <f t="shared" si="213"/>
        <v>0</v>
      </c>
      <c r="G690" s="301">
        <f t="shared" si="213"/>
        <v>486.60142724489037</v>
      </c>
      <c r="H690" s="301">
        <f t="shared" si="213"/>
        <v>14292.008695652174</v>
      </c>
      <c r="I690" s="301"/>
      <c r="J690" s="301">
        <f>J678</f>
        <v>780.6452956521739</v>
      </c>
      <c r="K690" s="301">
        <f t="shared" si="211"/>
        <v>43770.361051882581</v>
      </c>
      <c r="L690" s="301">
        <f>K690*0.15</f>
        <v>6565.5541577823869</v>
      </c>
      <c r="M690" s="315">
        <f t="shared" si="212"/>
        <v>50335.91520966497</v>
      </c>
      <c r="N690" s="301"/>
      <c r="O690" s="301">
        <f>O678</f>
        <v>783.73589743589741</v>
      </c>
    </row>
    <row r="691" spans="1:15" s="345" customFormat="1" ht="13.15" customHeight="1">
      <c r="A691" s="1036"/>
      <c r="B691" s="1035"/>
      <c r="C691" s="1036"/>
      <c r="D691" s="298">
        <v>2</v>
      </c>
      <c r="E691" s="301">
        <f t="shared" si="213"/>
        <v>28571.074239325848</v>
      </c>
      <c r="F691" s="301">
        <f t="shared" si="213"/>
        <v>0</v>
      </c>
      <c r="G691" s="301">
        <f t="shared" si="213"/>
        <v>500.88336536828956</v>
      </c>
      <c r="H691" s="301">
        <f t="shared" si="213"/>
        <v>14168.186516853933</v>
      </c>
      <c r="I691" s="301"/>
      <c r="J691" s="301">
        <f>J679</f>
        <v>768.59277977528086</v>
      </c>
      <c r="K691" s="301">
        <f t="shared" si="211"/>
        <v>44008.736901323355</v>
      </c>
      <c r="L691" s="301">
        <f>K691*0.15</f>
        <v>6601.3105351985032</v>
      </c>
      <c r="M691" s="315">
        <f t="shared" si="212"/>
        <v>50610.047436521854</v>
      </c>
      <c r="N691" s="301"/>
      <c r="O691" s="301">
        <f>O679</f>
        <v>790.11659464131367</v>
      </c>
    </row>
    <row r="692" spans="1:15" s="345" customFormat="1" ht="13.15" customHeight="1">
      <c r="A692" s="1036"/>
      <c r="B692" s="1035"/>
      <c r="C692" s="1036"/>
      <c r="D692" s="298">
        <v>3</v>
      </c>
      <c r="E692" s="301">
        <f t="shared" si="213"/>
        <v>29944.522935779823</v>
      </c>
      <c r="F692" s="301">
        <f t="shared" si="213"/>
        <v>0</v>
      </c>
      <c r="G692" s="301">
        <f t="shared" si="213"/>
        <v>537.20171331137772</v>
      </c>
      <c r="H692" s="301">
        <f t="shared" si="213"/>
        <v>14089.80366972477</v>
      </c>
      <c r="I692" s="301"/>
      <c r="J692" s="301">
        <f>J680</f>
        <v>782.28175045871569</v>
      </c>
      <c r="K692" s="301">
        <f t="shared" si="211"/>
        <v>45353.810069274681</v>
      </c>
      <c r="L692" s="301">
        <f>K692*0.15</f>
        <v>6803.0715103912016</v>
      </c>
      <c r="M692" s="315">
        <f t="shared" si="212"/>
        <v>52156.881579665882</v>
      </c>
      <c r="N692" s="301"/>
      <c r="O692" s="301">
        <f>O680</f>
        <v>822.74100211714892</v>
      </c>
    </row>
    <row r="693" spans="1:15" s="345" customFormat="1" ht="13.15" customHeight="1">
      <c r="A693" s="1036"/>
      <c r="B693" s="1035"/>
      <c r="C693" s="1036"/>
      <c r="D693" s="298">
        <v>4</v>
      </c>
      <c r="E693" s="301">
        <f t="shared" si="213"/>
        <v>41215.04834117648</v>
      </c>
      <c r="F693" s="301">
        <f t="shared" si="213"/>
        <v>0</v>
      </c>
      <c r="G693" s="301">
        <f t="shared" si="213"/>
        <v>746.48337128406229</v>
      </c>
      <c r="H693" s="301">
        <f t="shared" si="213"/>
        <v>14859.223529411765</v>
      </c>
      <c r="I693" s="301"/>
      <c r="J693" s="301">
        <f>J681</f>
        <v>1065.6516705882352</v>
      </c>
      <c r="K693" s="301">
        <f t="shared" si="211"/>
        <v>57886.406912460545</v>
      </c>
      <c r="L693" s="301">
        <f>K693*0.15</f>
        <v>8682.961036869081</v>
      </c>
      <c r="M693" s="315">
        <f t="shared" si="212"/>
        <v>66569.367949329622</v>
      </c>
      <c r="N693" s="301"/>
      <c r="O693" s="301">
        <f>O681</f>
        <v>1133.1194570135747</v>
      </c>
    </row>
    <row r="694" spans="1:15" s="345" customFormat="1" ht="13.15" customHeight="1">
      <c r="A694" s="1036"/>
      <c r="B694" s="1035"/>
      <c r="C694" s="1036"/>
      <c r="D694" s="298">
        <v>5</v>
      </c>
      <c r="E694" s="301">
        <f t="shared" si="213"/>
        <v>42047.993362222231</v>
      </c>
      <c r="F694" s="301">
        <f t="shared" si="213"/>
        <v>0</v>
      </c>
      <c r="G694" s="301">
        <f t="shared" si="213"/>
        <v>781.50502642735034</v>
      </c>
      <c r="H694" s="301">
        <f t="shared" si="213"/>
        <v>14585.880000000001</v>
      </c>
      <c r="I694" s="301"/>
      <c r="J694" s="301">
        <f>J682</f>
        <v>1112.7279333333333</v>
      </c>
      <c r="K694" s="301">
        <f t="shared" si="211"/>
        <v>58528.106321982916</v>
      </c>
      <c r="L694" s="301">
        <f>K694*0.15</f>
        <v>8779.2159482974366</v>
      </c>
      <c r="M694" s="315">
        <f t="shared" si="212"/>
        <v>67307.322270280347</v>
      </c>
      <c r="N694" s="301"/>
      <c r="O694" s="301">
        <f>O682</f>
        <v>1146.6305982905983</v>
      </c>
    </row>
    <row r="695" spans="1:15" s="345" customFormat="1" ht="13.5">
      <c r="A695" s="298" t="s">
        <v>503</v>
      </c>
      <c r="B695" s="340" t="s">
        <v>423</v>
      </c>
      <c r="C695" s="298"/>
      <c r="D695" s="298"/>
      <c r="E695" s="301"/>
      <c r="F695" s="301"/>
      <c r="G695" s="301"/>
      <c r="H695" s="301"/>
      <c r="I695" s="301"/>
      <c r="J695" s="301"/>
      <c r="K695" s="301"/>
      <c r="L695" s="301"/>
      <c r="M695" s="315"/>
      <c r="N695" s="301"/>
      <c r="O695" s="301"/>
    </row>
    <row r="696" spans="1:15" s="345" customFormat="1" ht="13.15" customHeight="1">
      <c r="A696" s="1029"/>
      <c r="B696" s="1035" t="s">
        <v>330</v>
      </c>
      <c r="C696" s="1036" t="s">
        <v>49</v>
      </c>
      <c r="D696" s="298">
        <v>1</v>
      </c>
      <c r="E696" s="301">
        <f t="shared" ref="E696:G705" si="214">E673*0.9</f>
        <v>130227.66095625002</v>
      </c>
      <c r="F696" s="301">
        <f t="shared" si="214"/>
        <v>6958.5576923076924</v>
      </c>
      <c r="G696" s="301">
        <f t="shared" si="214"/>
        <v>873.20994230769236</v>
      </c>
      <c r="H696" s="301">
        <f t="shared" ref="H696:H705" si="215">H673</f>
        <v>119143.94782608697</v>
      </c>
      <c r="I696" s="301"/>
      <c r="J696" s="301">
        <f t="shared" ref="J696:J705" si="216">J673*0.9</f>
        <v>20.23434</v>
      </c>
      <c r="K696" s="301">
        <f t="shared" ref="K696:K705" si="217">SUM(E696:J696)</f>
        <v>257223.6107569524</v>
      </c>
      <c r="L696" s="301">
        <f>K696*0.25</f>
        <v>64305.902689238101</v>
      </c>
      <c r="M696" s="315">
        <f t="shared" ref="M696:M705" si="218">K696+L696</f>
        <v>321529.51344619051</v>
      </c>
      <c r="N696" s="301">
        <f>M696+M701</f>
        <v>368475.41813488898</v>
      </c>
      <c r="O696" s="301">
        <f t="shared" ref="O696:O705" si="219">O673*0.9</f>
        <v>3698.7447115384612</v>
      </c>
    </row>
    <row r="697" spans="1:15" s="345" customFormat="1" ht="13.15" customHeight="1">
      <c r="A697" s="1030"/>
      <c r="B697" s="1035"/>
      <c r="C697" s="1036"/>
      <c r="D697" s="298">
        <v>2</v>
      </c>
      <c r="E697" s="301">
        <f t="shared" si="214"/>
        <v>155598.22319157308</v>
      </c>
      <c r="F697" s="301">
        <f t="shared" si="214"/>
        <v>8366.6423076923093</v>
      </c>
      <c r="G697" s="301">
        <f t="shared" si="214"/>
        <v>1078.4123846694038</v>
      </c>
      <c r="H697" s="301">
        <f t="shared" si="215"/>
        <v>92783.420224719113</v>
      </c>
      <c r="I697" s="301"/>
      <c r="J697" s="301">
        <f t="shared" si="216"/>
        <v>25.643519999999999</v>
      </c>
      <c r="K697" s="301">
        <f t="shared" si="217"/>
        <v>257852.3416286539</v>
      </c>
      <c r="L697" s="301">
        <f>K697*0.25</f>
        <v>64463.085407163475</v>
      </c>
      <c r="M697" s="315">
        <f t="shared" si="218"/>
        <v>322315.42703581735</v>
      </c>
      <c r="N697" s="301">
        <f>M697+M702</f>
        <v>369493.81117812521</v>
      </c>
      <c r="O697" s="301">
        <f t="shared" si="219"/>
        <v>4417.1241573033703</v>
      </c>
    </row>
    <row r="698" spans="1:15" s="345" customFormat="1" ht="13.15" customHeight="1">
      <c r="A698" s="1030"/>
      <c r="B698" s="1035"/>
      <c r="C698" s="1036"/>
      <c r="D698" s="298">
        <v>3</v>
      </c>
      <c r="E698" s="301">
        <f t="shared" si="214"/>
        <v>186870.65864449544</v>
      </c>
      <c r="F698" s="301">
        <f t="shared" si="214"/>
        <v>10020.323076923079</v>
      </c>
      <c r="G698" s="301">
        <f t="shared" si="214"/>
        <v>1426.8262623500354</v>
      </c>
      <c r="H698" s="301">
        <f t="shared" si="215"/>
        <v>76096.480733944962</v>
      </c>
      <c r="I698" s="301"/>
      <c r="J698" s="301">
        <f t="shared" si="216"/>
        <v>34.258140000000004</v>
      </c>
      <c r="K698" s="301">
        <f t="shared" si="217"/>
        <v>274448.54685771355</v>
      </c>
      <c r="L698" s="301">
        <f>K698*0.25</f>
        <v>68612.136714428387</v>
      </c>
      <c r="M698" s="315">
        <f t="shared" si="218"/>
        <v>343060.68357214192</v>
      </c>
      <c r="N698" s="301">
        <f>M698+M703</f>
        <v>391622.20441585954</v>
      </c>
      <c r="O698" s="301">
        <f t="shared" si="219"/>
        <v>5303.2245942131258</v>
      </c>
    </row>
    <row r="699" spans="1:15" s="345" customFormat="1" ht="13.15" customHeight="1">
      <c r="A699" s="1030"/>
      <c r="B699" s="1035"/>
      <c r="C699" s="1036"/>
      <c r="D699" s="298">
        <v>4</v>
      </c>
      <c r="E699" s="301">
        <f t="shared" si="214"/>
        <v>243685.19380036768</v>
      </c>
      <c r="F699" s="301">
        <f t="shared" si="214"/>
        <v>12034.211538461539</v>
      </c>
      <c r="G699" s="301">
        <f t="shared" si="214"/>
        <v>2072.7399324095022</v>
      </c>
      <c r="H699" s="301">
        <f t="shared" si="215"/>
        <v>239898.42352941178</v>
      </c>
      <c r="I699" s="301"/>
      <c r="J699" s="301">
        <f t="shared" si="216"/>
        <v>45.677520000000008</v>
      </c>
      <c r="K699" s="301">
        <f t="shared" si="217"/>
        <v>497736.24632065051</v>
      </c>
      <c r="L699" s="301">
        <f>K699*0.25</f>
        <v>124434.06158016263</v>
      </c>
      <c r="M699" s="315">
        <f t="shared" si="218"/>
        <v>622170.30790081318</v>
      </c>
      <c r="N699" s="301">
        <f>M699+M704</f>
        <v>683791.54976109217</v>
      </c>
      <c r="O699" s="301">
        <f t="shared" si="219"/>
        <v>6951.6114536199084</v>
      </c>
    </row>
    <row r="700" spans="1:15" s="345" customFormat="1" ht="13.15" customHeight="1">
      <c r="A700" s="1031"/>
      <c r="B700" s="1035"/>
      <c r="C700" s="1036"/>
      <c r="D700" s="298">
        <v>5</v>
      </c>
      <c r="E700" s="301">
        <f t="shared" si="214"/>
        <v>288295.94334750006</v>
      </c>
      <c r="F700" s="301">
        <f t="shared" si="214"/>
        <v>14441.053846153849</v>
      </c>
      <c r="G700" s="301">
        <f t="shared" si="214"/>
        <v>2619.4074599358974</v>
      </c>
      <c r="H700" s="301">
        <f t="shared" si="215"/>
        <v>181706.26666666666</v>
      </c>
      <c r="I700" s="301"/>
      <c r="J700" s="301">
        <f t="shared" si="216"/>
        <v>59.901659999999993</v>
      </c>
      <c r="K700" s="301">
        <f t="shared" si="217"/>
        <v>487122.5729802564</v>
      </c>
      <c r="L700" s="301">
        <f>K700*0.25</f>
        <v>121780.6432450641</v>
      </c>
      <c r="M700" s="315">
        <f t="shared" si="218"/>
        <v>608903.21622532047</v>
      </c>
      <c r="N700" s="301">
        <f>M700+M705</f>
        <v>671157.18246857275</v>
      </c>
      <c r="O700" s="301">
        <f t="shared" si="219"/>
        <v>8213.6936538461523</v>
      </c>
    </row>
    <row r="701" spans="1:15" s="345" customFormat="1">
      <c r="A701" s="1036"/>
      <c r="B701" s="1037" t="s">
        <v>331</v>
      </c>
      <c r="C701" s="1036" t="s">
        <v>49</v>
      </c>
      <c r="D701" s="333" t="s">
        <v>18</v>
      </c>
      <c r="E701" s="301">
        <f t="shared" si="214"/>
        <v>25389.995070000008</v>
      </c>
      <c r="F701" s="301">
        <f t="shared" si="214"/>
        <v>0</v>
      </c>
      <c r="G701" s="301">
        <f t="shared" si="214"/>
        <v>437.94128452040133</v>
      </c>
      <c r="H701" s="301">
        <f t="shared" si="215"/>
        <v>14292.008695652174</v>
      </c>
      <c r="I701" s="301"/>
      <c r="J701" s="301">
        <f t="shared" si="216"/>
        <v>702.58076608695649</v>
      </c>
      <c r="K701" s="301">
        <f t="shared" si="217"/>
        <v>40822.525816259535</v>
      </c>
      <c r="L701" s="301">
        <f>K701*0.15</f>
        <v>6123.3788724389296</v>
      </c>
      <c r="M701" s="315">
        <f t="shared" si="218"/>
        <v>46945.904688698465</v>
      </c>
      <c r="N701" s="301"/>
      <c r="O701" s="301">
        <f t="shared" si="219"/>
        <v>705.3623076923077</v>
      </c>
    </row>
    <row r="702" spans="1:15" s="345" customFormat="1">
      <c r="A702" s="1036"/>
      <c r="B702" s="1035"/>
      <c r="C702" s="1036"/>
      <c r="D702" s="298">
        <v>2</v>
      </c>
      <c r="E702" s="301">
        <f t="shared" si="214"/>
        <v>25713.966815393265</v>
      </c>
      <c r="F702" s="301">
        <f t="shared" si="214"/>
        <v>0</v>
      </c>
      <c r="G702" s="301">
        <f t="shared" si="214"/>
        <v>450.79502883146063</v>
      </c>
      <c r="H702" s="301">
        <f t="shared" si="215"/>
        <v>14168.186516853933</v>
      </c>
      <c r="I702" s="301"/>
      <c r="J702" s="301">
        <f t="shared" si="216"/>
        <v>691.73350179775275</v>
      </c>
      <c r="K702" s="301">
        <f t="shared" si="217"/>
        <v>41024.681862876409</v>
      </c>
      <c r="L702" s="301">
        <f>K702*0.15</f>
        <v>6153.7022794314607</v>
      </c>
      <c r="M702" s="315">
        <f t="shared" si="218"/>
        <v>47178.38414230787</v>
      </c>
      <c r="N702" s="301"/>
      <c r="O702" s="301">
        <f t="shared" si="219"/>
        <v>711.10493517718237</v>
      </c>
    </row>
    <row r="703" spans="1:15" s="345" customFormat="1">
      <c r="A703" s="1036"/>
      <c r="B703" s="1035"/>
      <c r="C703" s="1036"/>
      <c r="D703" s="298">
        <v>3</v>
      </c>
      <c r="E703" s="301">
        <f t="shared" si="214"/>
        <v>26950.070642201841</v>
      </c>
      <c r="F703" s="301">
        <f t="shared" si="214"/>
        <v>0</v>
      </c>
      <c r="G703" s="301">
        <f t="shared" si="214"/>
        <v>483.48154198023997</v>
      </c>
      <c r="H703" s="301">
        <f t="shared" si="215"/>
        <v>14089.80366972477</v>
      </c>
      <c r="I703" s="301"/>
      <c r="J703" s="301">
        <f t="shared" si="216"/>
        <v>704.05357541284411</v>
      </c>
      <c r="K703" s="301">
        <f t="shared" si="217"/>
        <v>42227.40942931969</v>
      </c>
      <c r="L703" s="301">
        <f>K703*0.15</f>
        <v>6334.111414397953</v>
      </c>
      <c r="M703" s="315">
        <f t="shared" si="218"/>
        <v>48561.520843717641</v>
      </c>
      <c r="N703" s="301"/>
      <c r="O703" s="301">
        <f t="shared" si="219"/>
        <v>740.46690190543404</v>
      </c>
    </row>
    <row r="704" spans="1:15" s="345" customFormat="1">
      <c r="A704" s="1036"/>
      <c r="B704" s="1035"/>
      <c r="C704" s="1036"/>
      <c r="D704" s="298">
        <v>4</v>
      </c>
      <c r="E704" s="301">
        <f t="shared" si="214"/>
        <v>37093.543507058836</v>
      </c>
      <c r="F704" s="301">
        <f t="shared" si="214"/>
        <v>0</v>
      </c>
      <c r="G704" s="301">
        <f t="shared" si="214"/>
        <v>671.8350341556561</v>
      </c>
      <c r="H704" s="301">
        <f t="shared" si="215"/>
        <v>14859.223529411765</v>
      </c>
      <c r="I704" s="301"/>
      <c r="J704" s="301">
        <f t="shared" si="216"/>
        <v>959.08650352941174</v>
      </c>
      <c r="K704" s="301">
        <f t="shared" si="217"/>
        <v>53583.688574155669</v>
      </c>
      <c r="L704" s="301">
        <f>K704*0.15</f>
        <v>8037.5532861233496</v>
      </c>
      <c r="M704" s="315">
        <f t="shared" si="218"/>
        <v>61621.24186027902</v>
      </c>
      <c r="N704" s="301"/>
      <c r="O704" s="301">
        <f t="shared" si="219"/>
        <v>1019.8075113122172</v>
      </c>
    </row>
    <row r="705" spans="1:15" s="345" customFormat="1">
      <c r="A705" s="1036"/>
      <c r="B705" s="1035"/>
      <c r="C705" s="1036"/>
      <c r="D705" s="298">
        <v>5</v>
      </c>
      <c r="E705" s="301">
        <f t="shared" si="214"/>
        <v>37843.194026000012</v>
      </c>
      <c r="F705" s="301">
        <f t="shared" si="214"/>
        <v>0</v>
      </c>
      <c r="G705" s="301">
        <f t="shared" si="214"/>
        <v>703.35452378461537</v>
      </c>
      <c r="H705" s="301">
        <f t="shared" si="215"/>
        <v>14585.880000000001</v>
      </c>
      <c r="I705" s="301"/>
      <c r="J705" s="301">
        <f t="shared" si="216"/>
        <v>1001.45514</v>
      </c>
      <c r="K705" s="301">
        <f t="shared" si="217"/>
        <v>54133.883689784627</v>
      </c>
      <c r="L705" s="301">
        <f>K705*0.15</f>
        <v>8120.0825534676933</v>
      </c>
      <c r="M705" s="315">
        <f t="shared" si="218"/>
        <v>62253.966243252318</v>
      </c>
      <c r="N705" s="301"/>
      <c r="O705" s="301">
        <f t="shared" si="219"/>
        <v>1031.9675384615384</v>
      </c>
    </row>
    <row r="706" spans="1:15" s="345" customFormat="1" ht="13.5">
      <c r="A706" s="298" t="s">
        <v>504</v>
      </c>
      <c r="B706" s="340" t="s">
        <v>424</v>
      </c>
      <c r="C706" s="298"/>
      <c r="D706" s="298"/>
      <c r="E706" s="301"/>
      <c r="F706" s="301"/>
      <c r="G706" s="301"/>
      <c r="H706" s="301"/>
      <c r="I706" s="301"/>
      <c r="J706" s="301"/>
      <c r="K706" s="301"/>
      <c r="L706" s="301"/>
      <c r="M706" s="315"/>
      <c r="N706" s="301"/>
      <c r="O706" s="301"/>
    </row>
    <row r="707" spans="1:15" s="345" customFormat="1" ht="13.15" customHeight="1">
      <c r="A707" s="1029"/>
      <c r="B707" s="1035" t="s">
        <v>330</v>
      </c>
      <c r="C707" s="1036" t="s">
        <v>49</v>
      </c>
      <c r="D707" s="298">
        <v>1</v>
      </c>
      <c r="E707" s="301">
        <f t="shared" ref="E707:G716" si="220">E673*0.8</f>
        <v>115757.92085000002</v>
      </c>
      <c r="F707" s="301">
        <f t="shared" si="220"/>
        <v>6185.3846153846162</v>
      </c>
      <c r="G707" s="301">
        <f t="shared" si="220"/>
        <v>776.18661538461538</v>
      </c>
      <c r="H707" s="301">
        <f t="shared" ref="H707:H716" si="221">H673</f>
        <v>119143.94782608697</v>
      </c>
      <c r="I707" s="301"/>
      <c r="J707" s="301">
        <f t="shared" ref="J707:J716" si="222">J673*0.8</f>
        <v>17.986079999999998</v>
      </c>
      <c r="K707" s="301">
        <f t="shared" ref="K707:K716" si="223">SUM(E707:J707)</f>
        <v>241881.42598685622</v>
      </c>
      <c r="L707" s="301">
        <f>K707*0.25</f>
        <v>60470.356496714056</v>
      </c>
      <c r="M707" s="315">
        <f t="shared" ref="M707:M716" si="224">K707+L707</f>
        <v>302351.78248357028</v>
      </c>
      <c r="N707" s="301">
        <f>M707+M712</f>
        <v>345907.67665130226</v>
      </c>
      <c r="O707" s="301">
        <f t="shared" ref="O707:O716" si="225">O673*0.8</f>
        <v>3287.7730769230766</v>
      </c>
    </row>
    <row r="708" spans="1:15" s="345" customFormat="1" ht="13.15" customHeight="1">
      <c r="A708" s="1030"/>
      <c r="B708" s="1035"/>
      <c r="C708" s="1036"/>
      <c r="D708" s="298">
        <v>2</v>
      </c>
      <c r="E708" s="301">
        <f t="shared" si="220"/>
        <v>138309.53172584274</v>
      </c>
      <c r="F708" s="301">
        <f t="shared" si="220"/>
        <v>7437.0153846153862</v>
      </c>
      <c r="G708" s="301">
        <f t="shared" si="220"/>
        <v>958.58878637280327</v>
      </c>
      <c r="H708" s="301">
        <f t="shared" si="221"/>
        <v>92783.420224719113</v>
      </c>
      <c r="I708" s="301"/>
      <c r="J708" s="301">
        <f t="shared" si="222"/>
        <v>22.794240000000002</v>
      </c>
      <c r="K708" s="301">
        <f t="shared" si="223"/>
        <v>239511.35036155002</v>
      </c>
      <c r="L708" s="301">
        <f>K708*0.25</f>
        <v>59877.837590387506</v>
      </c>
      <c r="M708" s="315">
        <f t="shared" si="224"/>
        <v>299389.18795193755</v>
      </c>
      <c r="N708" s="301">
        <f>M708+M713</f>
        <v>343135.90880003141</v>
      </c>
      <c r="O708" s="301">
        <f t="shared" si="225"/>
        <v>3926.3325842696631</v>
      </c>
    </row>
    <row r="709" spans="1:15" s="345" customFormat="1" ht="13.15" customHeight="1">
      <c r="A709" s="1030"/>
      <c r="B709" s="1035"/>
      <c r="C709" s="1036"/>
      <c r="D709" s="298">
        <v>3</v>
      </c>
      <c r="E709" s="301">
        <f t="shared" si="220"/>
        <v>166107.25212844042</v>
      </c>
      <c r="F709" s="301">
        <f t="shared" si="220"/>
        <v>8906.9538461538486</v>
      </c>
      <c r="G709" s="301">
        <f t="shared" si="220"/>
        <v>1268.2900109778093</v>
      </c>
      <c r="H709" s="301">
        <f t="shared" si="221"/>
        <v>76096.480733944962</v>
      </c>
      <c r="I709" s="301"/>
      <c r="J709" s="301">
        <f t="shared" si="222"/>
        <v>30.451680000000007</v>
      </c>
      <c r="K709" s="301">
        <f t="shared" si="223"/>
        <v>252409.42839951703</v>
      </c>
      <c r="L709" s="301">
        <f>K709*0.25</f>
        <v>63102.357099879257</v>
      </c>
      <c r="M709" s="315">
        <f t="shared" si="224"/>
        <v>315511.78549939627</v>
      </c>
      <c r="N709" s="301">
        <f>M709+M714</f>
        <v>360477.94560716569</v>
      </c>
      <c r="O709" s="301">
        <f t="shared" si="225"/>
        <v>4713.9774170783339</v>
      </c>
    </row>
    <row r="710" spans="1:15" s="345" customFormat="1" ht="13.15" customHeight="1">
      <c r="A710" s="1030"/>
      <c r="B710" s="1035"/>
      <c r="C710" s="1036"/>
      <c r="D710" s="298">
        <v>4</v>
      </c>
      <c r="E710" s="301">
        <f t="shared" si="220"/>
        <v>216609.0611558824</v>
      </c>
      <c r="F710" s="301">
        <f t="shared" si="220"/>
        <v>10697.076923076924</v>
      </c>
      <c r="G710" s="301">
        <f t="shared" si="220"/>
        <v>1842.4354954751134</v>
      </c>
      <c r="H710" s="301">
        <f t="shared" si="221"/>
        <v>239898.42352941178</v>
      </c>
      <c r="I710" s="301"/>
      <c r="J710" s="301">
        <f t="shared" si="222"/>
        <v>40.602240000000009</v>
      </c>
      <c r="K710" s="301">
        <f t="shared" si="223"/>
        <v>469087.5993438462</v>
      </c>
      <c r="L710" s="301">
        <f>K710*0.25</f>
        <v>117271.89983596155</v>
      </c>
      <c r="M710" s="315">
        <f t="shared" si="224"/>
        <v>586359.49917980772</v>
      </c>
      <c r="N710" s="301">
        <f>M710+M715</f>
        <v>643032.61495103617</v>
      </c>
      <c r="O710" s="301">
        <f t="shared" si="225"/>
        <v>6179.2101809954738</v>
      </c>
    </row>
    <row r="711" spans="1:15" s="345" customFormat="1" ht="13.15" customHeight="1">
      <c r="A711" s="1031"/>
      <c r="B711" s="1035"/>
      <c r="C711" s="1036"/>
      <c r="D711" s="298">
        <v>5</v>
      </c>
      <c r="E711" s="301">
        <f t="shared" si="220"/>
        <v>256263.06075333338</v>
      </c>
      <c r="F711" s="301">
        <f t="shared" si="220"/>
        <v>12836.49230769231</v>
      </c>
      <c r="G711" s="301">
        <f t="shared" si="220"/>
        <v>2328.3621866096869</v>
      </c>
      <c r="H711" s="301">
        <f t="shared" si="221"/>
        <v>181706.26666666666</v>
      </c>
      <c r="I711" s="301"/>
      <c r="J711" s="301">
        <f t="shared" si="222"/>
        <v>53.245919999999991</v>
      </c>
      <c r="K711" s="301">
        <f t="shared" si="223"/>
        <v>453187.42783430207</v>
      </c>
      <c r="L711" s="301">
        <f>K711*0.25</f>
        <v>113296.85695857552</v>
      </c>
      <c r="M711" s="315">
        <f t="shared" si="224"/>
        <v>566484.28479287762</v>
      </c>
      <c r="N711" s="301">
        <f>M711+M716</f>
        <v>623684.89500910195</v>
      </c>
      <c r="O711" s="301">
        <f t="shared" si="225"/>
        <v>7301.0610256410255</v>
      </c>
    </row>
    <row r="712" spans="1:15" s="345" customFormat="1" ht="13.15" customHeight="1">
      <c r="A712" s="1029"/>
      <c r="B712" s="1035" t="s">
        <v>331</v>
      </c>
      <c r="C712" s="1036" t="s">
        <v>49</v>
      </c>
      <c r="D712" s="298" t="s">
        <v>18</v>
      </c>
      <c r="E712" s="301">
        <f t="shared" si="220"/>
        <v>22568.884506666673</v>
      </c>
      <c r="F712" s="301">
        <f t="shared" si="220"/>
        <v>0</v>
      </c>
      <c r="G712" s="301">
        <f t="shared" si="220"/>
        <v>389.28114179591233</v>
      </c>
      <c r="H712" s="301">
        <f t="shared" si="221"/>
        <v>14292.008695652174</v>
      </c>
      <c r="I712" s="301"/>
      <c r="J712" s="301">
        <f t="shared" si="222"/>
        <v>624.51623652173919</v>
      </c>
      <c r="K712" s="301">
        <f t="shared" si="223"/>
        <v>37874.690580636496</v>
      </c>
      <c r="L712" s="301">
        <f>K712*0.15</f>
        <v>5681.2035870954742</v>
      </c>
      <c r="M712" s="315">
        <f t="shared" si="224"/>
        <v>43555.894167731967</v>
      </c>
      <c r="N712" s="301"/>
      <c r="O712" s="301">
        <f t="shared" si="225"/>
        <v>626.98871794871798</v>
      </c>
    </row>
    <row r="713" spans="1:15" s="345" customFormat="1" ht="13.15" customHeight="1">
      <c r="A713" s="1030"/>
      <c r="B713" s="1035"/>
      <c r="C713" s="1036"/>
      <c r="D713" s="298">
        <v>2</v>
      </c>
      <c r="E713" s="301">
        <f t="shared" si="220"/>
        <v>22856.859391460679</v>
      </c>
      <c r="F713" s="301">
        <f t="shared" si="220"/>
        <v>0</v>
      </c>
      <c r="G713" s="301">
        <f t="shared" si="220"/>
        <v>400.70669229463169</v>
      </c>
      <c r="H713" s="301">
        <f t="shared" si="221"/>
        <v>14168.186516853933</v>
      </c>
      <c r="I713" s="301"/>
      <c r="J713" s="301">
        <f t="shared" si="222"/>
        <v>614.87422382022476</v>
      </c>
      <c r="K713" s="301">
        <f t="shared" si="223"/>
        <v>38040.62682442947</v>
      </c>
      <c r="L713" s="301">
        <f>K713*0.15</f>
        <v>5706.0940236644201</v>
      </c>
      <c r="M713" s="315">
        <f t="shared" si="224"/>
        <v>43746.720848093886</v>
      </c>
      <c r="N713" s="301"/>
      <c r="O713" s="301">
        <f t="shared" si="225"/>
        <v>632.09327571305096</v>
      </c>
    </row>
    <row r="714" spans="1:15" s="345" customFormat="1" ht="13.15" customHeight="1">
      <c r="A714" s="1030"/>
      <c r="B714" s="1035"/>
      <c r="C714" s="1036"/>
      <c r="D714" s="298">
        <v>3</v>
      </c>
      <c r="E714" s="301">
        <f t="shared" si="220"/>
        <v>23955.618348623859</v>
      </c>
      <c r="F714" s="301">
        <f t="shared" si="220"/>
        <v>0</v>
      </c>
      <c r="G714" s="301">
        <f t="shared" si="220"/>
        <v>429.76137064910222</v>
      </c>
      <c r="H714" s="301">
        <f t="shared" si="221"/>
        <v>14089.80366972477</v>
      </c>
      <c r="I714" s="301"/>
      <c r="J714" s="301">
        <f t="shared" si="222"/>
        <v>625.82540036697264</v>
      </c>
      <c r="K714" s="301">
        <f t="shared" si="223"/>
        <v>39101.0087893647</v>
      </c>
      <c r="L714" s="301">
        <f>K714*0.15</f>
        <v>5865.1513184047044</v>
      </c>
      <c r="M714" s="315">
        <f t="shared" si="224"/>
        <v>44966.160107769407</v>
      </c>
      <c r="N714" s="301"/>
      <c r="O714" s="301">
        <f t="shared" si="225"/>
        <v>658.19280169371916</v>
      </c>
    </row>
    <row r="715" spans="1:15" s="345" customFormat="1" ht="13.15" customHeight="1">
      <c r="A715" s="1030"/>
      <c r="B715" s="1035"/>
      <c r="C715" s="1036"/>
      <c r="D715" s="298">
        <v>4</v>
      </c>
      <c r="E715" s="301">
        <f t="shared" si="220"/>
        <v>32972.038672941184</v>
      </c>
      <c r="F715" s="301">
        <f t="shared" si="220"/>
        <v>0</v>
      </c>
      <c r="G715" s="301">
        <f t="shared" si="220"/>
        <v>597.18669702724981</v>
      </c>
      <c r="H715" s="301">
        <f t="shared" si="221"/>
        <v>14859.223529411765</v>
      </c>
      <c r="I715" s="301"/>
      <c r="J715" s="301">
        <f t="shared" si="222"/>
        <v>852.52133647058827</v>
      </c>
      <c r="K715" s="301">
        <f t="shared" si="223"/>
        <v>49280.970235850786</v>
      </c>
      <c r="L715" s="301">
        <f>K715*0.15</f>
        <v>7392.1455353776173</v>
      </c>
      <c r="M715" s="315">
        <f t="shared" si="224"/>
        <v>56673.115771228404</v>
      </c>
      <c r="N715" s="301"/>
      <c r="O715" s="301">
        <f t="shared" si="225"/>
        <v>906.49556561085979</v>
      </c>
    </row>
    <row r="716" spans="1:15" s="345" customFormat="1" ht="13.15" customHeight="1">
      <c r="A716" s="1031"/>
      <c r="B716" s="1035"/>
      <c r="C716" s="1036"/>
      <c r="D716" s="298">
        <v>5</v>
      </c>
      <c r="E716" s="301">
        <f t="shared" si="220"/>
        <v>33638.394689777786</v>
      </c>
      <c r="F716" s="301">
        <f t="shared" si="220"/>
        <v>0</v>
      </c>
      <c r="G716" s="301">
        <f t="shared" si="220"/>
        <v>625.20402114188028</v>
      </c>
      <c r="H716" s="301">
        <f t="shared" si="221"/>
        <v>14585.880000000001</v>
      </c>
      <c r="I716" s="301"/>
      <c r="J716" s="301">
        <f t="shared" si="222"/>
        <v>890.18234666666672</v>
      </c>
      <c r="K716" s="301">
        <f t="shared" si="223"/>
        <v>49739.661057586331</v>
      </c>
      <c r="L716" s="301">
        <f>K716*0.15</f>
        <v>7460.949158637949</v>
      </c>
      <c r="M716" s="315">
        <f t="shared" si="224"/>
        <v>57200.610216224282</v>
      </c>
      <c r="N716" s="301"/>
      <c r="O716" s="301">
        <f t="shared" si="225"/>
        <v>917.30447863247866</v>
      </c>
    </row>
    <row r="717" spans="1:15" s="308" customFormat="1" ht="12.75" customHeight="1">
      <c r="A717" s="298" t="s">
        <v>492</v>
      </c>
      <c r="B717" s="340" t="s">
        <v>491</v>
      </c>
      <c r="C717" s="298"/>
      <c r="D717" s="298"/>
      <c r="E717" s="301"/>
      <c r="F717" s="301"/>
      <c r="G717" s="301"/>
      <c r="H717" s="301"/>
      <c r="I717" s="301"/>
      <c r="J717" s="301"/>
      <c r="K717" s="301"/>
      <c r="L717" s="301"/>
      <c r="M717" s="315"/>
      <c r="N717" s="301"/>
      <c r="O717" s="301"/>
    </row>
    <row r="718" spans="1:15" s="345" customFormat="1" ht="13.15" customHeight="1">
      <c r="A718" s="316"/>
      <c r="B718" s="1035" t="s">
        <v>192</v>
      </c>
      <c r="C718" s="1036" t="s">
        <v>49</v>
      </c>
      <c r="D718" s="298" t="s">
        <v>18</v>
      </c>
      <c r="E718" s="301">
        <f>E$750/100+(E$752+E$753)/$C678</f>
        <v>10900.785133333336</v>
      </c>
      <c r="F718" s="301"/>
      <c r="G718" s="301">
        <f t="shared" ref="G718:H722" si="226">G673</f>
        <v>970.23326923076922</v>
      </c>
      <c r="H718" s="301">
        <f t="shared" si="226"/>
        <v>119143.94782608697</v>
      </c>
      <c r="I718" s="301"/>
      <c r="J718" s="301">
        <f>J673</f>
        <v>22.482599999999998</v>
      </c>
      <c r="K718" s="301">
        <f>SUM(E718:J718)</f>
        <v>131037.44882865108</v>
      </c>
      <c r="L718" s="301">
        <f>K718*0.15</f>
        <v>19655.617324297662</v>
      </c>
      <c r="M718" s="315">
        <f>K718+L718</f>
        <v>150693.06615294874</v>
      </c>
      <c r="N718" s="301">
        <f>M718</f>
        <v>150693.06615294874</v>
      </c>
      <c r="O718" s="301">
        <f>O$750/100+(O$752+O$753)/$C678</f>
        <v>308.62051282051283</v>
      </c>
    </row>
    <row r="719" spans="1:15" s="345" customFormat="1" ht="13.15" customHeight="1">
      <c r="A719" s="316"/>
      <c r="B719" s="1035"/>
      <c r="C719" s="1036"/>
      <c r="D719" s="298" t="s">
        <v>20</v>
      </c>
      <c r="E719" s="301">
        <f>E$750/100+(E$752+E$753)/$C679</f>
        <v>10768.252519101126</v>
      </c>
      <c r="F719" s="301"/>
      <c r="G719" s="301">
        <f t="shared" si="226"/>
        <v>1198.235982966004</v>
      </c>
      <c r="H719" s="301">
        <f t="shared" si="226"/>
        <v>92783.420224719113</v>
      </c>
      <c r="I719" s="301"/>
      <c r="J719" s="301">
        <f>J674</f>
        <v>28.492799999999999</v>
      </c>
      <c r="K719" s="301">
        <f>SUM(E719:J719)</f>
        <v>104778.40152678626</v>
      </c>
      <c r="L719" s="301">
        <f>K719*0.15</f>
        <v>15716.760229017938</v>
      </c>
      <c r="M719" s="315">
        <f>K719+L719</f>
        <v>120495.16175580419</v>
      </c>
      <c r="N719" s="301">
        <f>M719</f>
        <v>120495.16175580419</v>
      </c>
      <c r="O719" s="301">
        <f>O$750/100+(O$752+O$753)/$C679</f>
        <v>304.86828003457214</v>
      </c>
    </row>
    <row r="720" spans="1:15" s="345" customFormat="1" ht="13.15" customHeight="1">
      <c r="A720" s="316"/>
      <c r="B720" s="1035"/>
      <c r="C720" s="1036"/>
      <c r="D720" s="298" t="s">
        <v>35</v>
      </c>
      <c r="E720" s="301">
        <f>E$750/100+(E$752+E$753)/$C680</f>
        <v>10684.355726605507</v>
      </c>
      <c r="F720" s="301"/>
      <c r="G720" s="301">
        <f t="shared" si="226"/>
        <v>1585.3625137222616</v>
      </c>
      <c r="H720" s="301">
        <f t="shared" si="226"/>
        <v>76096.480733944962</v>
      </c>
      <c r="I720" s="301"/>
      <c r="J720" s="301">
        <f>J675</f>
        <v>38.064600000000006</v>
      </c>
      <c r="K720" s="301">
        <f>SUM(E720:J720)</f>
        <v>88404.263574272729</v>
      </c>
      <c r="L720" s="301">
        <f>K720*0.15</f>
        <v>13260.639536140909</v>
      </c>
      <c r="M720" s="315">
        <f>K720+L720</f>
        <v>101664.90311041364</v>
      </c>
      <c r="N720" s="301">
        <f>M720</f>
        <v>101664.90311041364</v>
      </c>
      <c r="O720" s="301">
        <f>O$750/100+(O$752+O$753)/$C680</f>
        <v>302.49301340860973</v>
      </c>
    </row>
    <row r="721" spans="1:15" s="345" customFormat="1" ht="13.15" customHeight="1">
      <c r="A721" s="316"/>
      <c r="B721" s="1035"/>
      <c r="C721" s="1036"/>
      <c r="D721" s="298" t="s">
        <v>33</v>
      </c>
      <c r="E721" s="301">
        <f>E$750/100+(E$752+E$753)/$C681</f>
        <v>11507.901447058826</v>
      </c>
      <c r="F721" s="301"/>
      <c r="G721" s="301">
        <f t="shared" si="226"/>
        <v>2303.0443693438915</v>
      </c>
      <c r="H721" s="301">
        <f t="shared" si="226"/>
        <v>239898.42352941178</v>
      </c>
      <c r="I721" s="301"/>
      <c r="J721" s="301">
        <f>J676</f>
        <v>50.752800000000008</v>
      </c>
      <c r="K721" s="301">
        <f>SUM(E721:J721)</f>
        <v>253760.1221458145</v>
      </c>
      <c r="L721" s="301">
        <f>K721*0.15</f>
        <v>38064.018321872172</v>
      </c>
      <c r="M721" s="315">
        <f>K721+L721</f>
        <v>291824.1404676867</v>
      </c>
      <c r="N721" s="301">
        <f>M721</f>
        <v>291824.1404676867</v>
      </c>
      <c r="O721" s="301">
        <f>O$750/100+(O$752+O$753)/$C681</f>
        <v>325.80904977375565</v>
      </c>
    </row>
    <row r="722" spans="1:15" s="345" customFormat="1" ht="13.15" customHeight="1">
      <c r="A722" s="316"/>
      <c r="B722" s="1035"/>
      <c r="C722" s="1036"/>
      <c r="D722" s="298">
        <v>5</v>
      </c>
      <c r="E722" s="301">
        <f>E$750/100+(E$752+E$753)/$C682</f>
        <v>11215.329204444448</v>
      </c>
      <c r="F722" s="301"/>
      <c r="G722" s="301">
        <f t="shared" si="226"/>
        <v>2910.4527332621083</v>
      </c>
      <c r="H722" s="301">
        <f t="shared" si="226"/>
        <v>181706.26666666666</v>
      </c>
      <c r="I722" s="301"/>
      <c r="J722" s="301">
        <f>J677</f>
        <v>66.557399999999987</v>
      </c>
      <c r="K722" s="301">
        <f>SUM(E722:J722)</f>
        <v>195898.6060043732</v>
      </c>
      <c r="L722" s="301">
        <f>K722*0.15</f>
        <v>29384.790900655978</v>
      </c>
      <c r="M722" s="315">
        <f>K722+L722</f>
        <v>225283.39690502919</v>
      </c>
      <c r="N722" s="301">
        <f>M722</f>
        <v>225283.39690502919</v>
      </c>
      <c r="O722" s="301">
        <f>O$750/100+(O$752+O$753)/$C682</f>
        <v>317.52581196581195</v>
      </c>
    </row>
    <row r="723" spans="1:15" s="345" customFormat="1">
      <c r="A723" s="298">
        <v>1</v>
      </c>
      <c r="B723" s="316" t="s">
        <v>190</v>
      </c>
      <c r="C723" s="333"/>
      <c r="D723" s="333"/>
      <c r="E723" s="301"/>
      <c r="F723" s="301"/>
      <c r="G723" s="301"/>
      <c r="H723" s="301"/>
      <c r="I723" s="301"/>
      <c r="J723" s="301"/>
      <c r="K723" s="301"/>
      <c r="L723" s="301"/>
      <c r="M723" s="302"/>
      <c r="N723" s="301"/>
      <c r="O723" s="301"/>
    </row>
    <row r="724" spans="1:15" s="345" customFormat="1">
      <c r="A724" s="1043">
        <v>1.1000000000000001</v>
      </c>
      <c r="B724" s="1038" t="str">
        <f>NhanCong!B$150</f>
        <v>Đối soát thực địa (công nhóm/mảnh)</v>
      </c>
      <c r="C724" s="1039" t="s">
        <v>317</v>
      </c>
      <c r="D724" s="319" t="s">
        <v>18</v>
      </c>
      <c r="E724" s="301">
        <f>NhanCong!Q$150</f>
        <v>211938.22650000002</v>
      </c>
      <c r="F724" s="301"/>
      <c r="G724" s="320">
        <f>Dcu!O$200</f>
        <v>1787.7192307692308</v>
      </c>
      <c r="H724" s="320">
        <f>VLieu!F$133</f>
        <v>4047000</v>
      </c>
      <c r="I724" s="320"/>
      <c r="J724" s="320"/>
      <c r="K724" s="320">
        <f t="shared" ref="K724:K738" si="227">SUM(E724:J724)</f>
        <v>4260725.9457307691</v>
      </c>
      <c r="L724" s="320">
        <f>K724*0.25</f>
        <v>1065181.4864326923</v>
      </c>
      <c r="M724" s="321">
        <f t="shared" ref="M724:M738" si="228">K724+L724</f>
        <v>5325907.4321634611</v>
      </c>
      <c r="N724" s="320"/>
      <c r="O724" s="320">
        <f>NhanCong!R$150</f>
        <v>6451.5</v>
      </c>
    </row>
    <row r="725" spans="1:15" s="345" customFormat="1">
      <c r="A725" s="1043"/>
      <c r="B725" s="1038"/>
      <c r="C725" s="1039"/>
      <c r="D725" s="319" t="s">
        <v>20</v>
      </c>
      <c r="E725" s="301">
        <f>NhanCong!Q$151</f>
        <v>275551.66100000002</v>
      </c>
      <c r="F725" s="301"/>
      <c r="G725" s="320">
        <f>Dcu!O$201</f>
        <v>2234.6490384615386</v>
      </c>
      <c r="H725" s="320">
        <f>VLieu!F$133</f>
        <v>4047000</v>
      </c>
      <c r="I725" s="320"/>
      <c r="J725" s="320"/>
      <c r="K725" s="320">
        <f t="shared" si="227"/>
        <v>4324786.3100384613</v>
      </c>
      <c r="L725" s="320">
        <f t="shared" ref="L725:L738" si="229">K725*0.25</f>
        <v>1081196.5775096153</v>
      </c>
      <c r="M725" s="321">
        <f t="shared" si="228"/>
        <v>5405982.8875480769</v>
      </c>
      <c r="N725" s="320"/>
      <c r="O725" s="320">
        <f>NhanCong!R$151</f>
        <v>8387.9230769230762</v>
      </c>
    </row>
    <row r="726" spans="1:15" s="345" customFormat="1">
      <c r="A726" s="1043"/>
      <c r="B726" s="1038"/>
      <c r="C726" s="1039"/>
      <c r="D726" s="319" t="s">
        <v>35</v>
      </c>
      <c r="E726" s="301">
        <f>NhanCong!Q$152</f>
        <v>358025.3600000001</v>
      </c>
      <c r="F726" s="301"/>
      <c r="G726" s="320">
        <f>Dcu!O$202</f>
        <v>2979.5320512820513</v>
      </c>
      <c r="H726" s="320">
        <f>VLieu!F$133</f>
        <v>4047000</v>
      </c>
      <c r="I726" s="320"/>
      <c r="J726" s="320"/>
      <c r="K726" s="320">
        <f t="shared" si="227"/>
        <v>4408004.8920512823</v>
      </c>
      <c r="L726" s="320">
        <f t="shared" si="229"/>
        <v>1102001.2230128206</v>
      </c>
      <c r="M726" s="321">
        <f t="shared" si="228"/>
        <v>5510006.1150641032</v>
      </c>
      <c r="N726" s="320"/>
      <c r="O726" s="320">
        <f>NhanCong!R$152</f>
        <v>10898.461538461537</v>
      </c>
    </row>
    <row r="727" spans="1:15" s="345" customFormat="1">
      <c r="A727" s="1043"/>
      <c r="B727" s="1038"/>
      <c r="C727" s="1039"/>
      <c r="D727" s="319" t="s">
        <v>33</v>
      </c>
      <c r="E727" s="301">
        <f>NhanCong!Q$153</f>
        <v>465432.96800000005</v>
      </c>
      <c r="F727" s="301"/>
      <c r="G727" s="320">
        <f>Dcu!O$203</f>
        <v>4022.3682692307693</v>
      </c>
      <c r="H727" s="320">
        <f>VLieu!F$133</f>
        <v>4047000</v>
      </c>
      <c r="I727" s="320"/>
      <c r="J727" s="320"/>
      <c r="K727" s="320">
        <f t="shared" si="227"/>
        <v>4516455.3362692306</v>
      </c>
      <c r="L727" s="320">
        <f t="shared" si="229"/>
        <v>1129113.8340673076</v>
      </c>
      <c r="M727" s="321">
        <f t="shared" si="228"/>
        <v>5645569.170336538</v>
      </c>
      <c r="N727" s="320"/>
      <c r="O727" s="320">
        <f>NhanCong!R$153</f>
        <v>14168</v>
      </c>
    </row>
    <row r="728" spans="1:15" s="345" customFormat="1">
      <c r="A728" s="1043"/>
      <c r="B728" s="1038"/>
      <c r="C728" s="1039"/>
      <c r="D728" s="319" t="s">
        <v>13</v>
      </c>
      <c r="E728" s="301">
        <f>NhanCong!Q$154</f>
        <v>605126.79150000005</v>
      </c>
      <c r="F728" s="301"/>
      <c r="G728" s="320">
        <f>Dcu!O$204</f>
        <v>5214.1810897435898</v>
      </c>
      <c r="H728" s="320">
        <f>VLieu!F$133</f>
        <v>4047000</v>
      </c>
      <c r="I728" s="320"/>
      <c r="J728" s="320"/>
      <c r="K728" s="320">
        <f t="shared" si="227"/>
        <v>4657340.9725897433</v>
      </c>
      <c r="L728" s="320">
        <f t="shared" si="229"/>
        <v>1164335.2431474358</v>
      </c>
      <c r="M728" s="321">
        <f t="shared" si="228"/>
        <v>5821676.2157371789</v>
      </c>
      <c r="N728" s="320"/>
      <c r="O728" s="320">
        <f>NhanCong!R$154</f>
        <v>18420.346153846152</v>
      </c>
    </row>
    <row r="729" spans="1:15" s="345" customFormat="1" ht="12.75" customHeight="1">
      <c r="A729" s="1043">
        <v>1.2</v>
      </c>
      <c r="B729" s="1038" t="str">
        <f>NhanCong!B$156</f>
        <v>Lưới đo vẽ (công nhóm/100 thửa có biến động cần chỉnh lý)</v>
      </c>
      <c r="C729" s="1040" t="s">
        <v>329</v>
      </c>
      <c r="D729" s="319" t="s">
        <v>18</v>
      </c>
      <c r="E729" s="301">
        <f>NhanCong!Q$156</f>
        <v>773326.12500000023</v>
      </c>
      <c r="F729" s="301"/>
      <c r="G729" s="320">
        <f>Dcu!O$222</f>
        <v>11661.493589743588</v>
      </c>
      <c r="H729" s="320">
        <f>VLieu!M$135</f>
        <v>8760</v>
      </c>
      <c r="I729" s="320"/>
      <c r="J729" s="320">
        <f>TBi!N$321</f>
        <v>133.56</v>
      </c>
      <c r="K729" s="320">
        <f t="shared" si="227"/>
        <v>793881.17858974391</v>
      </c>
      <c r="L729" s="320">
        <f t="shared" si="229"/>
        <v>198470.29464743598</v>
      </c>
      <c r="M729" s="321">
        <f t="shared" si="228"/>
        <v>992351.47323717992</v>
      </c>
      <c r="N729" s="320"/>
      <c r="O729" s="320">
        <f>NhanCong!R$156</f>
        <v>21894.230769230766</v>
      </c>
    </row>
    <row r="730" spans="1:15" s="345" customFormat="1">
      <c r="A730" s="1043"/>
      <c r="B730" s="1038"/>
      <c r="C730" s="1039" t="s">
        <v>49</v>
      </c>
      <c r="D730" s="319" t="s">
        <v>20</v>
      </c>
      <c r="E730" s="301">
        <f>NhanCong!Q$157</f>
        <v>966657.65625000023</v>
      </c>
      <c r="F730" s="301"/>
      <c r="G730" s="320">
        <f>Dcu!O$223</f>
        <v>14576.866987179486</v>
      </c>
      <c r="H730" s="320">
        <f>VLieu!M$135</f>
        <v>8760</v>
      </c>
      <c r="I730" s="320"/>
      <c r="J730" s="320">
        <f>TBi!O$321</f>
        <v>133.56</v>
      </c>
      <c r="K730" s="320">
        <f t="shared" si="227"/>
        <v>990128.08323717979</v>
      </c>
      <c r="L730" s="320">
        <f t="shared" si="229"/>
        <v>247532.02080929495</v>
      </c>
      <c r="M730" s="321">
        <f t="shared" si="228"/>
        <v>1237660.1040464747</v>
      </c>
      <c r="N730" s="320"/>
      <c r="O730" s="320">
        <f>NhanCong!R$157</f>
        <v>27367.788461538461</v>
      </c>
    </row>
    <row r="731" spans="1:15" s="345" customFormat="1">
      <c r="A731" s="1043"/>
      <c r="B731" s="1038"/>
      <c r="C731" s="1039"/>
      <c r="D731" s="319" t="s">
        <v>35</v>
      </c>
      <c r="E731" s="301">
        <f>NhanCong!Q$158</f>
        <v>1288876.8750000002</v>
      </c>
      <c r="F731" s="301"/>
      <c r="G731" s="320">
        <f>Dcu!O$224</f>
        <v>19435.822649572649</v>
      </c>
      <c r="H731" s="320">
        <f>VLieu!M$135</f>
        <v>8760</v>
      </c>
      <c r="I731" s="320"/>
      <c r="J731" s="320">
        <f>TBi!P$321</f>
        <v>200.34</v>
      </c>
      <c r="K731" s="320">
        <f t="shared" si="227"/>
        <v>1317273.0376495731</v>
      </c>
      <c r="L731" s="320">
        <f t="shared" si="229"/>
        <v>329318.25941239326</v>
      </c>
      <c r="M731" s="321">
        <f t="shared" si="228"/>
        <v>1646591.2970619663</v>
      </c>
      <c r="N731" s="320"/>
      <c r="O731" s="320">
        <f>NhanCong!R$158</f>
        <v>36490.384615384617</v>
      </c>
    </row>
    <row r="732" spans="1:15" s="345" customFormat="1">
      <c r="A732" s="1043"/>
      <c r="B732" s="1038"/>
      <c r="C732" s="1039"/>
      <c r="D732" s="319" t="s">
        <v>33</v>
      </c>
      <c r="E732" s="301">
        <f>NhanCong!Q$159</f>
        <v>1739983.7812500005</v>
      </c>
      <c r="F732" s="301"/>
      <c r="G732" s="320">
        <f>Dcu!O$225</f>
        <v>26238.360576923078</v>
      </c>
      <c r="H732" s="320">
        <f>VLieu!M$135</f>
        <v>8760</v>
      </c>
      <c r="I732" s="320"/>
      <c r="J732" s="320">
        <f>TBi!Q$321</f>
        <v>267.12</v>
      </c>
      <c r="K732" s="320">
        <f t="shared" si="227"/>
        <v>1775249.2618269236</v>
      </c>
      <c r="L732" s="320">
        <f t="shared" si="229"/>
        <v>443812.3154567309</v>
      </c>
      <c r="M732" s="321">
        <f t="shared" si="228"/>
        <v>2219061.5772836544</v>
      </c>
      <c r="N732" s="320"/>
      <c r="O732" s="320">
        <f>NhanCong!R$159</f>
        <v>49262.019230769234</v>
      </c>
    </row>
    <row r="733" spans="1:15" s="345" customFormat="1">
      <c r="A733" s="1043"/>
      <c r="B733" s="1038"/>
      <c r="C733" s="1039"/>
      <c r="D733" s="319" t="s">
        <v>13</v>
      </c>
      <c r="E733" s="301">
        <f>NhanCong!Q$160</f>
        <v>2234053.2500000009</v>
      </c>
      <c r="F733" s="301"/>
      <c r="G733" s="320">
        <f>Dcu!O$226</f>
        <v>34012.689636752133</v>
      </c>
      <c r="H733" s="320">
        <f>VLieu!M$135</f>
        <v>8760</v>
      </c>
      <c r="I733" s="320"/>
      <c r="J733" s="320">
        <f>TBi!R$321</f>
        <v>333.9</v>
      </c>
      <c r="K733" s="320">
        <f t="shared" si="227"/>
        <v>2277159.8396367528</v>
      </c>
      <c r="L733" s="320">
        <f t="shared" si="229"/>
        <v>569289.95990918821</v>
      </c>
      <c r="M733" s="321">
        <f t="shared" si="228"/>
        <v>2846449.7995459409</v>
      </c>
      <c r="N733" s="320"/>
      <c r="O733" s="320">
        <f>NhanCong!R$160</f>
        <v>63250</v>
      </c>
    </row>
    <row r="734" spans="1:15" s="345" customFormat="1" ht="12.75" customHeight="1">
      <c r="A734" s="1043">
        <v>1.3</v>
      </c>
      <c r="B734" s="1038" t="str">
        <f>NhanCong!B$162</f>
        <v>Đo đạc ranh giới thửa đất và các đối tượng địa lý có liên quan (công nhóm/100 thửa có biến động cần chỉnh lý)</v>
      </c>
      <c r="C734" s="1040" t="s">
        <v>329</v>
      </c>
      <c r="D734" s="319" t="s">
        <v>18</v>
      </c>
      <c r="E734" s="301">
        <f>NhanCong!Q$162</f>
        <v>13082100.281250004</v>
      </c>
      <c r="F734" s="301">
        <f>NhanCong!Q$163</f>
        <v>773173.07692307699</v>
      </c>
      <c r="G734" s="320">
        <f>Dcu!O$246</f>
        <v>80180.038461538454</v>
      </c>
      <c r="H734" s="320">
        <f>VLieu!M$145</f>
        <v>175200</v>
      </c>
      <c r="I734" s="320"/>
      <c r="J734" s="320">
        <f>TBi!N$356</f>
        <v>2114.6999999999998</v>
      </c>
      <c r="K734" s="320">
        <f t="shared" si="227"/>
        <v>14112768.096634617</v>
      </c>
      <c r="L734" s="320">
        <f t="shared" si="229"/>
        <v>3528192.0241586543</v>
      </c>
      <c r="M734" s="321">
        <f t="shared" si="228"/>
        <v>17640960.120793272</v>
      </c>
      <c r="N734" s="320"/>
      <c r="O734" s="320">
        <f>NhanCong!R$162</f>
        <v>370377.40384615381</v>
      </c>
    </row>
    <row r="735" spans="1:15" s="345" customFormat="1">
      <c r="A735" s="1043"/>
      <c r="B735" s="1038"/>
      <c r="C735" s="1039" t="s">
        <v>49</v>
      </c>
      <c r="D735" s="319" t="s">
        <v>20</v>
      </c>
      <c r="E735" s="301">
        <f>NhanCong!Q$164</f>
        <v>15702816.593750004</v>
      </c>
      <c r="F735" s="301">
        <f>NhanCong!Q$165</f>
        <v>929626.92307692324</v>
      </c>
      <c r="G735" s="320">
        <f>Dcu!O$247</f>
        <v>100225.04807692308</v>
      </c>
      <c r="H735" s="320">
        <f>VLieu!M$145</f>
        <v>175200</v>
      </c>
      <c r="I735" s="320"/>
      <c r="J735" s="320">
        <f>TBi!O$356</f>
        <v>2715.72</v>
      </c>
      <c r="K735" s="320">
        <f t="shared" si="227"/>
        <v>16910584.28490385</v>
      </c>
      <c r="L735" s="320">
        <f t="shared" si="229"/>
        <v>4227646.0712259626</v>
      </c>
      <c r="M735" s="321">
        <f t="shared" si="228"/>
        <v>21138230.356129814</v>
      </c>
      <c r="N735" s="320"/>
      <c r="O735" s="320">
        <f>NhanCong!R$164</f>
        <v>444574.51923076925</v>
      </c>
    </row>
    <row r="736" spans="1:15" s="345" customFormat="1">
      <c r="A736" s="1043"/>
      <c r="B736" s="1038"/>
      <c r="C736" s="1039"/>
      <c r="D736" s="319" t="s">
        <v>35</v>
      </c>
      <c r="E736" s="301">
        <f>NhanCong!Q$166</f>
        <v>18817602.375000004</v>
      </c>
      <c r="F736" s="301">
        <f>NhanCong!Q$167</f>
        <v>1113369.230769231</v>
      </c>
      <c r="G736" s="320">
        <f>Dcu!O$248</f>
        <v>133633.39743589744</v>
      </c>
      <c r="H736" s="320">
        <f>VLieu!M$145</f>
        <v>175200</v>
      </c>
      <c r="I736" s="320"/>
      <c r="J736" s="320">
        <f>TBi!P$356</f>
        <v>3606.1200000000003</v>
      </c>
      <c r="K736" s="320">
        <f t="shared" si="227"/>
        <v>20243411.123205133</v>
      </c>
      <c r="L736" s="320">
        <f t="shared" si="229"/>
        <v>5060852.7808012832</v>
      </c>
      <c r="M736" s="321">
        <f t="shared" si="228"/>
        <v>25304263.904006414</v>
      </c>
      <c r="N736" s="320"/>
      <c r="O736" s="320">
        <f>NhanCong!R$166</f>
        <v>532759.61538461526</v>
      </c>
    </row>
    <row r="737" spans="1:15" s="345" customFormat="1">
      <c r="A737" s="1043"/>
      <c r="B737" s="1038"/>
      <c r="C737" s="1039"/>
      <c r="D737" s="319" t="s">
        <v>33</v>
      </c>
      <c r="E737" s="301">
        <f>NhanCong!Q$168</f>
        <v>22598307.875000007</v>
      </c>
      <c r="F737" s="301">
        <f>NhanCong!Q$169</f>
        <v>1337134.6153846155</v>
      </c>
      <c r="G737" s="320">
        <f>Dcu!O$249</f>
        <v>180405.08653846156</v>
      </c>
      <c r="H737" s="320">
        <f>VLieu!M$145</f>
        <v>175200</v>
      </c>
      <c r="I737" s="320"/>
      <c r="J737" s="320">
        <f>TBi!Q$356</f>
        <v>4808.1600000000008</v>
      </c>
      <c r="K737" s="320">
        <f t="shared" si="227"/>
        <v>24295855.736923084</v>
      </c>
      <c r="L737" s="320">
        <f t="shared" si="229"/>
        <v>6073963.9342307709</v>
      </c>
      <c r="M737" s="321">
        <f t="shared" si="228"/>
        <v>30369819.671153855</v>
      </c>
      <c r="N737" s="320"/>
      <c r="O737" s="320">
        <f>NhanCong!R$168</f>
        <v>639798.07692307676</v>
      </c>
    </row>
    <row r="738" spans="1:15" s="345" customFormat="1">
      <c r="A738" s="1043"/>
      <c r="B738" s="1038"/>
      <c r="C738" s="1039"/>
      <c r="D738" s="319" t="s">
        <v>13</v>
      </c>
      <c r="E738" s="301">
        <f>NhanCong!Q$170</f>
        <v>27109376.937500007</v>
      </c>
      <c r="F738" s="301">
        <f>NhanCong!Q$171</f>
        <v>1604561.5384615387</v>
      </c>
      <c r="G738" s="320">
        <f>Dcu!O$250</f>
        <v>233858.4455128205</v>
      </c>
      <c r="H738" s="320">
        <f>VLieu!M$145</f>
        <v>175200</v>
      </c>
      <c r="I738" s="320"/>
      <c r="J738" s="320">
        <f>TBi!R$356</f>
        <v>6321.8399999999992</v>
      </c>
      <c r="K738" s="320">
        <f t="shared" si="227"/>
        <v>29129318.761474367</v>
      </c>
      <c r="L738" s="320">
        <f t="shared" si="229"/>
        <v>7282329.6903685918</v>
      </c>
      <c r="M738" s="321">
        <f t="shared" si="228"/>
        <v>36411648.451842956</v>
      </c>
      <c r="N738" s="320"/>
      <c r="O738" s="320">
        <f>NhanCong!R$170</f>
        <v>767514.42307692301</v>
      </c>
    </row>
    <row r="739" spans="1:15" s="345" customFormat="1">
      <c r="A739" s="298">
        <v>2</v>
      </c>
      <c r="B739" s="316" t="s">
        <v>192</v>
      </c>
      <c r="C739" s="319"/>
      <c r="D739" s="319"/>
      <c r="E739" s="301"/>
      <c r="F739" s="301"/>
      <c r="G739" s="320"/>
      <c r="H739" s="320"/>
      <c r="I739" s="320"/>
      <c r="J739" s="320"/>
      <c r="K739" s="320"/>
      <c r="L739" s="320"/>
      <c r="M739" s="321"/>
      <c r="N739" s="320"/>
      <c r="O739" s="320"/>
    </row>
    <row r="740" spans="1:15" s="345" customFormat="1">
      <c r="A740" s="1043" t="s">
        <v>268</v>
      </c>
      <c r="B740" s="1038" t="str">
        <f>NhanCong!B$173</f>
        <v>Số hóa BĐĐC: Áp dụng theo mức quy định tại Điều 8, Chương I</v>
      </c>
      <c r="C740" s="1039" t="s">
        <v>317</v>
      </c>
      <c r="D740" s="319" t="s">
        <v>18</v>
      </c>
      <c r="E740" s="301">
        <f t="shared" ref="E740:H744" si="230">E478</f>
        <v>116858.17000000004</v>
      </c>
      <c r="F740" s="301">
        <f t="shared" si="230"/>
        <v>0</v>
      </c>
      <c r="G740" s="301">
        <f t="shared" si="230"/>
        <v>1784.5250543589741</v>
      </c>
      <c r="H740" s="301">
        <f t="shared" si="230"/>
        <v>4092</v>
      </c>
      <c r="I740" s="301"/>
      <c r="J740" s="301">
        <f>J478</f>
        <v>3668.4480000000003</v>
      </c>
      <c r="K740" s="320">
        <f>SUM(E740:J740)</f>
        <v>126403.14305435902</v>
      </c>
      <c r="L740" s="320">
        <f>K740*0.15</f>
        <v>18960.471458153854</v>
      </c>
      <c r="M740" s="321">
        <f>K740+L740</f>
        <v>145363.61451251287</v>
      </c>
      <c r="N740" s="301">
        <f t="shared" ref="N740:O744" si="231">N478</f>
        <v>0</v>
      </c>
      <c r="O740" s="301">
        <f t="shared" si="231"/>
        <v>3308.4615384615381</v>
      </c>
    </row>
    <row r="741" spans="1:15" s="345" customFormat="1">
      <c r="A741" s="1043"/>
      <c r="B741" s="1038"/>
      <c r="C741" s="1039"/>
      <c r="D741" s="319" t="s">
        <v>20</v>
      </c>
      <c r="E741" s="301">
        <f t="shared" si="230"/>
        <v>130606.19000000003</v>
      </c>
      <c r="F741" s="301">
        <f t="shared" si="230"/>
        <v>0</v>
      </c>
      <c r="G741" s="301">
        <f t="shared" si="230"/>
        <v>2042.811575384615</v>
      </c>
      <c r="H741" s="301">
        <f t="shared" si="230"/>
        <v>4092</v>
      </c>
      <c r="I741" s="301"/>
      <c r="J741" s="301">
        <f>J479</f>
        <v>3864.3359999999998</v>
      </c>
      <c r="K741" s="320">
        <f>SUM(E741:J741)</f>
        <v>140605.33757538465</v>
      </c>
      <c r="L741" s="320">
        <f>K741*0.15</f>
        <v>21090.800636307697</v>
      </c>
      <c r="M741" s="321">
        <f>K741+L741</f>
        <v>161696.13821169233</v>
      </c>
      <c r="N741" s="301">
        <f t="shared" si="231"/>
        <v>0</v>
      </c>
      <c r="O741" s="301">
        <f t="shared" si="231"/>
        <v>3697.6923076923072</v>
      </c>
    </row>
    <row r="742" spans="1:15" s="345" customFormat="1">
      <c r="A742" s="1043"/>
      <c r="B742" s="1038"/>
      <c r="C742" s="1039"/>
      <c r="D742" s="319" t="s">
        <v>35</v>
      </c>
      <c r="E742" s="301">
        <f t="shared" si="230"/>
        <v>146416.41300000003</v>
      </c>
      <c r="F742" s="301">
        <f t="shared" si="230"/>
        <v>0</v>
      </c>
      <c r="G742" s="301">
        <f t="shared" si="230"/>
        <v>2348.0592820512816</v>
      </c>
      <c r="H742" s="301">
        <f t="shared" si="230"/>
        <v>4092</v>
      </c>
      <c r="I742" s="301"/>
      <c r="J742" s="301">
        <f>J480</f>
        <v>4336.2480000000005</v>
      </c>
      <c r="K742" s="320">
        <f>SUM(E742:J742)</f>
        <v>157192.7202820513</v>
      </c>
      <c r="L742" s="320">
        <f>K742*0.15</f>
        <v>23578.908042307696</v>
      </c>
      <c r="M742" s="321">
        <f>K742+L742</f>
        <v>180771.62832435902</v>
      </c>
      <c r="N742" s="301">
        <f t="shared" si="231"/>
        <v>0</v>
      </c>
      <c r="O742" s="301">
        <f t="shared" si="231"/>
        <v>4145.3076923076924</v>
      </c>
    </row>
    <row r="743" spans="1:15" s="345" customFormat="1">
      <c r="A743" s="1043"/>
      <c r="B743" s="1038"/>
      <c r="C743" s="1039"/>
      <c r="D743" s="319" t="s">
        <v>33</v>
      </c>
      <c r="E743" s="301">
        <f t="shared" si="230"/>
        <v>164563.79940000005</v>
      </c>
      <c r="F743" s="301">
        <f t="shared" si="230"/>
        <v>0</v>
      </c>
      <c r="G743" s="301">
        <f t="shared" si="230"/>
        <v>2700.2681743589737</v>
      </c>
      <c r="H743" s="301">
        <f t="shared" si="230"/>
        <v>4092</v>
      </c>
      <c r="I743" s="301"/>
      <c r="J743" s="301">
        <f>J481</f>
        <v>4977.3359999999993</v>
      </c>
      <c r="K743" s="320">
        <f>SUM(E743:J743)</f>
        <v>176333.40357435902</v>
      </c>
      <c r="L743" s="320">
        <f>K743*0.15</f>
        <v>26450.010536153852</v>
      </c>
      <c r="M743" s="321">
        <f>K743+L743</f>
        <v>202783.41411051288</v>
      </c>
      <c r="N743" s="301">
        <f t="shared" si="231"/>
        <v>0</v>
      </c>
      <c r="O743" s="301">
        <f t="shared" si="231"/>
        <v>4659.0923076923082</v>
      </c>
    </row>
    <row r="744" spans="1:15" s="345" customFormat="1">
      <c r="A744" s="1043"/>
      <c r="B744" s="1038"/>
      <c r="C744" s="1039"/>
      <c r="D744" s="319" t="s">
        <v>13</v>
      </c>
      <c r="E744" s="301">
        <f t="shared" si="230"/>
        <v>185460.78980000006</v>
      </c>
      <c r="F744" s="301">
        <f t="shared" si="230"/>
        <v>0</v>
      </c>
      <c r="G744" s="301">
        <f t="shared" si="230"/>
        <v>3099.438252307692</v>
      </c>
      <c r="H744" s="301">
        <f t="shared" si="230"/>
        <v>4092</v>
      </c>
      <c r="I744" s="301"/>
      <c r="J744" s="301">
        <f>J482</f>
        <v>7034.16</v>
      </c>
      <c r="K744" s="320">
        <f>SUM(E744:J744)</f>
        <v>199686.38805230774</v>
      </c>
      <c r="L744" s="320">
        <f>K744*0.15</f>
        <v>29952.958207846161</v>
      </c>
      <c r="M744" s="321">
        <f>K744+L744</f>
        <v>229639.34626015389</v>
      </c>
      <c r="N744" s="301">
        <f t="shared" si="231"/>
        <v>0</v>
      </c>
      <c r="O744" s="301">
        <f t="shared" si="231"/>
        <v>5250.7230769230773</v>
      </c>
    </row>
    <row r="745" spans="1:15" s="345" customFormat="1" ht="12.75" customHeight="1">
      <c r="A745" s="1043" t="s">
        <v>34</v>
      </c>
      <c r="B745" s="1038" t="str">
        <f>NhanCong!B$174</f>
        <v>Lập bản vẽ BĐĐC (Công nhóm/100 thửa chỉnh lý)</v>
      </c>
      <c r="C745" s="1040" t="s">
        <v>329</v>
      </c>
      <c r="D745" s="319" t="s">
        <v>18</v>
      </c>
      <c r="E745" s="301">
        <f>NhanCong!Q$174</f>
        <v>430947.55000000016</v>
      </c>
      <c r="F745" s="301"/>
      <c r="G745" s="320">
        <f>Dcu!O$271</f>
        <v>10222.451446153844</v>
      </c>
      <c r="H745" s="320">
        <f>VLieu!M$159</f>
        <v>626800</v>
      </c>
      <c r="I745" s="320"/>
      <c r="J745" s="320">
        <f>TBi!N$393</f>
        <v>37419.06</v>
      </c>
      <c r="K745" s="320">
        <f t="shared" ref="K745:K751" si="232">SUM(E745:J745)</f>
        <v>1105389.061446154</v>
      </c>
      <c r="L745" s="320">
        <f t="shared" ref="L745:L753" si="233">K745*0.15</f>
        <v>165808.3592169231</v>
      </c>
      <c r="M745" s="321">
        <f t="shared" ref="M745:M751" si="234">K745+L745</f>
        <v>1271197.4206630772</v>
      </c>
      <c r="N745" s="320"/>
      <c r="O745" s="320">
        <f>NhanCong!R$174</f>
        <v>10703.846153846154</v>
      </c>
    </row>
    <row r="746" spans="1:15" s="345" customFormat="1">
      <c r="A746" s="1043"/>
      <c r="B746" s="1038"/>
      <c r="C746" s="1039"/>
      <c r="D746" s="319" t="s">
        <v>20</v>
      </c>
      <c r="E746" s="301">
        <f>NhanCong!Q$175</f>
        <v>540643.29000000015</v>
      </c>
      <c r="F746" s="301"/>
      <c r="G746" s="320">
        <f>Dcu!O$272</f>
        <v>12778.064307692304</v>
      </c>
      <c r="H746" s="320">
        <f>VLieu!M$159</f>
        <v>626800</v>
      </c>
      <c r="I746" s="320"/>
      <c r="J746" s="320">
        <f>TBi!O$393</f>
        <v>38754.660000000003</v>
      </c>
      <c r="K746" s="320">
        <f t="shared" si="232"/>
        <v>1218976.0143076924</v>
      </c>
      <c r="L746" s="320">
        <f t="shared" si="233"/>
        <v>182846.40214615385</v>
      </c>
      <c r="M746" s="321">
        <f t="shared" si="234"/>
        <v>1401822.4164538463</v>
      </c>
      <c r="N746" s="320"/>
      <c r="O746" s="320">
        <f>NhanCong!R$175</f>
        <v>13428.461538461537</v>
      </c>
    </row>
    <row r="747" spans="1:15" s="345" customFormat="1">
      <c r="A747" s="1043"/>
      <c r="B747" s="1038"/>
      <c r="C747" s="1039"/>
      <c r="D747" s="319" t="s">
        <v>35</v>
      </c>
      <c r="E747" s="301">
        <f>NhanCong!Q$176</f>
        <v>720857.7200000002</v>
      </c>
      <c r="F747" s="301"/>
      <c r="G747" s="320">
        <f>Dcu!O$273</f>
        <v>17037.419076923074</v>
      </c>
      <c r="H747" s="320">
        <f>VLieu!M$159</f>
        <v>626800</v>
      </c>
      <c r="I747" s="320"/>
      <c r="J747" s="320">
        <f>TBi!P$393</f>
        <v>41225.519999999997</v>
      </c>
      <c r="K747" s="320">
        <f t="shared" si="232"/>
        <v>1405920.6590769233</v>
      </c>
      <c r="L747" s="320">
        <f t="shared" si="233"/>
        <v>210888.09886153848</v>
      </c>
      <c r="M747" s="321">
        <f t="shared" si="234"/>
        <v>1616808.7579384618</v>
      </c>
      <c r="N747" s="320"/>
      <c r="O747" s="320">
        <f>NhanCong!R$176</f>
        <v>17904.615384615387</v>
      </c>
    </row>
    <row r="748" spans="1:15" s="345" customFormat="1">
      <c r="A748" s="1043"/>
      <c r="B748" s="1038"/>
      <c r="C748" s="1039"/>
      <c r="D748" s="319" t="s">
        <v>33</v>
      </c>
      <c r="E748" s="301">
        <f>NhanCong!Q$177</f>
        <v>971590.84000000032</v>
      </c>
      <c r="F748" s="301"/>
      <c r="G748" s="320">
        <f>Dcu!O$274</f>
        <v>23000.51575384615</v>
      </c>
      <c r="H748" s="320">
        <f>VLieu!M$159</f>
        <v>626800</v>
      </c>
      <c r="I748" s="320"/>
      <c r="J748" s="320">
        <f>TBi!Q$393</f>
        <v>44564.52</v>
      </c>
      <c r="K748" s="320">
        <f t="shared" si="232"/>
        <v>1665955.8757538465</v>
      </c>
      <c r="L748" s="320">
        <f t="shared" si="233"/>
        <v>249893.38136307697</v>
      </c>
      <c r="M748" s="321">
        <f t="shared" si="234"/>
        <v>1915849.2571169236</v>
      </c>
      <c r="N748" s="320"/>
      <c r="O748" s="320">
        <f>NhanCong!R$177</f>
        <v>24132.307692307691</v>
      </c>
    </row>
    <row r="749" spans="1:15" s="345" customFormat="1">
      <c r="A749" s="1043"/>
      <c r="B749" s="1038"/>
      <c r="C749" s="1039"/>
      <c r="D749" s="319" t="s">
        <v>13</v>
      </c>
      <c r="E749" s="301">
        <f>NhanCong!Q$178</f>
        <v>1261501.0100000005</v>
      </c>
      <c r="F749" s="301"/>
      <c r="G749" s="320">
        <f>Dcu!O$275</f>
        <v>29815.483384615378</v>
      </c>
      <c r="H749" s="320">
        <f>VLieu!M$159</f>
        <v>626800</v>
      </c>
      <c r="I749" s="320"/>
      <c r="J749" s="320">
        <f>TBi!R$393</f>
        <v>48593.579999999994</v>
      </c>
      <c r="K749" s="320">
        <f t="shared" si="232"/>
        <v>1966710.0733846158</v>
      </c>
      <c r="L749" s="320">
        <f t="shared" si="233"/>
        <v>295006.51100769237</v>
      </c>
      <c r="M749" s="321">
        <f t="shared" si="234"/>
        <v>2261716.5843923083</v>
      </c>
      <c r="N749" s="320"/>
      <c r="O749" s="320">
        <f>NhanCong!R$178</f>
        <v>31333.076923076926</v>
      </c>
    </row>
    <row r="750" spans="1:15" s="345" customFormat="1" ht="26">
      <c r="A750" s="323" t="s">
        <v>246</v>
      </c>
      <c r="B750" s="324" t="str">
        <f>NhanCong!B$179</f>
        <v>Lập Phiếu đo đạc chỉnh lý thửa đất (Công/100 thửa chỉnh lý)</v>
      </c>
      <c r="C750" s="341" t="s">
        <v>329</v>
      </c>
      <c r="D750" s="341" t="s">
        <v>15</v>
      </c>
      <c r="E750" s="342">
        <f>NhanCong!Q$179</f>
        <v>1031101.5000000002</v>
      </c>
      <c r="F750" s="342"/>
      <c r="G750" s="343">
        <f>Dcu!O$270</f>
        <v>17037.419076923074</v>
      </c>
      <c r="H750" s="320">
        <f>VLieu!M$159</f>
        <v>626800</v>
      </c>
      <c r="I750" s="343"/>
      <c r="J750" s="343"/>
      <c r="K750" s="343">
        <f t="shared" si="232"/>
        <v>1674938.9190769233</v>
      </c>
      <c r="L750" s="320">
        <f t="shared" si="233"/>
        <v>251240.83786153849</v>
      </c>
      <c r="M750" s="344">
        <f t="shared" si="234"/>
        <v>1926179.7569384617</v>
      </c>
      <c r="N750" s="343"/>
      <c r="O750" s="343">
        <f>NhanCong!R$179</f>
        <v>29192.307692307691</v>
      </c>
    </row>
    <row r="751" spans="1:15" s="345" customFormat="1" ht="26">
      <c r="A751" s="323" t="s">
        <v>271</v>
      </c>
      <c r="B751" s="324" t="str">
        <f>NhanCong!B$180</f>
        <v>Bổ sung sổ mục kê (công nhóm/100 thửa chỉnh lý)</v>
      </c>
      <c r="C751" s="341" t="s">
        <v>329</v>
      </c>
      <c r="D751" s="341" t="s">
        <v>15</v>
      </c>
      <c r="E751" s="342">
        <f>NhanCong!Q$180</f>
        <v>893621.30000000016</v>
      </c>
      <c r="F751" s="342"/>
      <c r="G751" s="343">
        <f>Dcu!O$290</f>
        <v>13800.392222222223</v>
      </c>
      <c r="H751" s="343">
        <f>VLieu!J$170</f>
        <v>120500</v>
      </c>
      <c r="I751" s="343"/>
      <c r="J751" s="343">
        <f>TBi!N$414</f>
        <v>27379.800000000003</v>
      </c>
      <c r="K751" s="343">
        <f t="shared" si="232"/>
        <v>1055301.4922222223</v>
      </c>
      <c r="L751" s="320">
        <f t="shared" si="233"/>
        <v>158295.22383333332</v>
      </c>
      <c r="M751" s="344">
        <f t="shared" si="234"/>
        <v>1213596.7160555555</v>
      </c>
      <c r="N751" s="343"/>
      <c r="O751" s="343">
        <f>NhanCong!R$180</f>
        <v>25300</v>
      </c>
    </row>
    <row r="752" spans="1:15" s="345" customFormat="1" ht="26">
      <c r="A752" s="323" t="s">
        <v>365</v>
      </c>
      <c r="B752" s="324" t="str">
        <f>NhanCong!B$181</f>
        <v>Biên tập bản đồ và in (công nhóm/mảnh)</v>
      </c>
      <c r="C752" s="341" t="s">
        <v>317</v>
      </c>
      <c r="D752" s="341" t="s">
        <v>15</v>
      </c>
      <c r="E752" s="342">
        <f>NhanCong!Q$181</f>
        <v>9348.6536000000015</v>
      </c>
      <c r="F752" s="342"/>
      <c r="G752" s="343">
        <f>Dcu!O$304</f>
        <v>279.14451282051283</v>
      </c>
      <c r="H752" s="343">
        <f>VLieu!M$181</f>
        <v>4972.6000000000004</v>
      </c>
      <c r="I752" s="343"/>
      <c r="J752" s="343">
        <f>TBi!N$432</f>
        <v>302.73599999999999</v>
      </c>
      <c r="K752" s="343">
        <f>SUM(E752:J752)</f>
        <v>14903.134112820515</v>
      </c>
      <c r="L752" s="320">
        <f t="shared" si="233"/>
        <v>2235.4701169230771</v>
      </c>
      <c r="M752" s="344">
        <f>K752+L752</f>
        <v>17138.604229743592</v>
      </c>
      <c r="N752" s="343"/>
      <c r="O752" s="343">
        <f>NhanCong!R$181</f>
        <v>264.67692307692306</v>
      </c>
    </row>
    <row r="753" spans="1:17" s="345" customFormat="1" ht="26">
      <c r="A753" s="323" t="s">
        <v>366</v>
      </c>
      <c r="B753" s="324" t="str">
        <f>NhanCong!B$182</f>
        <v>Xác nhận hồ sơ các cấp (công nhóm/mảnh)</v>
      </c>
      <c r="C753" s="341" t="s">
        <v>317</v>
      </c>
      <c r="D753" s="341" t="s">
        <v>15</v>
      </c>
      <c r="E753" s="342">
        <f>NhanCong!Q$182</f>
        <v>10998.416000000003</v>
      </c>
      <c r="F753" s="342"/>
      <c r="G753" s="343">
        <f>Dcu!O$304</f>
        <v>279.14451282051283</v>
      </c>
      <c r="H753" s="343">
        <f>VLieu!M$181</f>
        <v>4972.6000000000004</v>
      </c>
      <c r="I753" s="343"/>
      <c r="J753" s="343">
        <f>TBi!N$432</f>
        <v>302.73599999999999</v>
      </c>
      <c r="K753" s="343">
        <f>SUM(E753:J753)</f>
        <v>16552.896512820516</v>
      </c>
      <c r="L753" s="320">
        <f t="shared" si="233"/>
        <v>2482.9344769230775</v>
      </c>
      <c r="M753" s="344">
        <f>K753+L753</f>
        <v>19035.830989743594</v>
      </c>
      <c r="N753" s="343"/>
      <c r="O753" s="343">
        <f>NhanCong!R$182</f>
        <v>311.38461538461542</v>
      </c>
    </row>
    <row r="754" spans="1:17" s="345" customFormat="1" ht="26">
      <c r="A754" s="323" t="s">
        <v>367</v>
      </c>
      <c r="B754" s="324" t="str">
        <f>NhanCong!B$183</f>
        <v>Giao nộp sản phẩm (công nhóm/mảnh)</v>
      </c>
      <c r="C754" s="341" t="s">
        <v>317</v>
      </c>
      <c r="D754" s="341" t="s">
        <v>15</v>
      </c>
      <c r="E754" s="342">
        <f>NhanCong!Q$183</f>
        <v>23371.634000000005</v>
      </c>
      <c r="F754" s="342"/>
      <c r="G754" s="343">
        <f>Dcu!O$304</f>
        <v>279.14451282051283</v>
      </c>
      <c r="H754" s="343">
        <f>VLieu!M$181</f>
        <v>4972.6000000000004</v>
      </c>
      <c r="I754" s="343"/>
      <c r="J754" s="343">
        <f>TBi!N$432</f>
        <v>302.73599999999999</v>
      </c>
      <c r="K754" s="343">
        <f>SUM(E754:J754)</f>
        <v>28926.114512820521</v>
      </c>
      <c r="L754" s="320">
        <f>K754*0.15</f>
        <v>4338.9171769230779</v>
      </c>
      <c r="M754" s="344">
        <f>K754+L754</f>
        <v>33265.031689743599</v>
      </c>
      <c r="N754" s="343"/>
      <c r="O754" s="343">
        <f>NhanCong!R$183</f>
        <v>661.69230769230762</v>
      </c>
    </row>
    <row r="755" spans="1:17" s="345" customFormat="1">
      <c r="A755" s="298" t="s">
        <v>29</v>
      </c>
      <c r="B755" s="316" t="s">
        <v>205</v>
      </c>
      <c r="C755" s="337" t="s">
        <v>349</v>
      </c>
      <c r="D755" s="333"/>
      <c r="E755" s="301"/>
      <c r="F755" s="301"/>
      <c r="G755" s="301"/>
      <c r="H755" s="301"/>
      <c r="I755" s="301"/>
      <c r="J755" s="301"/>
      <c r="K755" s="301"/>
      <c r="L755" s="301"/>
      <c r="M755" s="302">
        <v>100</v>
      </c>
      <c r="N755" s="301" t="s">
        <v>21</v>
      </c>
      <c r="O755" s="301"/>
    </row>
    <row r="756" spans="1:17" s="345" customFormat="1" ht="13.15" customHeight="1">
      <c r="A756" s="1036"/>
      <c r="B756" s="1035" t="s">
        <v>190</v>
      </c>
      <c r="C756" s="298">
        <f>HeSoKK!B33</f>
        <v>7</v>
      </c>
      <c r="D756" s="298">
        <v>1</v>
      </c>
      <c r="E756" s="301">
        <f>E807/C756+(E812+E817)/100</f>
        <v>203206.31100000002</v>
      </c>
      <c r="F756" s="301">
        <f>F807/C756+(F812+F817)/100</f>
        <v>10842.615384615385</v>
      </c>
      <c r="G756" s="301">
        <f>G807/C756+(G812+G817)/100</f>
        <v>1029.1089468864468</v>
      </c>
      <c r="H756" s="301">
        <f>H807/C756+(H812+H817)/100</f>
        <v>578873.65714285721</v>
      </c>
      <c r="I756" s="301"/>
      <c r="J756" s="301">
        <f>J807/C756+(J812+J817)/100</f>
        <v>25.376400000000004</v>
      </c>
      <c r="K756" s="301">
        <f t="shared" ref="K756:K765" si="235">SUM(E756:J756)</f>
        <v>793977.06887435901</v>
      </c>
      <c r="L756" s="301">
        <f>K756*0.25</f>
        <v>198494.26721858975</v>
      </c>
      <c r="M756" s="315">
        <f t="shared" ref="M756:M765" si="236">K756+L756</f>
        <v>992471.3360929488</v>
      </c>
      <c r="N756" s="301">
        <f>M756+M761</f>
        <v>1049767.7544675332</v>
      </c>
      <c r="O756" s="301">
        <f>O807/C756+(O812+O817)/100</f>
        <v>5781.4670329670325</v>
      </c>
      <c r="Q756" s="346"/>
    </row>
    <row r="757" spans="1:17" s="345" customFormat="1" ht="13.15" customHeight="1">
      <c r="A757" s="1036"/>
      <c r="B757" s="1035"/>
      <c r="C757" s="298">
        <f>HeSoKK!D33</f>
        <v>14.5</v>
      </c>
      <c r="D757" s="298">
        <v>2</v>
      </c>
      <c r="E757" s="301">
        <f>E808/C757+(E813+E818)/100</f>
        <v>236706.52191810351</v>
      </c>
      <c r="F757" s="301">
        <f>F808/C757+(F813+F818)/100</f>
        <v>13025.69230769231</v>
      </c>
      <c r="G757" s="301">
        <f>G808/C757+(G813+G818)/100</f>
        <v>1224.4598502431475</v>
      </c>
      <c r="H757" s="301">
        <f>H808/C757+(H813+H818)/100</f>
        <v>279834.24827586208</v>
      </c>
      <c r="I757" s="301"/>
      <c r="J757" s="301">
        <f>J808/C757+(J813+J818)/100</f>
        <v>31.831800000000001</v>
      </c>
      <c r="K757" s="301">
        <f t="shared" si="235"/>
        <v>530822.75415190111</v>
      </c>
      <c r="L757" s="301">
        <f>K757*0.25</f>
        <v>132705.68853797528</v>
      </c>
      <c r="M757" s="315">
        <f t="shared" si="236"/>
        <v>663528.44268987642</v>
      </c>
      <c r="N757" s="301">
        <f>M757+M762</f>
        <v>717173.3045316122</v>
      </c>
      <c r="O757" s="301">
        <f>O808/C757+(O813+O818)/100</f>
        <v>6718.0056366047747</v>
      </c>
      <c r="Q757" s="346"/>
    </row>
    <row r="758" spans="1:17" s="345" customFormat="1" ht="13.15" customHeight="1">
      <c r="A758" s="1036"/>
      <c r="B758" s="1035"/>
      <c r="C758" s="298">
        <f>HeSoKK!F33</f>
        <v>24.5</v>
      </c>
      <c r="D758" s="298">
        <v>3</v>
      </c>
      <c r="E758" s="301">
        <f>E809/C758+(E814+E819)/100</f>
        <v>280440.38</v>
      </c>
      <c r="F758" s="301">
        <f>F809/C758+(F814+F819)/100</f>
        <v>15627.192307692307</v>
      </c>
      <c r="G758" s="301">
        <f>G809/C758+(G814+G819)/100</f>
        <v>1601.1584881388453</v>
      </c>
      <c r="H758" s="301">
        <f>H809/C758+(H814+H819)/100</f>
        <v>165914.47346938774</v>
      </c>
      <c r="I758" s="301"/>
      <c r="J758" s="301">
        <f>J809/C758+(J814+J819)/100</f>
        <v>41.181000000000004</v>
      </c>
      <c r="K758" s="301">
        <f t="shared" si="235"/>
        <v>463624.38526521891</v>
      </c>
      <c r="L758" s="301">
        <f>K758*0.25</f>
        <v>115906.09631630473</v>
      </c>
      <c r="M758" s="315">
        <f t="shared" si="236"/>
        <v>579530.48158152367</v>
      </c>
      <c r="N758" s="301">
        <f>M758+M763</f>
        <v>633012.73441928823</v>
      </c>
      <c r="O758" s="301">
        <f>O809/C758+(O814+O819)/100</f>
        <v>7951.4285714285716</v>
      </c>
      <c r="Q758" s="346"/>
    </row>
    <row r="759" spans="1:17" s="345" customFormat="1" ht="13.15" customHeight="1">
      <c r="A759" s="1036"/>
      <c r="B759" s="1035"/>
      <c r="C759" s="298">
        <f>HeSoKK!H33</f>
        <v>5.5</v>
      </c>
      <c r="D759" s="298">
        <v>4</v>
      </c>
      <c r="E759" s="301">
        <f>E810/C759+(E815+E820)/100</f>
        <v>359889.90243750013</v>
      </c>
      <c r="F759" s="301">
        <f>F810/C759+(F815+F820)/100</f>
        <v>18756.269230769234</v>
      </c>
      <c r="G759" s="301">
        <f>G810/C759+(G815+G820)/100</f>
        <v>2374.268850524476</v>
      </c>
      <c r="H759" s="301">
        <f>H810/C759+(H815+H820)/100</f>
        <v>736548.98181818181</v>
      </c>
      <c r="I759" s="301"/>
      <c r="J759" s="301">
        <f>J810/C759+(J815+J820)/100</f>
        <v>50.307600000000008</v>
      </c>
      <c r="K759" s="301">
        <f t="shared" si="235"/>
        <v>1117619.7299369755</v>
      </c>
      <c r="L759" s="301">
        <f>K759*0.25</f>
        <v>279404.93248424388</v>
      </c>
      <c r="M759" s="315">
        <f t="shared" si="236"/>
        <v>1397024.6624212195</v>
      </c>
      <c r="N759" s="301">
        <f>M759+M764</f>
        <v>1469398.8201811509</v>
      </c>
      <c r="O759" s="301">
        <f>O810/C759+(O815+O820)/100</f>
        <v>10251.475961538463</v>
      </c>
      <c r="Q759" s="346"/>
    </row>
    <row r="760" spans="1:17" s="345" customFormat="1" ht="13.15" customHeight="1">
      <c r="A760" s="1036"/>
      <c r="B760" s="1035"/>
      <c r="C760" s="298">
        <f>HeSoKK!J33</f>
        <v>8.5</v>
      </c>
      <c r="D760" s="298">
        <v>5</v>
      </c>
      <c r="E760" s="301">
        <f>E811/C760+(E816+E821)/100</f>
        <v>422295.0913823531</v>
      </c>
      <c r="F760" s="301">
        <f>F811/C760+(F816+F821)/100</f>
        <v>22503.884615384613</v>
      </c>
      <c r="G760" s="301">
        <f>G811/C760+(G816+G821)/100</f>
        <v>2952.2695434263446</v>
      </c>
      <c r="H760" s="301">
        <f>H811/C760+(H816+H821)/100</f>
        <v>476848.44705882354</v>
      </c>
      <c r="I760" s="301"/>
      <c r="J760" s="301">
        <f>J811/C760+(J816+J821)/100</f>
        <v>2.6712000000000002</v>
      </c>
      <c r="K760" s="301">
        <f t="shared" si="235"/>
        <v>924602.36379998759</v>
      </c>
      <c r="L760" s="301">
        <f>K760*0.25</f>
        <v>231150.5909499969</v>
      </c>
      <c r="M760" s="315">
        <f t="shared" si="236"/>
        <v>1155752.9547499844</v>
      </c>
      <c r="N760" s="301">
        <f>M760+M765</f>
        <v>1227432.7628558655</v>
      </c>
      <c r="O760" s="301">
        <f>O811/C760+(O816+O821)/100</f>
        <v>12004.334841628959</v>
      </c>
      <c r="Q760" s="346"/>
    </row>
    <row r="761" spans="1:17" s="345" customFormat="1">
      <c r="A761" s="1036"/>
      <c r="B761" s="1035" t="s">
        <v>192</v>
      </c>
      <c r="C761" s="298">
        <f>C756</f>
        <v>7</v>
      </c>
      <c r="D761" s="298">
        <v>1</v>
      </c>
      <c r="E761" s="301">
        <f>(E823+E835+E836+E837)/C761+(E828+E833+E834)/100</f>
        <v>34051.826600000008</v>
      </c>
      <c r="F761" s="301">
        <f>(F823+F835+F836+F837)/C761+(F828+F833+F834)/100</f>
        <v>0</v>
      </c>
      <c r="G761" s="301">
        <f>(G823+G835+G836+G837)/C761+(G828+G833+G834)/100</f>
        <v>553.52669963858364</v>
      </c>
      <c r="H761" s="301">
        <f>(H823+H835+H836+H837)/C761+(H828+H833+H834)/100</f>
        <v>14344.9</v>
      </c>
      <c r="I761" s="301"/>
      <c r="J761" s="301">
        <f>(J823+J835+J836+J837)/C761+(J828+J833+J834)/100</f>
        <v>872.7192</v>
      </c>
      <c r="K761" s="301">
        <f t="shared" si="235"/>
        <v>49822.972499638592</v>
      </c>
      <c r="L761" s="301">
        <f>K761*0.15</f>
        <v>7473.4458749457881</v>
      </c>
      <c r="M761" s="315">
        <f t="shared" si="236"/>
        <v>57296.418374584377</v>
      </c>
      <c r="N761" s="301"/>
      <c r="O761" s="301">
        <f>(O823+O835+O836+O837)/C761+(O828+O833+O834)/100</f>
        <v>945.83076923076919</v>
      </c>
    </row>
    <row r="762" spans="1:17" s="345" customFormat="1">
      <c r="A762" s="1036"/>
      <c r="B762" s="1035"/>
      <c r="C762" s="298">
        <f>C757</f>
        <v>14.5</v>
      </c>
      <c r="D762" s="298">
        <v>2</v>
      </c>
      <c r="E762" s="301">
        <f>(E824+E835+E836+E837)/C762+(E829+E833+E834)/100</f>
        <v>31286.177165517249</v>
      </c>
      <c r="F762" s="301">
        <f>(F824+F835+F836+F837)/C762+(F829+F833+F834)/100</f>
        <v>0</v>
      </c>
      <c r="G762" s="301">
        <f>(G824+G835+G836+G837)/C762+(G829+G833+G834)/100</f>
        <v>521.66670795608604</v>
      </c>
      <c r="H762" s="301">
        <f>(H824+H835+H836+H837)/C762+(H829+H833+H834)/100</f>
        <v>14032.537931034483</v>
      </c>
      <c r="I762" s="301"/>
      <c r="J762" s="301">
        <f>(J824+J835+J836+J837)/C762+(J829+J833+J834)/100</f>
        <v>807.32414482758634</v>
      </c>
      <c r="K762" s="301">
        <f t="shared" si="235"/>
        <v>46647.70594933541</v>
      </c>
      <c r="L762" s="301">
        <f>K762*0.15</f>
        <v>6997.1558924003111</v>
      </c>
      <c r="M762" s="315">
        <f t="shared" si="236"/>
        <v>53644.861841735721</v>
      </c>
      <c r="N762" s="301"/>
      <c r="O762" s="301">
        <f>(O824+O835+O836+O837)/C762+(O829+O833+O834)/100</f>
        <v>861.54217506631301</v>
      </c>
    </row>
    <row r="763" spans="1:17" s="345" customFormat="1">
      <c r="A763" s="1036"/>
      <c r="B763" s="1035"/>
      <c r="C763" s="298">
        <f>C758</f>
        <v>24.5</v>
      </c>
      <c r="D763" s="298">
        <v>3</v>
      </c>
      <c r="E763" s="301">
        <f>(E825+E835+E836+E837)/C763+(E830+E833+E834)/100</f>
        <v>31249.669336734707</v>
      </c>
      <c r="F763" s="301">
        <f>(F825+F835+F836+F837)/C763+(F830+F833+F834)/100</f>
        <v>0</v>
      </c>
      <c r="G763" s="301">
        <f>(G825+G835+G836+G837)/C763+(G830+G833+G834)/100</f>
        <v>543.93790728414444</v>
      </c>
      <c r="H763" s="301">
        <f>(H825+H835+H836+H837)/C763+(H830+H833+H834)/100</f>
        <v>13913.542857142857</v>
      </c>
      <c r="I763" s="301"/>
      <c r="J763" s="301">
        <f>(J825+J835+J836+J837)/C763+(J830+J833+J834)/100</f>
        <v>799.15671428571443</v>
      </c>
      <c r="K763" s="301">
        <f t="shared" si="235"/>
        <v>46506.306815447424</v>
      </c>
      <c r="L763" s="301">
        <f>K763*0.15</f>
        <v>6975.9460223171136</v>
      </c>
      <c r="M763" s="315">
        <f t="shared" si="236"/>
        <v>53482.252837764536</v>
      </c>
      <c r="N763" s="301"/>
      <c r="O763" s="301">
        <f>(O825+O835+O836+O837)/C763+(O830+O833+O834)/100</f>
        <v>854.52040816326542</v>
      </c>
    </row>
    <row r="764" spans="1:17" s="345" customFormat="1">
      <c r="A764" s="1036"/>
      <c r="B764" s="1035"/>
      <c r="C764" s="298">
        <f>C759</f>
        <v>5.5</v>
      </c>
      <c r="D764" s="298">
        <v>4</v>
      </c>
      <c r="E764" s="301">
        <f>(E826+E835+E836+E837)/C764+(E831+E833+E834)/100</f>
        <v>46436.10070000001</v>
      </c>
      <c r="F764" s="301">
        <f>(F826+F835+F836+F837)/C764+(F831+F833+F834)/100</f>
        <v>0</v>
      </c>
      <c r="G764" s="301">
        <f>(G826+G835+G836+G837)/C764+(G831+G833+G834)/100</f>
        <v>779.26727148174052</v>
      </c>
      <c r="H764" s="301">
        <f>(H826+H835+H836+H837)/C764+(H831+H833+H834)/100</f>
        <v>14509.6</v>
      </c>
      <c r="I764" s="301"/>
      <c r="J764" s="301">
        <f>(J826+J835+J836+J837)/C764+(J831+J833+J834)/100</f>
        <v>1209.0822545454546</v>
      </c>
      <c r="K764" s="301">
        <f t="shared" si="235"/>
        <v>62934.050226027204</v>
      </c>
      <c r="L764" s="301">
        <f>K764*0.15</f>
        <v>9440.1075339040799</v>
      </c>
      <c r="M764" s="315">
        <f t="shared" si="236"/>
        <v>72374.157759931288</v>
      </c>
      <c r="N764" s="301"/>
      <c r="O764" s="301">
        <f>(O826+O835+O836+O837)/C764+(O831+O833+O834)/100</f>
        <v>1276.853846153846</v>
      </c>
    </row>
    <row r="765" spans="1:17" s="345" customFormat="1">
      <c r="A765" s="1036"/>
      <c r="B765" s="1035"/>
      <c r="C765" s="298">
        <f>C760</f>
        <v>8.5</v>
      </c>
      <c r="D765" s="298">
        <v>5</v>
      </c>
      <c r="E765" s="301">
        <f>(E827+E835+E836+E837)/C765+(E832+E833+E834)/100</f>
        <v>46166.088682352958</v>
      </c>
      <c r="F765" s="301">
        <f>(F827+F835+F836+F837)/C765+(F832+F833+F834)/100</f>
        <v>0</v>
      </c>
      <c r="G765" s="301">
        <f>(G827+G835+G836+G837)/C765+(G832+G833+G834)/100</f>
        <v>791.36237698089496</v>
      </c>
      <c r="H765" s="301">
        <f>(H827+H835+H836+H837)/C765+(H832+H833+H834)/100</f>
        <v>14238.329411764706</v>
      </c>
      <c r="I765" s="301"/>
      <c r="J765" s="301">
        <f>(J827+J835+J836+J837)/C765+(J832+J833+J834)/100</f>
        <v>1134.4874470588236</v>
      </c>
      <c r="K765" s="301">
        <f t="shared" si="235"/>
        <v>62330.267918157391</v>
      </c>
      <c r="L765" s="301">
        <f>K765*0.15</f>
        <v>9349.5401877236091</v>
      </c>
      <c r="M765" s="315">
        <f t="shared" si="236"/>
        <v>71679.808105881006</v>
      </c>
      <c r="N765" s="301"/>
      <c r="O765" s="301">
        <f>(O827+O835+O836+O837)/C765+(O832+O833+O834)/100</f>
        <v>1254.2389140271491</v>
      </c>
    </row>
    <row r="766" spans="1:17" s="345" customFormat="1" ht="13.5">
      <c r="A766" s="298"/>
      <c r="B766" s="340" t="s">
        <v>332</v>
      </c>
      <c r="C766" s="298"/>
      <c r="D766" s="298"/>
      <c r="E766" s="301"/>
      <c r="F766" s="301"/>
      <c r="G766" s="301"/>
      <c r="H766" s="301"/>
      <c r="I766" s="301"/>
      <c r="J766" s="301"/>
      <c r="K766" s="301"/>
      <c r="L766" s="301"/>
      <c r="M766" s="315"/>
      <c r="N766" s="301"/>
      <c r="O766" s="301"/>
    </row>
    <row r="767" spans="1:17" s="345" customFormat="1" ht="13.5">
      <c r="A767" s="298" t="s">
        <v>505</v>
      </c>
      <c r="B767" s="340" t="s">
        <v>333</v>
      </c>
      <c r="C767" s="298"/>
      <c r="D767" s="298"/>
      <c r="E767" s="301"/>
      <c r="F767" s="301"/>
      <c r="G767" s="301"/>
      <c r="H767" s="301"/>
      <c r="I767" s="301"/>
      <c r="J767" s="301"/>
      <c r="K767" s="301"/>
      <c r="L767" s="301"/>
      <c r="M767" s="315"/>
      <c r="N767" s="301"/>
      <c r="O767" s="301"/>
    </row>
    <row r="768" spans="1:17" s="345" customFormat="1" ht="13.15" customHeight="1">
      <c r="A768" s="1036"/>
      <c r="B768" s="1037" t="s">
        <v>330</v>
      </c>
      <c r="C768" s="1036" t="s">
        <v>49</v>
      </c>
      <c r="D768" s="298">
        <v>1</v>
      </c>
      <c r="E768" s="301">
        <f t="shared" ref="E768:H772" si="237">E756-E812/100</f>
        <v>196547.1138125</v>
      </c>
      <c r="F768" s="301">
        <f t="shared" si="237"/>
        <v>10842.615384615385</v>
      </c>
      <c r="G768" s="301">
        <f t="shared" si="237"/>
        <v>928.11003663003657</v>
      </c>
      <c r="H768" s="301">
        <f t="shared" si="237"/>
        <v>578838.85714285716</v>
      </c>
      <c r="I768" s="301"/>
      <c r="J768" s="301">
        <f>J756-J812/100</f>
        <v>24.040800000000004</v>
      </c>
      <c r="K768" s="301">
        <f t="shared" ref="K768:K777" si="238">SUM(E768:J768)</f>
        <v>787180.73717660259</v>
      </c>
      <c r="L768" s="301">
        <f>K768*0.25</f>
        <v>196795.18429415065</v>
      </c>
      <c r="M768" s="315">
        <f t="shared" ref="M768:M777" si="239">K768+L768</f>
        <v>983975.92147075327</v>
      </c>
      <c r="N768" s="301">
        <f>M768+M773</f>
        <v>1041272.3398453377</v>
      </c>
      <c r="O768" s="301">
        <f>O756-O812/100</f>
        <v>5592.9333791208783</v>
      </c>
    </row>
    <row r="769" spans="1:15" s="345" customFormat="1" ht="13.15" customHeight="1">
      <c r="A769" s="1036"/>
      <c r="B769" s="1037"/>
      <c r="C769" s="1036"/>
      <c r="D769" s="298">
        <v>2</v>
      </c>
      <c r="E769" s="301">
        <f t="shared" si="237"/>
        <v>227684.38379310351</v>
      </c>
      <c r="F769" s="301">
        <f t="shared" si="237"/>
        <v>13025.69230769231</v>
      </c>
      <c r="G769" s="301">
        <f t="shared" si="237"/>
        <v>1098.2112124226346</v>
      </c>
      <c r="H769" s="301">
        <f t="shared" si="237"/>
        <v>279799.44827586209</v>
      </c>
      <c r="I769" s="301"/>
      <c r="J769" s="301">
        <f>J757-J813/100</f>
        <v>30.051000000000002</v>
      </c>
      <c r="K769" s="301">
        <f t="shared" si="238"/>
        <v>521637.78658908053</v>
      </c>
      <c r="L769" s="301">
        <f>K769*0.25</f>
        <v>130409.44664727013</v>
      </c>
      <c r="M769" s="315">
        <f t="shared" si="239"/>
        <v>652047.2332363507</v>
      </c>
      <c r="N769" s="301">
        <f>M769+M774</f>
        <v>705692.09507808648</v>
      </c>
      <c r="O769" s="301">
        <f>O757-O813/100</f>
        <v>6462.5729442970824</v>
      </c>
    </row>
    <row r="770" spans="1:15" s="345" customFormat="1" ht="13.15" customHeight="1">
      <c r="A770" s="1036"/>
      <c r="B770" s="1037"/>
      <c r="C770" s="1036"/>
      <c r="D770" s="298">
        <v>3</v>
      </c>
      <c r="E770" s="301">
        <f t="shared" si="237"/>
        <v>269270.11375000002</v>
      </c>
      <c r="F770" s="301">
        <f t="shared" si="237"/>
        <v>15627.192307692307</v>
      </c>
      <c r="G770" s="301">
        <f t="shared" si="237"/>
        <v>1432.8269710448283</v>
      </c>
      <c r="H770" s="301">
        <f t="shared" si="237"/>
        <v>165879.67346938775</v>
      </c>
      <c r="I770" s="301"/>
      <c r="J770" s="301">
        <f>J758-J814/100</f>
        <v>39.177600000000005</v>
      </c>
      <c r="K770" s="301">
        <f t="shared" si="238"/>
        <v>452248.9840981249</v>
      </c>
      <c r="L770" s="301">
        <f>K770*0.25</f>
        <v>113062.24602453122</v>
      </c>
      <c r="M770" s="315">
        <f t="shared" si="239"/>
        <v>565311.2301226561</v>
      </c>
      <c r="N770" s="301">
        <f>M770+M775</f>
        <v>618793.48296042066</v>
      </c>
      <c r="O770" s="301">
        <f>O758-O814/100</f>
        <v>7635.1785714285716</v>
      </c>
    </row>
    <row r="771" spans="1:15" s="345" customFormat="1" ht="13.15" customHeight="1">
      <c r="A771" s="1036"/>
      <c r="B771" s="1037"/>
      <c r="C771" s="1036"/>
      <c r="D771" s="298">
        <v>4</v>
      </c>
      <c r="E771" s="301">
        <f t="shared" si="237"/>
        <v>345927.06962500012</v>
      </c>
      <c r="F771" s="301">
        <f t="shared" si="237"/>
        <v>18756.269230769234</v>
      </c>
      <c r="G771" s="301">
        <f t="shared" si="237"/>
        <v>2147.0213024475529</v>
      </c>
      <c r="H771" s="301">
        <f t="shared" si="237"/>
        <v>736514.18181818177</v>
      </c>
      <c r="I771" s="301"/>
      <c r="J771" s="301">
        <f>J759-J815/100</f>
        <v>48.081600000000009</v>
      </c>
      <c r="K771" s="301">
        <f t="shared" si="238"/>
        <v>1103392.6235763987</v>
      </c>
      <c r="L771" s="301">
        <f>K771*0.25</f>
        <v>275848.15589409968</v>
      </c>
      <c r="M771" s="315">
        <f t="shared" si="239"/>
        <v>1379240.7794704984</v>
      </c>
      <c r="N771" s="301">
        <f>M771+M776</f>
        <v>1451614.9372304296</v>
      </c>
      <c r="O771" s="301">
        <f>O759-O815/100</f>
        <v>9856.1634615384628</v>
      </c>
    </row>
    <row r="772" spans="1:15" s="345" customFormat="1" ht="13.15" customHeight="1">
      <c r="A772" s="1036"/>
      <c r="B772" s="1037"/>
      <c r="C772" s="1036"/>
      <c r="D772" s="298">
        <v>5</v>
      </c>
      <c r="E772" s="301">
        <f t="shared" si="237"/>
        <v>402747.1254448531</v>
      </c>
      <c r="F772" s="301">
        <f t="shared" si="237"/>
        <v>22503.884615384613</v>
      </c>
      <c r="G772" s="301">
        <f t="shared" si="237"/>
        <v>2657.6893885118147</v>
      </c>
      <c r="H772" s="301">
        <f t="shared" si="237"/>
        <v>476813.64705882355</v>
      </c>
      <c r="I772" s="301"/>
      <c r="J772" s="301">
        <f>J760-J816/100</f>
        <v>0</v>
      </c>
      <c r="K772" s="301">
        <f t="shared" si="238"/>
        <v>904722.34650757303</v>
      </c>
      <c r="L772" s="301">
        <f>K772*0.25</f>
        <v>226180.58662689326</v>
      </c>
      <c r="M772" s="315">
        <f t="shared" si="239"/>
        <v>1130902.9331344664</v>
      </c>
      <c r="N772" s="301">
        <f>M772+M777</f>
        <v>1202582.7412403475</v>
      </c>
      <c r="O772" s="301">
        <f>O760-O816/100</f>
        <v>11450.897341628959</v>
      </c>
    </row>
    <row r="773" spans="1:15" s="345" customFormat="1">
      <c r="A773" s="1036"/>
      <c r="B773" s="1037" t="s">
        <v>331</v>
      </c>
      <c r="C773" s="1036" t="s">
        <v>49</v>
      </c>
      <c r="D773" s="298">
        <v>1</v>
      </c>
      <c r="E773" s="301">
        <f t="shared" ref="E773:H777" si="240">E761</f>
        <v>34051.826600000008</v>
      </c>
      <c r="F773" s="301">
        <f t="shared" si="240"/>
        <v>0</v>
      </c>
      <c r="G773" s="301">
        <f t="shared" si="240"/>
        <v>553.52669963858364</v>
      </c>
      <c r="H773" s="301">
        <f t="shared" si="240"/>
        <v>14344.9</v>
      </c>
      <c r="I773" s="301"/>
      <c r="J773" s="301">
        <f>J761</f>
        <v>872.7192</v>
      </c>
      <c r="K773" s="301">
        <f t="shared" si="238"/>
        <v>49822.972499638592</v>
      </c>
      <c r="L773" s="301">
        <f>K773*0.15</f>
        <v>7473.4458749457881</v>
      </c>
      <c r="M773" s="315">
        <f t="shared" si="239"/>
        <v>57296.418374584377</v>
      </c>
      <c r="N773" s="301"/>
      <c r="O773" s="301">
        <f>O761</f>
        <v>945.83076923076919</v>
      </c>
    </row>
    <row r="774" spans="1:15" s="345" customFormat="1">
      <c r="A774" s="1036"/>
      <c r="B774" s="1035"/>
      <c r="C774" s="1036"/>
      <c r="D774" s="298">
        <v>2</v>
      </c>
      <c r="E774" s="301">
        <f t="shared" si="240"/>
        <v>31286.177165517249</v>
      </c>
      <c r="F774" s="301">
        <f t="shared" si="240"/>
        <v>0</v>
      </c>
      <c r="G774" s="301">
        <f t="shared" si="240"/>
        <v>521.66670795608604</v>
      </c>
      <c r="H774" s="301">
        <f t="shared" si="240"/>
        <v>14032.537931034483</v>
      </c>
      <c r="I774" s="301"/>
      <c r="J774" s="301">
        <f>J762</f>
        <v>807.32414482758634</v>
      </c>
      <c r="K774" s="301">
        <f t="shared" si="238"/>
        <v>46647.70594933541</v>
      </c>
      <c r="L774" s="301">
        <f>K774*0.15</f>
        <v>6997.1558924003111</v>
      </c>
      <c r="M774" s="315">
        <f t="shared" si="239"/>
        <v>53644.861841735721</v>
      </c>
      <c r="N774" s="301"/>
      <c r="O774" s="301">
        <f>O762</f>
        <v>861.54217506631301</v>
      </c>
    </row>
    <row r="775" spans="1:15" s="345" customFormat="1">
      <c r="A775" s="1036"/>
      <c r="B775" s="1035"/>
      <c r="C775" s="1036"/>
      <c r="D775" s="298">
        <v>3</v>
      </c>
      <c r="E775" s="301">
        <f t="shared" si="240"/>
        <v>31249.669336734707</v>
      </c>
      <c r="F775" s="301">
        <f t="shared" si="240"/>
        <v>0</v>
      </c>
      <c r="G775" s="301">
        <f t="shared" si="240"/>
        <v>543.93790728414444</v>
      </c>
      <c r="H775" s="301">
        <f t="shared" si="240"/>
        <v>13913.542857142857</v>
      </c>
      <c r="I775" s="301"/>
      <c r="J775" s="301">
        <f>J763</f>
        <v>799.15671428571443</v>
      </c>
      <c r="K775" s="301">
        <f t="shared" si="238"/>
        <v>46506.306815447424</v>
      </c>
      <c r="L775" s="301">
        <f>K775*0.15</f>
        <v>6975.9460223171136</v>
      </c>
      <c r="M775" s="315">
        <f t="shared" si="239"/>
        <v>53482.252837764536</v>
      </c>
      <c r="N775" s="301"/>
      <c r="O775" s="301">
        <f>O763</f>
        <v>854.52040816326542</v>
      </c>
    </row>
    <row r="776" spans="1:15" s="345" customFormat="1">
      <c r="A776" s="1036"/>
      <c r="B776" s="1035"/>
      <c r="C776" s="1036"/>
      <c r="D776" s="298">
        <v>4</v>
      </c>
      <c r="E776" s="301">
        <f t="shared" si="240"/>
        <v>46436.10070000001</v>
      </c>
      <c r="F776" s="301">
        <f t="shared" si="240"/>
        <v>0</v>
      </c>
      <c r="G776" s="301">
        <f t="shared" si="240"/>
        <v>779.26727148174052</v>
      </c>
      <c r="H776" s="301">
        <f t="shared" si="240"/>
        <v>14509.6</v>
      </c>
      <c r="I776" s="301"/>
      <c r="J776" s="301">
        <f>J764</f>
        <v>1209.0822545454546</v>
      </c>
      <c r="K776" s="301">
        <f t="shared" si="238"/>
        <v>62934.050226027204</v>
      </c>
      <c r="L776" s="301">
        <f>K776*0.15</f>
        <v>9440.1075339040799</v>
      </c>
      <c r="M776" s="315">
        <f t="shared" si="239"/>
        <v>72374.157759931288</v>
      </c>
      <c r="N776" s="301"/>
      <c r="O776" s="301">
        <f>O764</f>
        <v>1276.853846153846</v>
      </c>
    </row>
    <row r="777" spans="1:15" s="345" customFormat="1">
      <c r="A777" s="1036"/>
      <c r="B777" s="1035"/>
      <c r="C777" s="1036"/>
      <c r="D777" s="298">
        <v>5</v>
      </c>
      <c r="E777" s="301">
        <f t="shared" si="240"/>
        <v>46166.088682352958</v>
      </c>
      <c r="F777" s="301">
        <f t="shared" si="240"/>
        <v>0</v>
      </c>
      <c r="G777" s="301">
        <f t="shared" si="240"/>
        <v>791.36237698089496</v>
      </c>
      <c r="H777" s="301">
        <f t="shared" si="240"/>
        <v>14238.329411764706</v>
      </c>
      <c r="I777" s="301"/>
      <c r="J777" s="301">
        <f>J765</f>
        <v>1134.4874470588236</v>
      </c>
      <c r="K777" s="301">
        <f t="shared" si="238"/>
        <v>62330.267918157391</v>
      </c>
      <c r="L777" s="301">
        <f>K777*0.15</f>
        <v>9349.5401877236091</v>
      </c>
      <c r="M777" s="315">
        <f t="shared" si="239"/>
        <v>71679.808105881006</v>
      </c>
      <c r="N777" s="301"/>
      <c r="O777" s="301">
        <f>O765</f>
        <v>1254.2389140271491</v>
      </c>
    </row>
    <row r="778" spans="1:15" s="345" customFormat="1" ht="13.5">
      <c r="A778" s="298" t="s">
        <v>506</v>
      </c>
      <c r="B778" s="340" t="s">
        <v>423</v>
      </c>
      <c r="C778" s="298"/>
      <c r="D778" s="298"/>
      <c r="E778" s="301"/>
      <c r="F778" s="301"/>
      <c r="G778" s="301"/>
      <c r="H778" s="301"/>
      <c r="I778" s="301"/>
      <c r="J778" s="301"/>
      <c r="K778" s="301"/>
      <c r="L778" s="301"/>
      <c r="M778" s="315"/>
      <c r="N778" s="301"/>
      <c r="O778" s="301"/>
    </row>
    <row r="779" spans="1:15" s="345" customFormat="1" ht="13.15" customHeight="1">
      <c r="A779" s="1036"/>
      <c r="B779" s="1037" t="s">
        <v>330</v>
      </c>
      <c r="C779" s="1036" t="s">
        <v>49</v>
      </c>
      <c r="D779" s="298">
        <v>1</v>
      </c>
      <c r="E779" s="301">
        <f t="shared" ref="E779:G788" si="241">E756*0.9</f>
        <v>182885.67990000002</v>
      </c>
      <c r="F779" s="301">
        <f t="shared" si="241"/>
        <v>9758.3538461538465</v>
      </c>
      <c r="G779" s="301">
        <f t="shared" si="241"/>
        <v>926.1980521978021</v>
      </c>
      <c r="H779" s="301">
        <f t="shared" ref="H779:H788" si="242">H756</f>
        <v>578873.65714285721</v>
      </c>
      <c r="I779" s="301"/>
      <c r="J779" s="301">
        <f t="shared" ref="J779:J788" si="243">J756*0.9</f>
        <v>22.838760000000004</v>
      </c>
      <c r="K779" s="301">
        <f t="shared" ref="K779:K788" si="244">SUM(E779:J779)</f>
        <v>772466.72770120879</v>
      </c>
      <c r="L779" s="301">
        <f>K779*0.25</f>
        <v>193116.6819253022</v>
      </c>
      <c r="M779" s="315">
        <f t="shared" ref="M779:M788" si="245">K779+L779</f>
        <v>965583.40962651093</v>
      </c>
      <c r="N779" s="301">
        <f>M779+M784</f>
        <v>1018799.8496636369</v>
      </c>
      <c r="O779" s="301">
        <f t="shared" ref="O779:O788" si="246">O756*0.9</f>
        <v>5203.3203296703296</v>
      </c>
    </row>
    <row r="780" spans="1:15" s="345" customFormat="1" ht="13.15" customHeight="1">
      <c r="A780" s="1036"/>
      <c r="B780" s="1037"/>
      <c r="C780" s="1036"/>
      <c r="D780" s="298">
        <v>2</v>
      </c>
      <c r="E780" s="301">
        <f t="shared" si="241"/>
        <v>213035.86972629317</v>
      </c>
      <c r="F780" s="301">
        <f t="shared" si="241"/>
        <v>11723.123076923079</v>
      </c>
      <c r="G780" s="301">
        <f t="shared" si="241"/>
        <v>1102.0138652188327</v>
      </c>
      <c r="H780" s="301">
        <f t="shared" si="242"/>
        <v>279834.24827586208</v>
      </c>
      <c r="I780" s="301"/>
      <c r="J780" s="301">
        <f t="shared" si="243"/>
        <v>28.648620000000001</v>
      </c>
      <c r="K780" s="301">
        <f t="shared" si="244"/>
        <v>505723.90356429713</v>
      </c>
      <c r="L780" s="301">
        <f>K780*0.25</f>
        <v>126430.97589107428</v>
      </c>
      <c r="M780" s="315">
        <f t="shared" si="245"/>
        <v>632154.87945537141</v>
      </c>
      <c r="N780" s="301">
        <f>M780+M785</f>
        <v>682048.99697500258</v>
      </c>
      <c r="O780" s="301">
        <f t="shared" si="246"/>
        <v>6046.2050729442972</v>
      </c>
    </row>
    <row r="781" spans="1:15" s="345" customFormat="1" ht="13.15" customHeight="1">
      <c r="A781" s="1036"/>
      <c r="B781" s="1037"/>
      <c r="C781" s="1036"/>
      <c r="D781" s="298">
        <v>3</v>
      </c>
      <c r="E781" s="301">
        <f t="shared" si="241"/>
        <v>252396.342</v>
      </c>
      <c r="F781" s="301">
        <f t="shared" si="241"/>
        <v>14064.473076923075</v>
      </c>
      <c r="G781" s="301">
        <f t="shared" si="241"/>
        <v>1441.0426393249609</v>
      </c>
      <c r="H781" s="301">
        <f t="shared" si="242"/>
        <v>165914.47346938774</v>
      </c>
      <c r="I781" s="301"/>
      <c r="J781" s="301">
        <f t="shared" si="243"/>
        <v>37.062900000000006</v>
      </c>
      <c r="K781" s="301">
        <f t="shared" si="244"/>
        <v>433853.39408563578</v>
      </c>
      <c r="L781" s="301">
        <f>K781*0.25</f>
        <v>108463.34852140895</v>
      </c>
      <c r="M781" s="315">
        <f t="shared" si="245"/>
        <v>542316.74260704475</v>
      </c>
      <c r="N781" s="301">
        <f>M781+M786</f>
        <v>592050.82758960431</v>
      </c>
      <c r="O781" s="301">
        <f t="shared" si="246"/>
        <v>7156.2857142857147</v>
      </c>
    </row>
    <row r="782" spans="1:15" s="345" customFormat="1" ht="13.15" customHeight="1">
      <c r="A782" s="1036"/>
      <c r="B782" s="1037"/>
      <c r="C782" s="1036"/>
      <c r="D782" s="298">
        <v>4</v>
      </c>
      <c r="E782" s="301">
        <f t="shared" si="241"/>
        <v>323900.91219375015</v>
      </c>
      <c r="F782" s="301">
        <f t="shared" si="241"/>
        <v>16880.642307692313</v>
      </c>
      <c r="G782" s="301">
        <f t="shared" si="241"/>
        <v>2136.8419654720283</v>
      </c>
      <c r="H782" s="301">
        <f t="shared" si="242"/>
        <v>736548.98181818181</v>
      </c>
      <c r="I782" s="301"/>
      <c r="J782" s="301">
        <f t="shared" si="243"/>
        <v>45.276840000000007</v>
      </c>
      <c r="K782" s="301">
        <f t="shared" si="244"/>
        <v>1079512.6551250962</v>
      </c>
      <c r="L782" s="301">
        <f>K782*0.25</f>
        <v>269878.16378127405</v>
      </c>
      <c r="M782" s="315">
        <f t="shared" si="245"/>
        <v>1349390.8189063703</v>
      </c>
      <c r="N782" s="301">
        <f>M782+M787</f>
        <v>1416196.1648903084</v>
      </c>
      <c r="O782" s="301">
        <f t="shared" si="246"/>
        <v>9226.3283653846174</v>
      </c>
    </row>
    <row r="783" spans="1:15" s="345" customFormat="1" ht="13.15" customHeight="1">
      <c r="A783" s="1036"/>
      <c r="B783" s="1037"/>
      <c r="C783" s="1036"/>
      <c r="D783" s="298">
        <v>5</v>
      </c>
      <c r="E783" s="301">
        <f t="shared" si="241"/>
        <v>380065.5822441178</v>
      </c>
      <c r="F783" s="301">
        <f t="shared" si="241"/>
        <v>20253.496153846154</v>
      </c>
      <c r="G783" s="301">
        <f t="shared" si="241"/>
        <v>2657.04258908371</v>
      </c>
      <c r="H783" s="301">
        <f t="shared" si="242"/>
        <v>476848.44705882354</v>
      </c>
      <c r="I783" s="301"/>
      <c r="J783" s="301">
        <f t="shared" si="243"/>
        <v>2.4040800000000004</v>
      </c>
      <c r="K783" s="301">
        <f t="shared" si="244"/>
        <v>879826.97212587122</v>
      </c>
      <c r="L783" s="301">
        <f>K783*0.25</f>
        <v>219956.74303146781</v>
      </c>
      <c r="M783" s="315">
        <f t="shared" si="245"/>
        <v>1099783.7151573391</v>
      </c>
      <c r="N783" s="301">
        <f>M783+M788</f>
        <v>1165932.950334985</v>
      </c>
      <c r="O783" s="301">
        <f t="shared" si="246"/>
        <v>10803.901357466064</v>
      </c>
    </row>
    <row r="784" spans="1:15" s="345" customFormat="1">
      <c r="A784" s="1036"/>
      <c r="B784" s="1037" t="s">
        <v>331</v>
      </c>
      <c r="C784" s="1036" t="s">
        <v>49</v>
      </c>
      <c r="D784" s="333" t="s">
        <v>18</v>
      </c>
      <c r="E784" s="301">
        <f t="shared" si="241"/>
        <v>30646.643940000009</v>
      </c>
      <c r="F784" s="301">
        <f t="shared" si="241"/>
        <v>0</v>
      </c>
      <c r="G784" s="301">
        <f t="shared" si="241"/>
        <v>498.17402967472526</v>
      </c>
      <c r="H784" s="301">
        <f t="shared" si="242"/>
        <v>14344.9</v>
      </c>
      <c r="I784" s="301"/>
      <c r="J784" s="301">
        <f t="shared" si="243"/>
        <v>785.44727999999998</v>
      </c>
      <c r="K784" s="301">
        <f t="shared" si="244"/>
        <v>46275.165249674734</v>
      </c>
      <c r="L784" s="301">
        <f>K784*0.15</f>
        <v>6941.2747874512097</v>
      </c>
      <c r="M784" s="315">
        <f t="shared" si="245"/>
        <v>53216.44003712594</v>
      </c>
      <c r="N784" s="301"/>
      <c r="O784" s="301">
        <f t="shared" si="246"/>
        <v>851.24769230769232</v>
      </c>
    </row>
    <row r="785" spans="1:15" s="345" customFormat="1">
      <c r="A785" s="1036"/>
      <c r="B785" s="1035"/>
      <c r="C785" s="1036"/>
      <c r="D785" s="298">
        <v>2</v>
      </c>
      <c r="E785" s="301">
        <f t="shared" si="241"/>
        <v>28157.559448965523</v>
      </c>
      <c r="F785" s="301">
        <f t="shared" si="241"/>
        <v>0</v>
      </c>
      <c r="G785" s="301">
        <f t="shared" si="241"/>
        <v>469.50003716047746</v>
      </c>
      <c r="H785" s="301">
        <f t="shared" si="242"/>
        <v>14032.537931034483</v>
      </c>
      <c r="I785" s="301"/>
      <c r="J785" s="301">
        <f t="shared" si="243"/>
        <v>726.59173034482774</v>
      </c>
      <c r="K785" s="301">
        <f t="shared" si="244"/>
        <v>43386.189147505313</v>
      </c>
      <c r="L785" s="301">
        <f>K785*0.15</f>
        <v>6507.9283721257971</v>
      </c>
      <c r="M785" s="315">
        <f t="shared" si="245"/>
        <v>49894.117519631109</v>
      </c>
      <c r="N785" s="301"/>
      <c r="O785" s="301">
        <f t="shared" si="246"/>
        <v>775.38795755968169</v>
      </c>
    </row>
    <row r="786" spans="1:15" s="345" customFormat="1">
      <c r="A786" s="1036"/>
      <c r="B786" s="1035"/>
      <c r="C786" s="1036"/>
      <c r="D786" s="298">
        <v>3</v>
      </c>
      <c r="E786" s="301">
        <f t="shared" si="241"/>
        <v>28124.702403061237</v>
      </c>
      <c r="F786" s="301">
        <f t="shared" si="241"/>
        <v>0</v>
      </c>
      <c r="G786" s="301">
        <f t="shared" si="241"/>
        <v>489.54411655573</v>
      </c>
      <c r="H786" s="301">
        <f t="shared" si="242"/>
        <v>13913.542857142857</v>
      </c>
      <c r="I786" s="301"/>
      <c r="J786" s="301">
        <f t="shared" si="243"/>
        <v>719.24104285714304</v>
      </c>
      <c r="K786" s="301">
        <f t="shared" si="244"/>
        <v>43247.030419616975</v>
      </c>
      <c r="L786" s="301">
        <f>K786*0.15</f>
        <v>6487.054562942546</v>
      </c>
      <c r="M786" s="315">
        <f t="shared" si="245"/>
        <v>49734.084982559521</v>
      </c>
      <c r="N786" s="301"/>
      <c r="O786" s="301">
        <f t="shared" si="246"/>
        <v>769.06836734693889</v>
      </c>
    </row>
    <row r="787" spans="1:15" s="345" customFormat="1">
      <c r="A787" s="1036"/>
      <c r="B787" s="1035"/>
      <c r="C787" s="1036"/>
      <c r="D787" s="298">
        <v>4</v>
      </c>
      <c r="E787" s="301">
        <f t="shared" si="241"/>
        <v>41792.490630000008</v>
      </c>
      <c r="F787" s="301">
        <f t="shared" si="241"/>
        <v>0</v>
      </c>
      <c r="G787" s="301">
        <f t="shared" si="241"/>
        <v>701.34054433356653</v>
      </c>
      <c r="H787" s="301">
        <f t="shared" si="242"/>
        <v>14509.6</v>
      </c>
      <c r="I787" s="301"/>
      <c r="J787" s="301">
        <f t="shared" si="243"/>
        <v>1088.1740290909092</v>
      </c>
      <c r="K787" s="301">
        <f t="shared" si="244"/>
        <v>58091.605203424479</v>
      </c>
      <c r="L787" s="301">
        <f>K787*0.15</f>
        <v>8713.7407805136718</v>
      </c>
      <c r="M787" s="315">
        <f t="shared" si="245"/>
        <v>66805.345983938154</v>
      </c>
      <c r="N787" s="301"/>
      <c r="O787" s="301">
        <f t="shared" si="246"/>
        <v>1149.1684615384615</v>
      </c>
    </row>
    <row r="788" spans="1:15" s="345" customFormat="1">
      <c r="A788" s="1036"/>
      <c r="B788" s="1035"/>
      <c r="C788" s="1036"/>
      <c r="D788" s="298">
        <v>5</v>
      </c>
      <c r="E788" s="301">
        <f t="shared" si="241"/>
        <v>41549.479814117665</v>
      </c>
      <c r="F788" s="301">
        <f t="shared" si="241"/>
        <v>0</v>
      </c>
      <c r="G788" s="301">
        <f t="shared" si="241"/>
        <v>712.22613928280543</v>
      </c>
      <c r="H788" s="301">
        <f t="shared" si="242"/>
        <v>14238.329411764706</v>
      </c>
      <c r="I788" s="301"/>
      <c r="J788" s="301">
        <f t="shared" si="243"/>
        <v>1021.0387023529413</v>
      </c>
      <c r="K788" s="301">
        <f t="shared" si="244"/>
        <v>57521.074067518122</v>
      </c>
      <c r="L788" s="301">
        <f>K788*0.15</f>
        <v>8628.1611101277176</v>
      </c>
      <c r="M788" s="315">
        <f t="shared" si="245"/>
        <v>66149.235177645838</v>
      </c>
      <c r="N788" s="301"/>
      <c r="O788" s="301">
        <f t="shared" si="246"/>
        <v>1128.8150226244343</v>
      </c>
    </row>
    <row r="789" spans="1:15" s="345" customFormat="1" ht="13.5">
      <c r="A789" s="298" t="s">
        <v>507</v>
      </c>
      <c r="B789" s="340" t="s">
        <v>424</v>
      </c>
      <c r="C789" s="298"/>
      <c r="D789" s="298"/>
      <c r="E789" s="301"/>
      <c r="F789" s="301"/>
      <c r="G789" s="301"/>
      <c r="H789" s="301"/>
      <c r="I789" s="301"/>
      <c r="J789" s="301"/>
      <c r="K789" s="301"/>
      <c r="L789" s="301"/>
      <c r="M789" s="315"/>
      <c r="N789" s="301"/>
      <c r="O789" s="301"/>
    </row>
    <row r="790" spans="1:15" s="345" customFormat="1" ht="13.15" customHeight="1">
      <c r="A790" s="1036"/>
      <c r="B790" s="1037" t="s">
        <v>330</v>
      </c>
      <c r="C790" s="1036" t="s">
        <v>49</v>
      </c>
      <c r="D790" s="298">
        <v>1</v>
      </c>
      <c r="E790" s="301">
        <f t="shared" ref="E790:G799" si="247">E756*0.8</f>
        <v>162565.04880000002</v>
      </c>
      <c r="F790" s="301">
        <f t="shared" si="247"/>
        <v>8674.0923076923082</v>
      </c>
      <c r="G790" s="301">
        <f t="shared" si="247"/>
        <v>823.28715750915751</v>
      </c>
      <c r="H790" s="301">
        <f t="shared" ref="H790:H799" si="248">H756</f>
        <v>578873.65714285721</v>
      </c>
      <c r="I790" s="301"/>
      <c r="J790" s="301">
        <f t="shared" ref="J790:J799" si="249">J756*0.8</f>
        <v>20.301120000000004</v>
      </c>
      <c r="K790" s="301">
        <f t="shared" ref="K790:K799" si="250">SUM(E790:J790)</f>
        <v>750956.38652805868</v>
      </c>
      <c r="L790" s="301">
        <f>K790*0.25</f>
        <v>187739.09663201467</v>
      </c>
      <c r="M790" s="315">
        <f t="shared" ref="M790:M799" si="251">K790+L790</f>
        <v>938695.4831600734</v>
      </c>
      <c r="N790" s="301">
        <f>M790+M795</f>
        <v>987831.94485974091</v>
      </c>
      <c r="O790" s="301">
        <f t="shared" ref="O790:O799" si="252">O756*0.8</f>
        <v>4625.1736263736266</v>
      </c>
    </row>
    <row r="791" spans="1:15" s="345" customFormat="1" ht="13.15" customHeight="1">
      <c r="A791" s="1036"/>
      <c r="B791" s="1037"/>
      <c r="C791" s="1036"/>
      <c r="D791" s="298">
        <v>2</v>
      </c>
      <c r="E791" s="301">
        <f t="shared" si="247"/>
        <v>189365.21753448283</v>
      </c>
      <c r="F791" s="301">
        <f t="shared" si="247"/>
        <v>10420.553846153849</v>
      </c>
      <c r="G791" s="301">
        <f t="shared" si="247"/>
        <v>979.56788019451801</v>
      </c>
      <c r="H791" s="301">
        <f t="shared" si="248"/>
        <v>279834.24827586208</v>
      </c>
      <c r="I791" s="301"/>
      <c r="J791" s="301">
        <f t="shared" si="249"/>
        <v>25.465440000000001</v>
      </c>
      <c r="K791" s="301">
        <f t="shared" si="250"/>
        <v>480625.05297669326</v>
      </c>
      <c r="L791" s="301">
        <f>K791*0.25</f>
        <v>120156.26324417331</v>
      </c>
      <c r="M791" s="315">
        <f t="shared" si="251"/>
        <v>600781.31622086652</v>
      </c>
      <c r="N791" s="301">
        <f>M791+M796</f>
        <v>646924.68941839307</v>
      </c>
      <c r="O791" s="301">
        <f t="shared" si="252"/>
        <v>5374.4045092838205</v>
      </c>
    </row>
    <row r="792" spans="1:15" s="345" customFormat="1" ht="13.15" customHeight="1">
      <c r="A792" s="1036"/>
      <c r="B792" s="1037"/>
      <c r="C792" s="1036"/>
      <c r="D792" s="298">
        <v>3</v>
      </c>
      <c r="E792" s="301">
        <f t="shared" si="247"/>
        <v>224352.304</v>
      </c>
      <c r="F792" s="301">
        <f t="shared" si="247"/>
        <v>12501.753846153846</v>
      </c>
      <c r="G792" s="301">
        <f t="shared" si="247"/>
        <v>1280.9267905110764</v>
      </c>
      <c r="H792" s="301">
        <f t="shared" si="248"/>
        <v>165914.47346938774</v>
      </c>
      <c r="I792" s="301"/>
      <c r="J792" s="301">
        <f t="shared" si="249"/>
        <v>32.944800000000008</v>
      </c>
      <c r="K792" s="301">
        <f t="shared" si="250"/>
        <v>404082.40290605271</v>
      </c>
      <c r="L792" s="301">
        <f>K792*0.25</f>
        <v>101020.60072651318</v>
      </c>
      <c r="M792" s="315">
        <f t="shared" si="251"/>
        <v>505103.0036325659</v>
      </c>
      <c r="N792" s="301">
        <f>M792+M797</f>
        <v>551088.92075992038</v>
      </c>
      <c r="O792" s="301">
        <f t="shared" si="252"/>
        <v>6361.1428571428578</v>
      </c>
    </row>
    <row r="793" spans="1:15" s="345" customFormat="1" ht="13.15" customHeight="1">
      <c r="A793" s="1036"/>
      <c r="B793" s="1037"/>
      <c r="C793" s="1036"/>
      <c r="D793" s="298">
        <v>4</v>
      </c>
      <c r="E793" s="301">
        <f t="shared" si="247"/>
        <v>287911.92195000011</v>
      </c>
      <c r="F793" s="301">
        <f t="shared" si="247"/>
        <v>15005.015384615388</v>
      </c>
      <c r="G793" s="301">
        <f t="shared" si="247"/>
        <v>1899.4150804195808</v>
      </c>
      <c r="H793" s="301">
        <f t="shared" si="248"/>
        <v>736548.98181818181</v>
      </c>
      <c r="I793" s="301"/>
      <c r="J793" s="301">
        <f t="shared" si="249"/>
        <v>40.246080000000006</v>
      </c>
      <c r="K793" s="301">
        <f t="shared" si="250"/>
        <v>1041405.5803132169</v>
      </c>
      <c r="L793" s="301">
        <f>K793*0.25</f>
        <v>260351.39507830422</v>
      </c>
      <c r="M793" s="315">
        <f t="shared" si="251"/>
        <v>1301756.9753915211</v>
      </c>
      <c r="N793" s="301">
        <f>M793+M798</f>
        <v>1362993.5095994661</v>
      </c>
      <c r="O793" s="301">
        <f t="shared" si="252"/>
        <v>8201.1807692307702</v>
      </c>
    </row>
    <row r="794" spans="1:15" s="345" customFormat="1" ht="13.15" customHeight="1">
      <c r="A794" s="1036"/>
      <c r="B794" s="1037"/>
      <c r="C794" s="1036"/>
      <c r="D794" s="298">
        <v>5</v>
      </c>
      <c r="E794" s="301">
        <f t="shared" si="247"/>
        <v>337836.0731058825</v>
      </c>
      <c r="F794" s="301">
        <f t="shared" si="247"/>
        <v>18003.107692307691</v>
      </c>
      <c r="G794" s="301">
        <f t="shared" si="247"/>
        <v>2361.8156347410759</v>
      </c>
      <c r="H794" s="301">
        <f t="shared" si="248"/>
        <v>476848.44705882354</v>
      </c>
      <c r="I794" s="301"/>
      <c r="J794" s="301">
        <f t="shared" si="249"/>
        <v>2.1369600000000002</v>
      </c>
      <c r="K794" s="301">
        <f t="shared" si="250"/>
        <v>835051.58045175485</v>
      </c>
      <c r="L794" s="301">
        <f>K794*0.25</f>
        <v>208762.89511293871</v>
      </c>
      <c r="M794" s="315">
        <f t="shared" si="251"/>
        <v>1043814.4755646936</v>
      </c>
      <c r="N794" s="301">
        <f>M794+M799</f>
        <v>1104433.1378141043</v>
      </c>
      <c r="O794" s="301">
        <f t="shared" si="252"/>
        <v>9603.4678733031669</v>
      </c>
    </row>
    <row r="795" spans="1:15" s="345" customFormat="1" ht="13.15" customHeight="1">
      <c r="A795" s="1036"/>
      <c r="B795" s="1037" t="s">
        <v>331</v>
      </c>
      <c r="C795" s="1036" t="s">
        <v>49</v>
      </c>
      <c r="D795" s="298" t="s">
        <v>18</v>
      </c>
      <c r="E795" s="301">
        <f t="shared" si="247"/>
        <v>27241.461280000007</v>
      </c>
      <c r="F795" s="301">
        <f t="shared" si="247"/>
        <v>0</v>
      </c>
      <c r="G795" s="301">
        <f t="shared" si="247"/>
        <v>442.82135971086694</v>
      </c>
      <c r="H795" s="301">
        <f t="shared" si="248"/>
        <v>14344.9</v>
      </c>
      <c r="I795" s="301"/>
      <c r="J795" s="301">
        <f t="shared" si="249"/>
        <v>698.17536000000007</v>
      </c>
      <c r="K795" s="301">
        <f t="shared" si="250"/>
        <v>42727.357999710875</v>
      </c>
      <c r="L795" s="301">
        <f>K795*0.15</f>
        <v>6409.1036999566313</v>
      </c>
      <c r="M795" s="315">
        <f t="shared" si="251"/>
        <v>49136.461699667503</v>
      </c>
      <c r="N795" s="301"/>
      <c r="O795" s="301">
        <f t="shared" si="252"/>
        <v>756.66461538461544</v>
      </c>
    </row>
    <row r="796" spans="1:15" s="345" customFormat="1" ht="13.15" customHeight="1">
      <c r="A796" s="1036"/>
      <c r="B796" s="1037"/>
      <c r="C796" s="1036"/>
      <c r="D796" s="298">
        <v>2</v>
      </c>
      <c r="E796" s="301">
        <f t="shared" si="247"/>
        <v>25028.941732413801</v>
      </c>
      <c r="F796" s="301">
        <f t="shared" si="247"/>
        <v>0</v>
      </c>
      <c r="G796" s="301">
        <f t="shared" si="247"/>
        <v>417.33336636486888</v>
      </c>
      <c r="H796" s="301">
        <f t="shared" si="248"/>
        <v>14032.537931034483</v>
      </c>
      <c r="I796" s="301"/>
      <c r="J796" s="301">
        <f t="shared" si="249"/>
        <v>645.85931586206914</v>
      </c>
      <c r="K796" s="301">
        <f t="shared" si="250"/>
        <v>40124.67234567523</v>
      </c>
      <c r="L796" s="301">
        <f>K796*0.15</f>
        <v>6018.7008518512839</v>
      </c>
      <c r="M796" s="315">
        <f t="shared" si="251"/>
        <v>46143.373197526511</v>
      </c>
      <c r="N796" s="301"/>
      <c r="O796" s="301">
        <f t="shared" si="252"/>
        <v>689.2337400530505</v>
      </c>
    </row>
    <row r="797" spans="1:15" s="345" customFormat="1" ht="13.15" customHeight="1">
      <c r="A797" s="1036"/>
      <c r="B797" s="1037"/>
      <c r="C797" s="1036"/>
      <c r="D797" s="298">
        <v>3</v>
      </c>
      <c r="E797" s="301">
        <f t="shared" si="247"/>
        <v>24999.735469387768</v>
      </c>
      <c r="F797" s="301">
        <f t="shared" si="247"/>
        <v>0</v>
      </c>
      <c r="G797" s="301">
        <f t="shared" si="247"/>
        <v>435.15032582731556</v>
      </c>
      <c r="H797" s="301">
        <f t="shared" si="248"/>
        <v>13913.542857142857</v>
      </c>
      <c r="I797" s="301"/>
      <c r="J797" s="301">
        <f t="shared" si="249"/>
        <v>639.32537142857154</v>
      </c>
      <c r="K797" s="301">
        <f t="shared" si="250"/>
        <v>39987.754023786511</v>
      </c>
      <c r="L797" s="301">
        <f>K797*0.15</f>
        <v>5998.1631035679766</v>
      </c>
      <c r="M797" s="315">
        <f t="shared" si="251"/>
        <v>45985.917127354485</v>
      </c>
      <c r="N797" s="301"/>
      <c r="O797" s="301">
        <f t="shared" si="252"/>
        <v>683.61632653061235</v>
      </c>
    </row>
    <row r="798" spans="1:15" s="345" customFormat="1" ht="13.15" customHeight="1">
      <c r="A798" s="1036"/>
      <c r="B798" s="1037"/>
      <c r="C798" s="1036"/>
      <c r="D798" s="298">
        <v>4</v>
      </c>
      <c r="E798" s="301">
        <f t="shared" si="247"/>
        <v>37148.880560000012</v>
      </c>
      <c r="F798" s="301">
        <f t="shared" si="247"/>
        <v>0</v>
      </c>
      <c r="G798" s="301">
        <f t="shared" si="247"/>
        <v>623.41381718539242</v>
      </c>
      <c r="H798" s="301">
        <f t="shared" si="248"/>
        <v>14509.6</v>
      </c>
      <c r="I798" s="301"/>
      <c r="J798" s="301">
        <f t="shared" si="249"/>
        <v>967.26580363636367</v>
      </c>
      <c r="K798" s="301">
        <f t="shared" si="250"/>
        <v>53249.160180821767</v>
      </c>
      <c r="L798" s="301">
        <f>K798*0.15</f>
        <v>7987.3740271232646</v>
      </c>
      <c r="M798" s="315">
        <f t="shared" si="251"/>
        <v>61236.534207945035</v>
      </c>
      <c r="N798" s="301"/>
      <c r="O798" s="301">
        <f t="shared" si="252"/>
        <v>1021.4830769230769</v>
      </c>
    </row>
    <row r="799" spans="1:15" s="345" customFormat="1" ht="13.15" customHeight="1">
      <c r="A799" s="1036"/>
      <c r="B799" s="1037"/>
      <c r="C799" s="1036"/>
      <c r="D799" s="298">
        <v>5</v>
      </c>
      <c r="E799" s="301">
        <f t="shared" si="247"/>
        <v>36932.870945882365</v>
      </c>
      <c r="F799" s="301">
        <f t="shared" si="247"/>
        <v>0</v>
      </c>
      <c r="G799" s="301">
        <f t="shared" si="247"/>
        <v>633.08990158471602</v>
      </c>
      <c r="H799" s="301">
        <f t="shared" si="248"/>
        <v>14238.329411764706</v>
      </c>
      <c r="I799" s="301"/>
      <c r="J799" s="301">
        <f t="shared" si="249"/>
        <v>907.5899576470589</v>
      </c>
      <c r="K799" s="301">
        <f t="shared" si="250"/>
        <v>52711.880216878846</v>
      </c>
      <c r="L799" s="301">
        <f>K799*0.15</f>
        <v>7906.7820325318262</v>
      </c>
      <c r="M799" s="315">
        <f t="shared" si="251"/>
        <v>60618.66224941067</v>
      </c>
      <c r="N799" s="301"/>
      <c r="O799" s="301">
        <f t="shared" si="252"/>
        <v>1003.3911312217193</v>
      </c>
    </row>
    <row r="800" spans="1:15" s="308" customFormat="1" ht="12.75" customHeight="1">
      <c r="A800" s="298" t="s">
        <v>493</v>
      </c>
      <c r="B800" s="340" t="s">
        <v>491</v>
      </c>
      <c r="C800" s="298"/>
      <c r="D800" s="298"/>
      <c r="E800" s="301"/>
      <c r="F800" s="301"/>
      <c r="G800" s="301"/>
      <c r="H800" s="301"/>
      <c r="I800" s="301"/>
      <c r="J800" s="301"/>
      <c r="K800" s="301"/>
      <c r="L800" s="301"/>
      <c r="M800" s="315"/>
      <c r="N800" s="301"/>
      <c r="O800" s="301"/>
    </row>
    <row r="801" spans="1:15" s="345" customFormat="1" ht="13.15" customHeight="1">
      <c r="A801" s="1036"/>
      <c r="B801" s="1037" t="s">
        <v>192</v>
      </c>
      <c r="C801" s="1036" t="s">
        <v>49</v>
      </c>
      <c r="D801" s="298" t="s">
        <v>18</v>
      </c>
      <c r="E801" s="301">
        <f>E$833/100+(E$835+E$836)/$C761</f>
        <v>11229.186335714288</v>
      </c>
      <c r="F801" s="301"/>
      <c r="G801" s="301">
        <f t="shared" ref="G801:H805" si="253">G756</f>
        <v>1029.1089468864468</v>
      </c>
      <c r="H801" s="301">
        <f t="shared" si="253"/>
        <v>578873.65714285721</v>
      </c>
      <c r="I801" s="301"/>
      <c r="J801" s="301">
        <f>J756</f>
        <v>25.376400000000004</v>
      </c>
      <c r="K801" s="301">
        <f>SUM(E801:J801)</f>
        <v>591157.32882545784</v>
      </c>
      <c r="L801" s="301">
        <f>K801*0.15</f>
        <v>88673.599323818678</v>
      </c>
      <c r="M801" s="315">
        <f>K801+L801</f>
        <v>679830.92814927653</v>
      </c>
      <c r="N801" s="301">
        <f>M801</f>
        <v>679830.92814927653</v>
      </c>
      <c r="O801" s="301">
        <f>O$833/100+(O$835+O$836)/$C761</f>
        <v>317.91813186813187</v>
      </c>
    </row>
    <row r="802" spans="1:15" s="345" customFormat="1" ht="13.15" customHeight="1">
      <c r="A802" s="1036"/>
      <c r="B802" s="1037"/>
      <c r="C802" s="1036"/>
      <c r="D802" s="298" t="s">
        <v>20</v>
      </c>
      <c r="E802" s="301">
        <f>E$833/100+(E$835+E$836)/$C762</f>
        <v>10754.270127586211</v>
      </c>
      <c r="F802" s="301"/>
      <c r="G802" s="301">
        <f t="shared" si="253"/>
        <v>1224.4598502431475</v>
      </c>
      <c r="H802" s="301">
        <f t="shared" si="253"/>
        <v>279834.24827586208</v>
      </c>
      <c r="I802" s="301"/>
      <c r="J802" s="301">
        <f>J757</f>
        <v>31.831800000000001</v>
      </c>
      <c r="K802" s="301">
        <f>SUM(E802:J802)</f>
        <v>291844.81005369144</v>
      </c>
      <c r="L802" s="301">
        <f>K802*0.15</f>
        <v>43776.721508053713</v>
      </c>
      <c r="M802" s="315">
        <f>K802+L802</f>
        <v>335621.53156174516</v>
      </c>
      <c r="N802" s="301">
        <f>M802</f>
        <v>335621.53156174516</v>
      </c>
      <c r="O802" s="301">
        <f>O$833/100+(O$835+O$836)/$C762</f>
        <v>304.47241379310344</v>
      </c>
    </row>
    <row r="803" spans="1:15" s="345" customFormat="1" ht="13.15" customHeight="1">
      <c r="A803" s="1036"/>
      <c r="B803" s="1037"/>
      <c r="C803" s="1036"/>
      <c r="D803" s="298" t="s">
        <v>35</v>
      </c>
      <c r="E803" s="301">
        <f>E$833/100+(E$835+E$836)/$C763</f>
        <v>10573.349667346942</v>
      </c>
      <c r="F803" s="301"/>
      <c r="G803" s="301">
        <f t="shared" si="253"/>
        <v>1601.1584881388453</v>
      </c>
      <c r="H803" s="301">
        <f t="shared" si="253"/>
        <v>165914.47346938774</v>
      </c>
      <c r="I803" s="301"/>
      <c r="J803" s="301">
        <f>J758</f>
        <v>41.181000000000004</v>
      </c>
      <c r="K803" s="301">
        <f>SUM(E803:J803)</f>
        <v>178130.16262487354</v>
      </c>
      <c r="L803" s="301">
        <f>K803*0.15</f>
        <v>26719.52439373103</v>
      </c>
      <c r="M803" s="315">
        <f>K803+L803</f>
        <v>204849.68701860457</v>
      </c>
      <c r="N803" s="301">
        <f>M803</f>
        <v>204849.68701860457</v>
      </c>
      <c r="O803" s="301">
        <f>O$833/100+(O$835+O$836)/$C763</f>
        <v>299.35023547880689</v>
      </c>
    </row>
    <row r="804" spans="1:15" s="345" customFormat="1" ht="13.15" customHeight="1">
      <c r="A804" s="1036"/>
      <c r="B804" s="1037"/>
      <c r="C804" s="1036"/>
      <c r="D804" s="298" t="s">
        <v>33</v>
      </c>
      <c r="E804" s="301">
        <f>E$833/100+(E$835+E$836)/$C764</f>
        <v>11479.596700000004</v>
      </c>
      <c r="F804" s="301"/>
      <c r="G804" s="301">
        <f t="shared" si="253"/>
        <v>2374.268850524476</v>
      </c>
      <c r="H804" s="301">
        <f t="shared" si="253"/>
        <v>736548.98181818181</v>
      </c>
      <c r="I804" s="301"/>
      <c r="J804" s="301">
        <f>J759</f>
        <v>50.307600000000008</v>
      </c>
      <c r="K804" s="301">
        <f>SUM(E804:J804)</f>
        <v>750453.15496870619</v>
      </c>
      <c r="L804" s="301">
        <f>K804*0.15</f>
        <v>112567.97324530593</v>
      </c>
      <c r="M804" s="315">
        <f>K804+L804</f>
        <v>863021.12821401213</v>
      </c>
      <c r="N804" s="301">
        <f>M804</f>
        <v>863021.12821401213</v>
      </c>
      <c r="O804" s="301">
        <f>O$833/100+(O$835+O$836)/$C764</f>
        <v>325.00769230769231</v>
      </c>
    </row>
    <row r="805" spans="1:15" s="345" customFormat="1" ht="13.15" customHeight="1">
      <c r="A805" s="1036"/>
      <c r="B805" s="1037"/>
      <c r="C805" s="1036"/>
      <c r="D805" s="298">
        <v>5</v>
      </c>
      <c r="E805" s="301">
        <f>E$833/100+(E$835+E$836)/$C765</f>
        <v>11067.156100000004</v>
      </c>
      <c r="F805" s="301"/>
      <c r="G805" s="301">
        <f t="shared" si="253"/>
        <v>2952.2695434263446</v>
      </c>
      <c r="H805" s="301">
        <f t="shared" si="253"/>
        <v>476848.44705882354</v>
      </c>
      <c r="I805" s="301"/>
      <c r="J805" s="301">
        <f>J760</f>
        <v>2.6712000000000002</v>
      </c>
      <c r="K805" s="301">
        <f>SUM(E805:J805)</f>
        <v>490870.54390224989</v>
      </c>
      <c r="L805" s="301">
        <f>K805*0.15</f>
        <v>73630.581585337481</v>
      </c>
      <c r="M805" s="315">
        <f>K805+L805</f>
        <v>564501.12548758741</v>
      </c>
      <c r="N805" s="301">
        <f>M805</f>
        <v>564501.12548758741</v>
      </c>
      <c r="O805" s="301">
        <f>O$833/100+(O$835+O$836)/$C765</f>
        <v>313.33076923076919</v>
      </c>
    </row>
    <row r="806" spans="1:15" s="345" customFormat="1">
      <c r="A806" s="298">
        <v>1</v>
      </c>
      <c r="B806" s="316" t="s">
        <v>190</v>
      </c>
      <c r="C806" s="333"/>
      <c r="D806" s="333"/>
      <c r="E806" s="301"/>
      <c r="F806" s="301"/>
      <c r="G806" s="301"/>
      <c r="H806" s="301"/>
      <c r="I806" s="301"/>
      <c r="J806" s="301"/>
      <c r="K806" s="301"/>
      <c r="L806" s="301"/>
      <c r="M806" s="302"/>
      <c r="N806" s="301"/>
      <c r="O806" s="301"/>
    </row>
    <row r="807" spans="1:15" s="345" customFormat="1">
      <c r="A807" s="1043">
        <v>1.1000000000000001</v>
      </c>
      <c r="B807" s="1038" t="str">
        <f>NhanCong!B$150</f>
        <v>Đối soát thực địa (công nhóm/mảnh)</v>
      </c>
      <c r="C807" s="1039" t="s">
        <v>317</v>
      </c>
      <c r="D807" s="319" t="s">
        <v>18</v>
      </c>
      <c r="E807" s="301">
        <f>NhanCong!U$150</f>
        <v>93182.493250000029</v>
      </c>
      <c r="F807" s="301"/>
      <c r="G807" s="320">
        <f>Dcu!P$200</f>
        <v>670.45576923076919</v>
      </c>
      <c r="H807" s="320">
        <f>VLieu!F$133</f>
        <v>4047000</v>
      </c>
      <c r="I807" s="320"/>
      <c r="J807" s="320"/>
      <c r="K807" s="320">
        <f t="shared" ref="K807:K821" si="254">SUM(E807:J807)</f>
        <v>4140852.9490192309</v>
      </c>
      <c r="L807" s="320">
        <f>K807*0.25</f>
        <v>1035213.2372548077</v>
      </c>
      <c r="M807" s="321">
        <f t="shared" ref="M807:M821" si="255">K807+L807</f>
        <v>5176066.1862740386</v>
      </c>
      <c r="N807" s="320"/>
      <c r="O807" s="320">
        <f>NhanCong!V$150</f>
        <v>2836.5192307692305</v>
      </c>
    </row>
    <row r="808" spans="1:15" s="345" customFormat="1">
      <c r="A808" s="1043"/>
      <c r="B808" s="1038"/>
      <c r="C808" s="1039"/>
      <c r="D808" s="319" t="s">
        <v>20</v>
      </c>
      <c r="E808" s="301">
        <f>NhanCong!U$151</f>
        <v>111882.92500000002</v>
      </c>
      <c r="F808" s="301"/>
      <c r="G808" s="320">
        <f>Dcu!P$201</f>
        <v>838.06971153846143</v>
      </c>
      <c r="H808" s="320">
        <f>VLieu!F$133</f>
        <v>4047000</v>
      </c>
      <c r="I808" s="320"/>
      <c r="J808" s="320"/>
      <c r="K808" s="320">
        <f t="shared" si="254"/>
        <v>4159720.9947115383</v>
      </c>
      <c r="L808" s="320">
        <f t="shared" ref="L808:L821" si="256">K808*0.25</f>
        <v>1039930.2486778846</v>
      </c>
      <c r="M808" s="321">
        <f t="shared" si="255"/>
        <v>5199651.243389423</v>
      </c>
      <c r="N808" s="320"/>
      <c r="O808" s="320">
        <f>NhanCong!V$151</f>
        <v>3405.7692307692305</v>
      </c>
    </row>
    <row r="809" spans="1:15" s="345" customFormat="1">
      <c r="A809" s="1043"/>
      <c r="B809" s="1038"/>
      <c r="C809" s="1039"/>
      <c r="D809" s="319" t="s">
        <v>35</v>
      </c>
      <c r="E809" s="301">
        <f>NhanCong!U$152</f>
        <v>134259.51000000004</v>
      </c>
      <c r="F809" s="301"/>
      <c r="G809" s="320">
        <f>Dcu!P$202</f>
        <v>1117.426282051282</v>
      </c>
      <c r="H809" s="320">
        <f>VLieu!F$133</f>
        <v>4047000</v>
      </c>
      <c r="I809" s="320"/>
      <c r="J809" s="320"/>
      <c r="K809" s="320">
        <f t="shared" si="254"/>
        <v>4182376.9362820513</v>
      </c>
      <c r="L809" s="320">
        <f t="shared" si="256"/>
        <v>1045594.2340705128</v>
      </c>
      <c r="M809" s="321">
        <f t="shared" si="255"/>
        <v>5227971.1703525642</v>
      </c>
      <c r="N809" s="320"/>
      <c r="O809" s="320">
        <f>NhanCong!V$152</f>
        <v>4086.9230769230776</v>
      </c>
    </row>
    <row r="810" spans="1:15" s="345" customFormat="1">
      <c r="A810" s="1043"/>
      <c r="B810" s="1038"/>
      <c r="C810" s="1039"/>
      <c r="D810" s="319" t="s">
        <v>33</v>
      </c>
      <c r="E810" s="301">
        <f>NhanCong!U$153</f>
        <v>161111.41200000004</v>
      </c>
      <c r="F810" s="301"/>
      <c r="G810" s="320">
        <f>Dcu!P$203</f>
        <v>1508.5254807692309</v>
      </c>
      <c r="H810" s="320">
        <f>VLieu!F$133</f>
        <v>4047000</v>
      </c>
      <c r="I810" s="320"/>
      <c r="J810" s="320"/>
      <c r="K810" s="320">
        <f t="shared" si="254"/>
        <v>4209619.9374807691</v>
      </c>
      <c r="L810" s="320">
        <f t="shared" si="256"/>
        <v>1052404.9843701923</v>
      </c>
      <c r="M810" s="321">
        <f t="shared" si="255"/>
        <v>5262024.9218509616</v>
      </c>
      <c r="N810" s="320"/>
      <c r="O810" s="320">
        <f>NhanCong!V$153</f>
        <v>4904.3076923076924</v>
      </c>
    </row>
    <row r="811" spans="1:15" s="345" customFormat="1">
      <c r="A811" s="1043"/>
      <c r="B811" s="1038"/>
      <c r="C811" s="1039"/>
      <c r="D811" s="319" t="s">
        <v>13</v>
      </c>
      <c r="E811" s="301">
        <f>NhanCong!U$154</f>
        <v>193317.71112500003</v>
      </c>
      <c r="F811" s="301"/>
      <c r="G811" s="320">
        <f>Dcu!P$204</f>
        <v>1955.4959935897434</v>
      </c>
      <c r="H811" s="320">
        <f>VLieu!F$133</f>
        <v>4047000</v>
      </c>
      <c r="I811" s="320"/>
      <c r="J811" s="320"/>
      <c r="K811" s="320">
        <f t="shared" si="254"/>
        <v>4242273.2071185894</v>
      </c>
      <c r="L811" s="320">
        <f t="shared" si="256"/>
        <v>1060568.3017796474</v>
      </c>
      <c r="M811" s="321">
        <f t="shared" si="255"/>
        <v>5302841.5088982368</v>
      </c>
      <c r="N811" s="320"/>
      <c r="O811" s="320">
        <f>NhanCong!V$154</f>
        <v>5884.6826923076924</v>
      </c>
    </row>
    <row r="812" spans="1:15" s="345" customFormat="1" ht="12.75" customHeight="1">
      <c r="A812" s="1043">
        <v>1.2</v>
      </c>
      <c r="B812" s="1038" t="str">
        <f>NhanCong!B$156</f>
        <v>Lưới đo vẽ (công nhóm/100 thửa có biến động cần chỉnh lý)</v>
      </c>
      <c r="C812" s="1040" t="s">
        <v>329</v>
      </c>
      <c r="D812" s="319" t="s">
        <v>18</v>
      </c>
      <c r="E812" s="301">
        <f>NhanCong!U$156</f>
        <v>665919.71875000023</v>
      </c>
      <c r="F812" s="301"/>
      <c r="G812" s="320">
        <f>Dcu!P$222</f>
        <v>10099.891025641025</v>
      </c>
      <c r="H812" s="320">
        <f>VLieu!N$135</f>
        <v>3480</v>
      </c>
      <c r="I812" s="320"/>
      <c r="J812" s="320">
        <f>TBi!N$326</f>
        <v>133.56</v>
      </c>
      <c r="K812" s="320">
        <f t="shared" si="254"/>
        <v>679633.16977564129</v>
      </c>
      <c r="L812" s="320">
        <f t="shared" si="256"/>
        <v>169908.29244391032</v>
      </c>
      <c r="M812" s="321">
        <f t="shared" si="255"/>
        <v>849541.46221955167</v>
      </c>
      <c r="N812" s="320"/>
      <c r="O812" s="320">
        <f>NhanCong!V$156</f>
        <v>18853.365384615387</v>
      </c>
    </row>
    <row r="813" spans="1:15" s="345" customFormat="1">
      <c r="A813" s="1043"/>
      <c r="B813" s="1038"/>
      <c r="C813" s="1039" t="s">
        <v>49</v>
      </c>
      <c r="D813" s="319" t="s">
        <v>20</v>
      </c>
      <c r="E813" s="301">
        <f>NhanCong!U$157</f>
        <v>902213.81250000023</v>
      </c>
      <c r="F813" s="301"/>
      <c r="G813" s="320">
        <f>Dcu!P$223</f>
        <v>12624.863782051283</v>
      </c>
      <c r="H813" s="320">
        <f>VLieu!N$135</f>
        <v>3480</v>
      </c>
      <c r="I813" s="320"/>
      <c r="J813" s="320">
        <f>TBi!O$326</f>
        <v>178.08</v>
      </c>
      <c r="K813" s="320">
        <f t="shared" si="254"/>
        <v>918496.75628205144</v>
      </c>
      <c r="L813" s="320">
        <f t="shared" si="256"/>
        <v>229624.18907051286</v>
      </c>
      <c r="M813" s="321">
        <f t="shared" si="255"/>
        <v>1148120.9453525643</v>
      </c>
      <c r="N813" s="320"/>
      <c r="O813" s="320">
        <f>NhanCong!V$157</f>
        <v>25543.269230769234</v>
      </c>
    </row>
    <row r="814" spans="1:15" s="345" customFormat="1">
      <c r="A814" s="1043"/>
      <c r="B814" s="1038"/>
      <c r="C814" s="1039"/>
      <c r="D814" s="319" t="s">
        <v>35</v>
      </c>
      <c r="E814" s="301">
        <f>NhanCong!U$158</f>
        <v>1117026.6250000005</v>
      </c>
      <c r="F814" s="301"/>
      <c r="G814" s="320">
        <f>Dcu!P$224</f>
        <v>16833.151709401711</v>
      </c>
      <c r="H814" s="320">
        <f>VLieu!N$135</f>
        <v>3480</v>
      </c>
      <c r="I814" s="320"/>
      <c r="J814" s="320">
        <f>TBi!P$326</f>
        <v>200.34</v>
      </c>
      <c r="K814" s="320">
        <f t="shared" si="254"/>
        <v>1137540.1167094023</v>
      </c>
      <c r="L814" s="320">
        <f t="shared" si="256"/>
        <v>284385.02917735057</v>
      </c>
      <c r="M814" s="321">
        <f t="shared" si="255"/>
        <v>1421925.1458867528</v>
      </c>
      <c r="N814" s="320"/>
      <c r="O814" s="320">
        <f>NhanCong!V$158</f>
        <v>31625</v>
      </c>
    </row>
    <row r="815" spans="1:15" s="345" customFormat="1">
      <c r="A815" s="1043"/>
      <c r="B815" s="1038"/>
      <c r="C815" s="1039"/>
      <c r="D815" s="319" t="s">
        <v>33</v>
      </c>
      <c r="E815" s="301">
        <f>NhanCong!U$159</f>
        <v>1396283.2812500002</v>
      </c>
      <c r="F815" s="301"/>
      <c r="G815" s="320">
        <f>Dcu!P$225</f>
        <v>22724.754807692312</v>
      </c>
      <c r="H815" s="320">
        <f>VLieu!N$135</f>
        <v>3480</v>
      </c>
      <c r="I815" s="320"/>
      <c r="J815" s="320">
        <f>TBi!Q$326</f>
        <v>222.60000000000002</v>
      </c>
      <c r="K815" s="320">
        <f t="shared" si="254"/>
        <v>1422710.6360576926</v>
      </c>
      <c r="L815" s="320">
        <f t="shared" si="256"/>
        <v>355677.65901442314</v>
      </c>
      <c r="M815" s="321">
        <f t="shared" si="255"/>
        <v>1778388.2950721157</v>
      </c>
      <c r="N815" s="320"/>
      <c r="O815" s="320">
        <f>NhanCong!V$159</f>
        <v>39531.25</v>
      </c>
    </row>
    <row r="816" spans="1:15" s="345" customFormat="1">
      <c r="A816" s="1043"/>
      <c r="B816" s="1038"/>
      <c r="C816" s="1039"/>
      <c r="D816" s="319" t="s">
        <v>13</v>
      </c>
      <c r="E816" s="301">
        <f>NhanCong!U$160</f>
        <v>1954796.5937500005</v>
      </c>
      <c r="F816" s="301"/>
      <c r="G816" s="320">
        <f>Dcu!P$226</f>
        <v>29458.015491452992</v>
      </c>
      <c r="H816" s="320">
        <f>VLieu!N$135</f>
        <v>3480</v>
      </c>
      <c r="I816" s="320"/>
      <c r="J816" s="320">
        <f>TBi!R$326</f>
        <v>267.12</v>
      </c>
      <c r="K816" s="320">
        <f t="shared" si="254"/>
        <v>1988001.7292414536</v>
      </c>
      <c r="L816" s="320">
        <f t="shared" si="256"/>
        <v>497000.43231036339</v>
      </c>
      <c r="M816" s="321">
        <f t="shared" si="255"/>
        <v>2485002.1615518169</v>
      </c>
      <c r="N816" s="320"/>
      <c r="O816" s="320">
        <f>NhanCong!V$160</f>
        <v>55343.75</v>
      </c>
    </row>
    <row r="817" spans="1:15" s="345" customFormat="1" ht="12.75" customHeight="1">
      <c r="A817" s="1043">
        <v>1.3</v>
      </c>
      <c r="B817" s="1038" t="str">
        <f>NhanCong!B$162</f>
        <v>Đo đạc ranh giới thửa đất và các đối tượng địa lý có liên quan (công nhóm/100 thửa có biến động cần chỉnh lý)</v>
      </c>
      <c r="C817" s="1040" t="s">
        <v>329</v>
      </c>
      <c r="D817" s="319" t="s">
        <v>18</v>
      </c>
      <c r="E817" s="301">
        <f>NhanCong!U$162</f>
        <v>18323532.906250004</v>
      </c>
      <c r="F817" s="301">
        <f>NhanCong!U$163</f>
        <v>1084261.5384615385</v>
      </c>
      <c r="G817" s="320">
        <f>Dcu!P$246</f>
        <v>83233.064102564094</v>
      </c>
      <c r="H817" s="320">
        <f>VLieu!N$145</f>
        <v>69600</v>
      </c>
      <c r="I817" s="320"/>
      <c r="J817" s="320">
        <f>TBi!N$361</f>
        <v>2404.0800000000004</v>
      </c>
      <c r="K817" s="320">
        <f t="shared" si="254"/>
        <v>19563031.588814106</v>
      </c>
      <c r="L817" s="320">
        <f t="shared" si="256"/>
        <v>4890757.8972035265</v>
      </c>
      <c r="M817" s="321">
        <f t="shared" si="255"/>
        <v>24453789.486017633</v>
      </c>
      <c r="N817" s="320"/>
      <c r="O817" s="320">
        <f>NhanCong!V$162</f>
        <v>518771.63461538462</v>
      </c>
    </row>
    <row r="818" spans="1:15" s="345" customFormat="1">
      <c r="A818" s="1043"/>
      <c r="B818" s="1038"/>
      <c r="C818" s="1039" t="s">
        <v>49</v>
      </c>
      <c r="D818" s="319" t="s">
        <v>20</v>
      </c>
      <c r="E818" s="301">
        <f>NhanCong!U$164</f>
        <v>21996832.000000007</v>
      </c>
      <c r="F818" s="301">
        <f>NhanCong!U$165</f>
        <v>1302569.230769231</v>
      </c>
      <c r="G818" s="320">
        <f>Dcu!P$247</f>
        <v>104041.33012820513</v>
      </c>
      <c r="H818" s="320">
        <f>VLieu!N$145</f>
        <v>69600</v>
      </c>
      <c r="I818" s="320"/>
      <c r="J818" s="320">
        <f>TBi!O$361</f>
        <v>3005.1000000000004</v>
      </c>
      <c r="K818" s="320">
        <f t="shared" si="254"/>
        <v>23476047.660897445</v>
      </c>
      <c r="L818" s="320">
        <f t="shared" si="256"/>
        <v>5869011.9152243612</v>
      </c>
      <c r="M818" s="321">
        <f t="shared" si="255"/>
        <v>29345059.576121807</v>
      </c>
      <c r="N818" s="320"/>
      <c r="O818" s="320">
        <f>NhanCong!V$164</f>
        <v>622769.23076923075</v>
      </c>
    </row>
    <row r="819" spans="1:15" s="345" customFormat="1">
      <c r="A819" s="1043"/>
      <c r="B819" s="1038"/>
      <c r="C819" s="1039"/>
      <c r="D819" s="319" t="s">
        <v>35</v>
      </c>
      <c r="E819" s="301">
        <f>NhanCong!U$166</f>
        <v>26379013.375000004</v>
      </c>
      <c r="F819" s="301">
        <f>NhanCong!U$167</f>
        <v>1562719.2307692308</v>
      </c>
      <c r="G819" s="320">
        <f>Dcu!P$248</f>
        <v>138721.7735042735</v>
      </c>
      <c r="H819" s="320">
        <f>VLieu!N$145</f>
        <v>69600</v>
      </c>
      <c r="I819" s="320"/>
      <c r="J819" s="320">
        <f>TBi!P$361</f>
        <v>3917.76</v>
      </c>
      <c r="K819" s="320">
        <f t="shared" si="254"/>
        <v>28153972.139273509</v>
      </c>
      <c r="L819" s="320">
        <f t="shared" si="256"/>
        <v>7038493.0348183773</v>
      </c>
      <c r="M819" s="321">
        <f t="shared" si="255"/>
        <v>35192465.17409189</v>
      </c>
      <c r="N819" s="320"/>
      <c r="O819" s="320">
        <f>NhanCong!V$166</f>
        <v>746836.5384615385</v>
      </c>
    </row>
    <row r="820" spans="1:15" s="345" customFormat="1">
      <c r="A820" s="1043"/>
      <c r="B820" s="1038"/>
      <c r="C820" s="1039"/>
      <c r="D820" s="319" t="s">
        <v>33</v>
      </c>
      <c r="E820" s="301">
        <f>NhanCong!U$168</f>
        <v>31663408.562500011</v>
      </c>
      <c r="F820" s="301">
        <f>NhanCong!U$169</f>
        <v>1875626.9230769232</v>
      </c>
      <c r="G820" s="320">
        <f>Dcu!P$249</f>
        <v>187274.39423076925</v>
      </c>
      <c r="H820" s="320">
        <f>VLieu!N$145</f>
        <v>69600</v>
      </c>
      <c r="I820" s="320"/>
      <c r="J820" s="320">
        <f>TBi!Q$361</f>
        <v>4808.1600000000008</v>
      </c>
      <c r="K820" s="320">
        <f t="shared" si="254"/>
        <v>33800718.0398077</v>
      </c>
      <c r="L820" s="320">
        <f t="shared" si="256"/>
        <v>8450179.5099519249</v>
      </c>
      <c r="M820" s="321">
        <f t="shared" si="255"/>
        <v>42250897.549759626</v>
      </c>
      <c r="N820" s="320"/>
      <c r="O820" s="320">
        <f>NhanCong!V$168</f>
        <v>896447.11538461549</v>
      </c>
    </row>
    <row r="821" spans="1:15" s="345" customFormat="1">
      <c r="A821" s="1043"/>
      <c r="B821" s="1038"/>
      <c r="C821" s="1039"/>
      <c r="D821" s="319" t="s">
        <v>13</v>
      </c>
      <c r="E821" s="301">
        <f>NhanCong!U$170</f>
        <v>38000386.531250015</v>
      </c>
      <c r="F821" s="301">
        <f>NhanCong!U$171</f>
        <v>2250388.4615384615</v>
      </c>
      <c r="G821" s="320">
        <f>Dcu!P$250</f>
        <v>242763.10363247863</v>
      </c>
      <c r="H821" s="320">
        <f>VLieu!N$145</f>
        <v>69600</v>
      </c>
      <c r="I821" s="320"/>
      <c r="J821" s="320">
        <f>TBi!R$361</f>
        <v>0</v>
      </c>
      <c r="K821" s="320">
        <f t="shared" si="254"/>
        <v>40563138.096420959</v>
      </c>
      <c r="L821" s="320">
        <f t="shared" si="256"/>
        <v>10140784.52410524</v>
      </c>
      <c r="M821" s="321">
        <f t="shared" si="255"/>
        <v>50703922.620526195</v>
      </c>
      <c r="N821" s="320"/>
      <c r="O821" s="320">
        <f>NhanCong!V$170</f>
        <v>1075858.173076923</v>
      </c>
    </row>
    <row r="822" spans="1:15" s="345" customFormat="1">
      <c r="A822" s="298">
        <v>2</v>
      </c>
      <c r="B822" s="316" t="s">
        <v>192</v>
      </c>
      <c r="C822" s="319"/>
      <c r="D822" s="319"/>
      <c r="E822" s="301"/>
      <c r="F822" s="301"/>
      <c r="G822" s="320"/>
      <c r="H822" s="320"/>
      <c r="I822" s="320"/>
      <c r="J822" s="320"/>
      <c r="K822" s="320"/>
      <c r="L822" s="320"/>
      <c r="M822" s="321"/>
      <c r="N822" s="320"/>
      <c r="O822" s="320"/>
    </row>
    <row r="823" spans="1:15" s="345" customFormat="1">
      <c r="A823" s="1043" t="s">
        <v>268</v>
      </c>
      <c r="B823" s="1038" t="str">
        <f>NhanCong!B$173</f>
        <v>Số hóa BĐĐC: Áp dụng theo mức quy định tại Điều 8, Chương I</v>
      </c>
      <c r="C823" s="1039" t="s">
        <v>317</v>
      </c>
      <c r="D823" s="319" t="s">
        <v>18</v>
      </c>
      <c r="E823" s="301">
        <f t="shared" ref="E823:H827" si="257">E484</f>
        <v>51726.925250000008</v>
      </c>
      <c r="F823" s="301">
        <f t="shared" si="257"/>
        <v>0</v>
      </c>
      <c r="G823" s="301">
        <f t="shared" si="257"/>
        <v>595.83065914529925</v>
      </c>
      <c r="H823" s="301">
        <f t="shared" si="257"/>
        <v>1101</v>
      </c>
      <c r="I823" s="301"/>
      <c r="J823" s="301">
        <f>J484</f>
        <v>1241.4402</v>
      </c>
      <c r="K823" s="320">
        <f>SUM(E823:J823)</f>
        <v>54665.196109145305</v>
      </c>
      <c r="L823" s="320">
        <f>K823*0.15</f>
        <v>8199.7794163717954</v>
      </c>
      <c r="M823" s="321">
        <f>K823+L823</f>
        <v>62864.975525517104</v>
      </c>
      <c r="N823" s="301">
        <f t="shared" ref="N823:O827" si="258">N484</f>
        <v>0</v>
      </c>
      <c r="O823" s="301">
        <f t="shared" si="258"/>
        <v>1464.4807692307691</v>
      </c>
    </row>
    <row r="824" spans="1:15" s="345" customFormat="1">
      <c r="A824" s="1043"/>
      <c r="B824" s="1038"/>
      <c r="C824" s="1039"/>
      <c r="D824" s="319" t="s">
        <v>20</v>
      </c>
      <c r="E824" s="301">
        <f t="shared" si="257"/>
        <v>58291.604800000008</v>
      </c>
      <c r="F824" s="301">
        <f t="shared" si="257"/>
        <v>0</v>
      </c>
      <c r="G824" s="301">
        <f t="shared" si="257"/>
        <v>682.06930717948728</v>
      </c>
      <c r="H824" s="301">
        <f t="shared" si="257"/>
        <v>1101</v>
      </c>
      <c r="I824" s="301"/>
      <c r="J824" s="301">
        <f>J485</f>
        <v>1540.1694</v>
      </c>
      <c r="K824" s="320">
        <f>SUM(E824:J824)</f>
        <v>61614.843507179496</v>
      </c>
      <c r="L824" s="320">
        <f>K824*0.15</f>
        <v>9242.2265260769236</v>
      </c>
      <c r="M824" s="321">
        <f>K824+L824</f>
        <v>70857.070033256416</v>
      </c>
      <c r="N824" s="301">
        <f t="shared" si="258"/>
        <v>0</v>
      </c>
      <c r="O824" s="301">
        <f t="shared" si="258"/>
        <v>1650.3384615384614</v>
      </c>
    </row>
    <row r="825" spans="1:15" s="345" customFormat="1">
      <c r="A825" s="1043"/>
      <c r="B825" s="1038"/>
      <c r="C825" s="1039"/>
      <c r="D825" s="319" t="s">
        <v>35</v>
      </c>
      <c r="E825" s="301">
        <f t="shared" si="257"/>
        <v>65818.645750000011</v>
      </c>
      <c r="F825" s="301">
        <f t="shared" si="257"/>
        <v>0</v>
      </c>
      <c r="G825" s="301">
        <f t="shared" si="257"/>
        <v>783.98770940170948</v>
      </c>
      <c r="H825" s="301">
        <f t="shared" si="257"/>
        <v>1101</v>
      </c>
      <c r="I825" s="301"/>
      <c r="J825" s="301">
        <f>J486</f>
        <v>2031.8928000000001</v>
      </c>
      <c r="K825" s="320">
        <f>SUM(E825:J825)</f>
        <v>69735.526259401726</v>
      </c>
      <c r="L825" s="320">
        <f>K825*0.15</f>
        <v>10460.328938910259</v>
      </c>
      <c r="M825" s="321">
        <f>K825+L825</f>
        <v>80195.855198311983</v>
      </c>
      <c r="N825" s="301">
        <f t="shared" si="258"/>
        <v>0</v>
      </c>
      <c r="O825" s="301">
        <f t="shared" si="258"/>
        <v>1863.4423076923078</v>
      </c>
    </row>
    <row r="826" spans="1:15" s="345" customFormat="1">
      <c r="A826" s="1043"/>
      <c r="B826" s="1038"/>
      <c r="C826" s="1039"/>
      <c r="D826" s="319" t="s">
        <v>33</v>
      </c>
      <c r="E826" s="301">
        <f t="shared" si="257"/>
        <v>74479.898350000018</v>
      </c>
      <c r="F826" s="301">
        <f t="shared" si="257"/>
        <v>0</v>
      </c>
      <c r="G826" s="301">
        <f t="shared" si="257"/>
        <v>901.58586581196585</v>
      </c>
      <c r="H826" s="301">
        <f t="shared" si="257"/>
        <v>1101</v>
      </c>
      <c r="I826" s="301"/>
      <c r="J826" s="301">
        <f>J487</f>
        <v>2353.5498000000002</v>
      </c>
      <c r="K826" s="320">
        <f>SUM(E826:J826)</f>
        <v>78836.03401581198</v>
      </c>
      <c r="L826" s="320">
        <f>K826*0.15</f>
        <v>11825.405102371797</v>
      </c>
      <c r="M826" s="321">
        <f>K826+L826</f>
        <v>90661.439118183771</v>
      </c>
      <c r="N826" s="301">
        <f t="shared" si="258"/>
        <v>0</v>
      </c>
      <c r="O826" s="301">
        <f t="shared" si="258"/>
        <v>2108.6576923076923</v>
      </c>
    </row>
    <row r="827" spans="1:15" s="345" customFormat="1">
      <c r="A827" s="1043"/>
      <c r="B827" s="1038"/>
      <c r="C827" s="1039"/>
      <c r="D827" s="319" t="s">
        <v>13</v>
      </c>
      <c r="E827" s="301">
        <f t="shared" si="257"/>
        <v>84447.212850000011</v>
      </c>
      <c r="F827" s="301">
        <f t="shared" si="257"/>
        <v>0</v>
      </c>
      <c r="G827" s="301">
        <f t="shared" si="257"/>
        <v>1034.8637764102566</v>
      </c>
      <c r="H827" s="301">
        <f t="shared" si="257"/>
        <v>1101</v>
      </c>
      <c r="I827" s="301"/>
      <c r="J827" s="301">
        <f>J488</f>
        <v>2912.7209999999995</v>
      </c>
      <c r="K827" s="320">
        <f>SUM(E827:J827)</f>
        <v>89495.797626410276</v>
      </c>
      <c r="L827" s="320">
        <f>K827*0.15</f>
        <v>13424.369643961541</v>
      </c>
      <c r="M827" s="321">
        <f>K827+L827</f>
        <v>102920.16727037182</v>
      </c>
      <c r="N827" s="301">
        <f t="shared" si="258"/>
        <v>0</v>
      </c>
      <c r="O827" s="301">
        <f t="shared" si="258"/>
        <v>2390.85</v>
      </c>
    </row>
    <row r="828" spans="1:15" s="345" customFormat="1" ht="12.75" customHeight="1">
      <c r="A828" s="1043" t="s">
        <v>34</v>
      </c>
      <c r="B828" s="1038" t="str">
        <f>NhanCong!B$174</f>
        <v>Lập bản vẽ BĐĐC (Công nhóm/100 thửa chỉnh lý)</v>
      </c>
      <c r="C828" s="1040" t="s">
        <v>329</v>
      </c>
      <c r="D828" s="319" t="s">
        <v>18</v>
      </c>
      <c r="E828" s="301">
        <f>NhanCong!U$174</f>
        <v>524972.4700000002</v>
      </c>
      <c r="F828" s="301"/>
      <c r="G828" s="320">
        <f>Dcu!P$271</f>
        <v>10870.739907692308</v>
      </c>
      <c r="H828" s="320">
        <f>VLieu!N$159</f>
        <v>626800</v>
      </c>
      <c r="I828" s="320"/>
      <c r="J828" s="320">
        <f>TBi!N$398</f>
        <v>38532.06</v>
      </c>
      <c r="K828" s="320">
        <f t="shared" ref="K828:K834" si="259">SUM(E828:J828)</f>
        <v>1201175.2699076924</v>
      </c>
      <c r="L828" s="320">
        <f t="shared" ref="L828:L836" si="260">K828*0.15</f>
        <v>180176.29048615386</v>
      </c>
      <c r="M828" s="321">
        <f t="shared" ref="M828:M834" si="261">K828+L828</f>
        <v>1381351.5603938464</v>
      </c>
      <c r="N828" s="320"/>
      <c r="O828" s="320">
        <f>NhanCong!V$174</f>
        <v>13039.23076923077</v>
      </c>
    </row>
    <row r="829" spans="1:15" s="345" customFormat="1">
      <c r="A829" s="1043"/>
      <c r="B829" s="1038"/>
      <c r="C829" s="1039"/>
      <c r="D829" s="319" t="s">
        <v>20</v>
      </c>
      <c r="E829" s="301">
        <f>NhanCong!U$175</f>
        <v>697351.49000000022</v>
      </c>
      <c r="F829" s="301"/>
      <c r="G829" s="320">
        <f>Dcu!P$272</f>
        <v>13588.424884615386</v>
      </c>
      <c r="H829" s="320">
        <f>VLieu!N$159</f>
        <v>626800</v>
      </c>
      <c r="I829" s="320"/>
      <c r="J829" s="320">
        <f>TBi!O$398</f>
        <v>40980.660000000003</v>
      </c>
      <c r="K829" s="320">
        <f t="shared" si="259"/>
        <v>1378720.5748846156</v>
      </c>
      <c r="L829" s="320">
        <f t="shared" si="260"/>
        <v>206808.08623269232</v>
      </c>
      <c r="M829" s="321">
        <f t="shared" si="261"/>
        <v>1585528.6611173078</v>
      </c>
      <c r="N829" s="320"/>
      <c r="O829" s="320">
        <f>NhanCong!V$175</f>
        <v>17320.76923076923</v>
      </c>
    </row>
    <row r="830" spans="1:15" s="345" customFormat="1">
      <c r="A830" s="1043"/>
      <c r="B830" s="1038"/>
      <c r="C830" s="1039"/>
      <c r="D830" s="319" t="s">
        <v>35</v>
      </c>
      <c r="E830" s="301">
        <f>NhanCong!U$176</f>
        <v>869730.51000000036</v>
      </c>
      <c r="F830" s="301"/>
      <c r="G830" s="320">
        <f>Dcu!P$273</f>
        <v>18117.899846153847</v>
      </c>
      <c r="H830" s="320">
        <f>VLieu!N$159</f>
        <v>626800</v>
      </c>
      <c r="I830" s="320"/>
      <c r="J830" s="320">
        <f>TBi!P$398</f>
        <v>43206.66</v>
      </c>
      <c r="K830" s="320">
        <f t="shared" si="259"/>
        <v>1557855.069846154</v>
      </c>
      <c r="L830" s="320">
        <f t="shared" si="260"/>
        <v>233678.26047692308</v>
      </c>
      <c r="M830" s="321">
        <f t="shared" si="261"/>
        <v>1791533.330323077</v>
      </c>
      <c r="N830" s="320"/>
      <c r="O830" s="320">
        <f>NhanCong!V$176</f>
        <v>21602.307692307695</v>
      </c>
    </row>
    <row r="831" spans="1:15" s="345" customFormat="1">
      <c r="A831" s="1043"/>
      <c r="B831" s="1038"/>
      <c r="C831" s="1039"/>
      <c r="D831" s="319" t="s">
        <v>33</v>
      </c>
      <c r="E831" s="301">
        <f>NhanCong!U$177</f>
        <v>1089121.9900000002</v>
      </c>
      <c r="F831" s="301"/>
      <c r="G831" s="320">
        <f>Dcu!P$274</f>
        <v>24459.164792307696</v>
      </c>
      <c r="H831" s="320">
        <f>VLieu!N$159</f>
        <v>626800</v>
      </c>
      <c r="I831" s="320"/>
      <c r="J831" s="320">
        <f>TBi!Q$398</f>
        <v>46122.719999999994</v>
      </c>
      <c r="K831" s="320">
        <f t="shared" si="259"/>
        <v>1786503.8747923078</v>
      </c>
      <c r="L831" s="320">
        <f t="shared" si="260"/>
        <v>267975.58121884614</v>
      </c>
      <c r="M831" s="321">
        <f t="shared" si="261"/>
        <v>2054479.456011154</v>
      </c>
      <c r="N831" s="320"/>
      <c r="O831" s="320">
        <f>NhanCong!V$177</f>
        <v>27051.538461538457</v>
      </c>
    </row>
    <row r="832" spans="1:15" s="345" customFormat="1">
      <c r="A832" s="1043"/>
      <c r="B832" s="1038"/>
      <c r="C832" s="1039"/>
      <c r="D832" s="319" t="s">
        <v>13</v>
      </c>
      <c r="E832" s="301">
        <f>NhanCong!U$178</f>
        <v>1520069.5400000005</v>
      </c>
      <c r="F832" s="301"/>
      <c r="G832" s="320">
        <f>Dcu!P$275</f>
        <v>31706.324730769233</v>
      </c>
      <c r="H832" s="320">
        <f>VLieu!N$159</f>
        <v>626800</v>
      </c>
      <c r="I832" s="320"/>
      <c r="J832" s="320">
        <f>TBi!R$398</f>
        <v>48816.18</v>
      </c>
      <c r="K832" s="320">
        <f t="shared" si="259"/>
        <v>2227392.0447307699</v>
      </c>
      <c r="L832" s="320">
        <f t="shared" si="260"/>
        <v>334108.80670961546</v>
      </c>
      <c r="M832" s="321">
        <f t="shared" si="261"/>
        <v>2561500.8514403854</v>
      </c>
      <c r="N832" s="320"/>
      <c r="O832" s="320">
        <f>NhanCong!V$178</f>
        <v>37755.38461538461</v>
      </c>
    </row>
    <row r="833" spans="1:15" s="345" customFormat="1" ht="26">
      <c r="A833" s="323" t="s">
        <v>246</v>
      </c>
      <c r="B833" s="324" t="str">
        <f>NhanCong!B$179</f>
        <v>Lập Phiếu đo đạc chỉnh lý thửa đất (Công/100 thửa chỉnh lý)</v>
      </c>
      <c r="C833" s="341" t="s">
        <v>329</v>
      </c>
      <c r="D833" s="341" t="s">
        <v>15</v>
      </c>
      <c r="E833" s="342">
        <f>NhanCong!U$179</f>
        <v>1031101.5000000002</v>
      </c>
      <c r="F833" s="342"/>
      <c r="G833" s="343">
        <f>Dcu!P$270</f>
        <v>18117.899846153847</v>
      </c>
      <c r="H833" s="320">
        <f>VLieu!N$159</f>
        <v>626800</v>
      </c>
      <c r="I833" s="343"/>
      <c r="J833" s="343"/>
      <c r="K833" s="343">
        <f t="shared" si="259"/>
        <v>1676019.399846154</v>
      </c>
      <c r="L833" s="320">
        <f t="shared" si="260"/>
        <v>251402.90997692308</v>
      </c>
      <c r="M833" s="344">
        <f t="shared" si="261"/>
        <v>1927422.3098230772</v>
      </c>
      <c r="N833" s="343"/>
      <c r="O833" s="343">
        <f>NhanCong!V$179</f>
        <v>29192.307692307691</v>
      </c>
    </row>
    <row r="834" spans="1:15" s="345" customFormat="1" ht="26">
      <c r="A834" s="323" t="s">
        <v>271</v>
      </c>
      <c r="B834" s="324" t="str">
        <f>NhanCong!B$180</f>
        <v>Bổ sung sổ mục kê (công nhóm/100 thửa chỉnh lý)</v>
      </c>
      <c r="C834" s="341" t="s">
        <v>329</v>
      </c>
      <c r="D834" s="341" t="s">
        <v>15</v>
      </c>
      <c r="E834" s="342">
        <f>NhanCong!U$180</f>
        <v>893621.30000000016</v>
      </c>
      <c r="F834" s="342"/>
      <c r="G834" s="343">
        <f>Dcu!P$290</f>
        <v>13800.392222222223</v>
      </c>
      <c r="H834" s="343">
        <f>VLieu!J$170</f>
        <v>120500</v>
      </c>
      <c r="I834" s="343"/>
      <c r="J834" s="343">
        <f>TBi!N$414</f>
        <v>27379.800000000003</v>
      </c>
      <c r="K834" s="343">
        <f t="shared" si="259"/>
        <v>1055301.4922222223</v>
      </c>
      <c r="L834" s="320">
        <f t="shared" si="260"/>
        <v>158295.22383333332</v>
      </c>
      <c r="M834" s="344">
        <f t="shared" si="261"/>
        <v>1213596.7160555555</v>
      </c>
      <c r="N834" s="343"/>
      <c r="O834" s="343">
        <f>NhanCong!V$180</f>
        <v>25300</v>
      </c>
    </row>
    <row r="835" spans="1:15" s="345" customFormat="1" ht="26">
      <c r="A835" s="323" t="s">
        <v>365</v>
      </c>
      <c r="B835" s="324" t="str">
        <f>NhanCong!B$181</f>
        <v>Biên tập bản đồ và in (công nhóm/mảnh)</v>
      </c>
      <c r="C835" s="341" t="s">
        <v>317</v>
      </c>
      <c r="D835" s="341" t="s">
        <v>15</v>
      </c>
      <c r="E835" s="342">
        <f>NhanCong!U$181</f>
        <v>2646.4938500000007</v>
      </c>
      <c r="F835" s="342"/>
      <c r="G835" s="343">
        <f>Dcu!P$304</f>
        <v>94.541333333333355</v>
      </c>
      <c r="H835" s="343">
        <f>VLieu!N$181</f>
        <v>1042.0999999999999</v>
      </c>
      <c r="I835" s="343"/>
      <c r="J835" s="343">
        <f>TBi!N$437</f>
        <v>84.587999999999994</v>
      </c>
      <c r="K835" s="343">
        <f>SUM(E835:J835)</f>
        <v>3867.7231833333344</v>
      </c>
      <c r="L835" s="320">
        <f t="shared" si="260"/>
        <v>580.15847750000012</v>
      </c>
      <c r="M835" s="344">
        <f>K835+L835</f>
        <v>4447.8816608333345</v>
      </c>
      <c r="N835" s="343"/>
      <c r="O835" s="343">
        <f>NhanCong!V$181</f>
        <v>74.926923076923075</v>
      </c>
    </row>
    <row r="836" spans="1:15" s="345" customFormat="1" ht="26">
      <c r="A836" s="323" t="s">
        <v>366</v>
      </c>
      <c r="B836" s="324" t="str">
        <f>NhanCong!B$182</f>
        <v>Xác nhận hồ sơ các cấp (công nhóm/mảnh)</v>
      </c>
      <c r="C836" s="341" t="s">
        <v>317</v>
      </c>
      <c r="D836" s="341" t="s">
        <v>15</v>
      </c>
      <c r="E836" s="342">
        <f>NhanCong!U$182</f>
        <v>3780.7055000000009</v>
      </c>
      <c r="F836" s="342"/>
      <c r="G836" s="343">
        <f>Dcu!P$304</f>
        <v>94.541333333333355</v>
      </c>
      <c r="H836" s="343">
        <f>VLieu!N$181</f>
        <v>1042.0999999999999</v>
      </c>
      <c r="I836" s="343"/>
      <c r="J836" s="343">
        <f>TBi!N$437</f>
        <v>84.587999999999994</v>
      </c>
      <c r="K836" s="343">
        <f>SUM(E836:J836)</f>
        <v>5001.9348333333346</v>
      </c>
      <c r="L836" s="320">
        <f t="shared" si="260"/>
        <v>750.29022500000019</v>
      </c>
      <c r="M836" s="344">
        <f>K836+L836</f>
        <v>5752.2250583333353</v>
      </c>
      <c r="N836" s="343"/>
      <c r="O836" s="343">
        <f>NhanCong!V$182</f>
        <v>107.03846153846155</v>
      </c>
    </row>
    <row r="837" spans="1:15" s="345" customFormat="1" ht="26">
      <c r="A837" s="323" t="s">
        <v>367</v>
      </c>
      <c r="B837" s="324" t="str">
        <f>NhanCong!B$183</f>
        <v>Giao nộp sản phẩm (công nhóm/mảnh)</v>
      </c>
      <c r="C837" s="341" t="s">
        <v>317</v>
      </c>
      <c r="D837" s="341" t="s">
        <v>15</v>
      </c>
      <c r="E837" s="342">
        <f>NhanCong!U$183</f>
        <v>8729.9927000000007</v>
      </c>
      <c r="F837" s="342"/>
      <c r="G837" s="343">
        <f>Dcu!P$304</f>
        <v>94.541333333333355</v>
      </c>
      <c r="H837" s="343">
        <f>VLieu!N$181</f>
        <v>1042.0999999999999</v>
      </c>
      <c r="I837" s="343"/>
      <c r="J837" s="343">
        <f>TBi!N$437</f>
        <v>84.587999999999994</v>
      </c>
      <c r="K837" s="343">
        <f>SUM(E837:J837)</f>
        <v>9951.2220333333335</v>
      </c>
      <c r="L837" s="320">
        <f>K837*0.15</f>
        <v>1492.683305</v>
      </c>
      <c r="M837" s="344">
        <f>K837+L837</f>
        <v>11443.905338333334</v>
      </c>
      <c r="N837" s="343"/>
      <c r="O837" s="343">
        <f>NhanCong!V$183</f>
        <v>247.16153846153847</v>
      </c>
    </row>
    <row r="838" spans="1:15" s="345" customFormat="1">
      <c r="A838" s="298" t="s">
        <v>30</v>
      </c>
      <c r="B838" s="316" t="s">
        <v>206</v>
      </c>
      <c r="C838" s="337" t="s">
        <v>349</v>
      </c>
      <c r="D838" s="333"/>
      <c r="E838" s="301"/>
      <c r="F838" s="301"/>
      <c r="G838" s="301"/>
      <c r="H838" s="301"/>
      <c r="I838" s="301"/>
      <c r="J838" s="301"/>
      <c r="K838" s="301"/>
      <c r="L838" s="301"/>
      <c r="M838" s="302">
        <v>100</v>
      </c>
      <c r="N838" s="301" t="s">
        <v>21</v>
      </c>
      <c r="O838" s="301"/>
    </row>
    <row r="839" spans="1:15" s="345" customFormat="1" ht="13.15" customHeight="1">
      <c r="A839" s="1036"/>
      <c r="B839" s="1035" t="s">
        <v>190</v>
      </c>
      <c r="C839" s="298">
        <f>HeSoKK!B34</f>
        <v>1.1000000000000001</v>
      </c>
      <c r="D839" s="298">
        <v>1</v>
      </c>
      <c r="E839" s="301">
        <f>E882/C839+(E886+E890)/100</f>
        <v>292933.96722222224</v>
      </c>
      <c r="F839" s="301">
        <f>F882/C839+(F886+F890)/100</f>
        <v>15208.76923076923</v>
      </c>
      <c r="G839" s="301">
        <f>G882/C839+(G886+G890)/100</f>
        <v>1618.508783022533</v>
      </c>
      <c r="H839" s="301">
        <f>H882/C839+(H886+H890)/100</f>
        <v>3679969.6015909086</v>
      </c>
      <c r="I839" s="301"/>
      <c r="J839" s="301">
        <f>J882/C839+(J886+J890)/100</f>
        <v>36.061199999999999</v>
      </c>
      <c r="K839" s="301">
        <f t="shared" ref="K839:K846" si="262">SUM(E839:J839)</f>
        <v>3989766.9080269225</v>
      </c>
      <c r="L839" s="301">
        <f>K839*0.25</f>
        <v>997441.72700673062</v>
      </c>
      <c r="M839" s="315">
        <f t="shared" ref="M839:M846" si="263">K839+L839</f>
        <v>4987208.6350336531</v>
      </c>
      <c r="N839" s="301">
        <f>M839+M843</f>
        <v>5052858.9709994346</v>
      </c>
      <c r="O839" s="301">
        <f>O882/C839+(O886+O890)/100</f>
        <v>8333.5683760683751</v>
      </c>
    </row>
    <row r="840" spans="1:15" s="345" customFormat="1" ht="13.15" customHeight="1">
      <c r="A840" s="1036"/>
      <c r="B840" s="1035"/>
      <c r="C840" s="298">
        <f>HeSoKK!D34</f>
        <v>3</v>
      </c>
      <c r="D840" s="298">
        <v>2</v>
      </c>
      <c r="E840" s="301">
        <f>E883/C840+(E887+E891)/100</f>
        <v>336306.78876157419</v>
      </c>
      <c r="F840" s="301">
        <f>F883/C840+(F887+F891)/100</f>
        <v>18246.884615384613</v>
      </c>
      <c r="G840" s="301">
        <f>G883/C840+(G887+G891)/100</f>
        <v>1915.9082042378916</v>
      </c>
      <c r="H840" s="301">
        <f>H883/C840+(H887+H891)/100</f>
        <v>1349878.6924999999</v>
      </c>
      <c r="I840" s="301"/>
      <c r="J840" s="301">
        <f>J883/C840+(J887+J891)/100</f>
        <v>41.180999999999997</v>
      </c>
      <c r="K840" s="301">
        <f t="shared" si="262"/>
        <v>1706389.4550811967</v>
      </c>
      <c r="L840" s="301">
        <f>K840*0.25</f>
        <v>426597.36377029918</v>
      </c>
      <c r="M840" s="315">
        <f t="shared" si="263"/>
        <v>2132986.8188514961</v>
      </c>
      <c r="N840" s="301">
        <f>M840+M844</f>
        <v>2192585.2606293289</v>
      </c>
      <c r="O840" s="301">
        <f>O883/C840+(O887+O891)/100</f>
        <v>9539.0820868945866</v>
      </c>
    </row>
    <row r="841" spans="1:15" s="345" customFormat="1" ht="13.15" customHeight="1">
      <c r="A841" s="1036"/>
      <c r="B841" s="1035"/>
      <c r="C841" s="298">
        <f>HeSoKK!F34</f>
        <v>6</v>
      </c>
      <c r="D841" s="298">
        <v>3</v>
      </c>
      <c r="E841" s="301">
        <f>E884/C841+(E888+E892)/100</f>
        <v>401302.21350694459</v>
      </c>
      <c r="F841" s="301">
        <f>F884/C841+(F888+F892)/100</f>
        <v>21885.346153846156</v>
      </c>
      <c r="G841" s="301">
        <f>G884/C841+(G888+G892)/100</f>
        <v>2513.1581137226972</v>
      </c>
      <c r="H841" s="301">
        <f>H884/C841+(H888+H892)/100</f>
        <v>675378.6925</v>
      </c>
      <c r="I841" s="301"/>
      <c r="J841" s="301">
        <f>J884/C841+(J888+J892)/100</f>
        <v>55.204799999999999</v>
      </c>
      <c r="K841" s="301">
        <f t="shared" si="262"/>
        <v>1101134.6150745135</v>
      </c>
      <c r="L841" s="301">
        <f>K841*0.25</f>
        <v>275283.65376862837</v>
      </c>
      <c r="M841" s="315">
        <f t="shared" si="263"/>
        <v>1376418.2688431419</v>
      </c>
      <c r="N841" s="301">
        <f>M841+M845</f>
        <v>1438551.4619868842</v>
      </c>
      <c r="O841" s="301">
        <f>O884/C841+(O888+O892)/100</f>
        <v>11372.160790598291</v>
      </c>
    </row>
    <row r="842" spans="1:15" s="345" customFormat="1" ht="13.15" customHeight="1">
      <c r="A842" s="1036"/>
      <c r="B842" s="1035"/>
      <c r="C842" s="298">
        <f>HeSoKK!H34</f>
        <v>8.5</v>
      </c>
      <c r="D842" s="298">
        <v>4</v>
      </c>
      <c r="E842" s="301">
        <f>E885/C842+(E889+E893)/100</f>
        <v>477015.06337132357</v>
      </c>
      <c r="F842" s="301">
        <f>F885/C842+(F889+F893)/100</f>
        <v>26269.692307692309</v>
      </c>
      <c r="G842" s="301">
        <f>G885/C842+(G889+G893)/100</f>
        <v>2751.0842855496908</v>
      </c>
      <c r="H842" s="301">
        <f>H885/C842+(H889+H893)/100</f>
        <v>476996.33955882356</v>
      </c>
      <c r="I842" s="301"/>
      <c r="J842" s="301">
        <f>J885/C842+(J889+J893)/100</f>
        <v>60.324600000000004</v>
      </c>
      <c r="K842" s="301">
        <f t="shared" si="262"/>
        <v>983092.50412338914</v>
      </c>
      <c r="L842" s="301">
        <f>K842*0.25</f>
        <v>245773.12603084728</v>
      </c>
      <c r="M842" s="315">
        <f t="shared" si="263"/>
        <v>1228865.6301542365</v>
      </c>
      <c r="N842" s="301">
        <f>M842+M846</f>
        <v>1292378.1688707042</v>
      </c>
      <c r="O842" s="301">
        <f>O885/C842+(O889+O893)/100</f>
        <v>13514.106617647058</v>
      </c>
    </row>
    <row r="843" spans="1:15" s="345" customFormat="1">
      <c r="A843" s="1036"/>
      <c r="B843" s="1035" t="s">
        <v>192</v>
      </c>
      <c r="C843" s="298">
        <f>C839</f>
        <v>1.1000000000000001</v>
      </c>
      <c r="D843" s="298">
        <v>1</v>
      </c>
      <c r="E843" s="301">
        <f>(E895+E905+E906+E907)/C843+(E899+E903+E904)/100</f>
        <v>41343.671722222229</v>
      </c>
      <c r="F843" s="301">
        <f>(F895+F905+F906+F907)/C843+(F899+F903+F904)/100</f>
        <v>0</v>
      </c>
      <c r="G843" s="301">
        <f>(G895+G905+G906+G907)/C843+(G899+G903+G904)/100</f>
        <v>655.6468891295865</v>
      </c>
      <c r="H843" s="301">
        <f>(H895+H905+H906+H907)/C843+(H899+H903+H904)/100</f>
        <v>14107.075757575758</v>
      </c>
      <c r="I843" s="301"/>
      <c r="J843" s="301">
        <f>(J895+J905+J906+J907)/C843+(J899+J903+J904)/100</f>
        <v>980.85429696969686</v>
      </c>
      <c r="K843" s="301">
        <f t="shared" si="262"/>
        <v>57087.24866589727</v>
      </c>
      <c r="L843" s="301">
        <f>K843*0.15</f>
        <v>8563.0872998845898</v>
      </c>
      <c r="M843" s="315">
        <f t="shared" si="263"/>
        <v>65650.335965781866</v>
      </c>
      <c r="N843" s="301"/>
      <c r="O843" s="301">
        <f>(O895+O905+O906+O907)/C843+(O899+O903+O904)/100</f>
        <v>1132.4059829059829</v>
      </c>
    </row>
    <row r="844" spans="1:15" s="345" customFormat="1">
      <c r="A844" s="1036"/>
      <c r="B844" s="1035"/>
      <c r="C844" s="298">
        <f>C840</f>
        <v>3</v>
      </c>
      <c r="D844" s="298">
        <v>2</v>
      </c>
      <c r="E844" s="301">
        <f>(E896+E905+E906+E907)/C844+(E900+E903+E904)/100</f>
        <v>36463.436187037049</v>
      </c>
      <c r="F844" s="301">
        <f>(F896+F905+F906+F907)/C844+(F900+F903+F904)/100</f>
        <v>0</v>
      </c>
      <c r="G844" s="301">
        <f>(G896+G905+G906+G907)/C844+(G900+G903+G904)/100</f>
        <v>611.79414924264006</v>
      </c>
      <c r="H844" s="301">
        <f>(H896+H905+H906+H907)/C844+(H900+H903+H904)/100</f>
        <v>13875.227777777778</v>
      </c>
      <c r="I844" s="301"/>
      <c r="J844" s="301">
        <f>(J896+J905+J906+J907)/C844+(J900+J903+J904)/100</f>
        <v>874.27386666666655</v>
      </c>
      <c r="K844" s="301">
        <f t="shared" si="262"/>
        <v>51824.731980724137</v>
      </c>
      <c r="L844" s="301">
        <f>K844*0.15</f>
        <v>7773.7097971086205</v>
      </c>
      <c r="M844" s="315">
        <f t="shared" si="263"/>
        <v>59598.441777832755</v>
      </c>
      <c r="N844" s="301"/>
      <c r="O844" s="301">
        <f>(O896+O905+O906+O907)/C844+(O900+O903+O904)/100</f>
        <v>988.2497150997151</v>
      </c>
    </row>
    <row r="845" spans="1:15" s="345" customFormat="1">
      <c r="A845" s="1036"/>
      <c r="B845" s="1035"/>
      <c r="C845" s="298">
        <f>C841</f>
        <v>6</v>
      </c>
      <c r="D845" s="298">
        <v>3</v>
      </c>
      <c r="E845" s="301">
        <f>(E897+E905+E906+E907)/C845+(E901+E903+E904)/100</f>
        <v>38688.3650388889</v>
      </c>
      <c r="F845" s="301">
        <f>(F897+F905+F906+F907)/C845+(F901+F903+F904)/100</f>
        <v>0</v>
      </c>
      <c r="G845" s="301">
        <f>(G897+G905+G906+G907)/C845+(G901+G903+G904)/100</f>
        <v>647.6321199208611</v>
      </c>
      <c r="H845" s="301">
        <f>(H897+H905+H906+H907)/C845+(H901+H903+H904)/100</f>
        <v>13808.113888888889</v>
      </c>
      <c r="I845" s="301"/>
      <c r="J845" s="301">
        <f>(J897+J905+J906+J907)/C845+(J901+J903+J904)/100</f>
        <v>884.75255555555555</v>
      </c>
      <c r="K845" s="301">
        <f t="shared" si="262"/>
        <v>54028.863603254205</v>
      </c>
      <c r="L845" s="301">
        <f>K845*0.15</f>
        <v>8104.3295404881301</v>
      </c>
      <c r="M845" s="315">
        <f t="shared" si="263"/>
        <v>62133.193143742334</v>
      </c>
      <c r="N845" s="301"/>
      <c r="O845" s="301">
        <f>(O897+O905+O906+O907)/C845+(O901+O903+O904)/100</f>
        <v>1036.5431623931622</v>
      </c>
    </row>
    <row r="846" spans="1:15" s="345" customFormat="1">
      <c r="A846" s="1036"/>
      <c r="B846" s="1035"/>
      <c r="C846" s="298">
        <f>C842</f>
        <v>8.5</v>
      </c>
      <c r="D846" s="298">
        <v>4</v>
      </c>
      <c r="E846" s="301">
        <f>(E898+E905+E906+E907)/C846+(E902+E903+E904)/100</f>
        <v>39879.082502614394</v>
      </c>
      <c r="F846" s="301">
        <f>(F898+F905+F906+F907)/C846+(F902+F903+F904)/100</f>
        <v>0</v>
      </c>
      <c r="G846" s="301">
        <f>(G898+G905+G906+G907)/C846+(G902+G903+G904)/100</f>
        <v>665.19405697396803</v>
      </c>
      <c r="H846" s="301">
        <f>(H898+H905+H906+H907)/C846+(H902+H903+H904)/100</f>
        <v>13788.374509803922</v>
      </c>
      <c r="I846" s="301"/>
      <c r="J846" s="301">
        <f>(J898+J905+J906+J907)/C846+(J902+J903+J904)/100</f>
        <v>895.64346666666665</v>
      </c>
      <c r="K846" s="301">
        <f t="shared" si="262"/>
        <v>55228.294536058951</v>
      </c>
      <c r="L846" s="301">
        <f>K846*0.15</f>
        <v>8284.244180408843</v>
      </c>
      <c r="M846" s="315">
        <f t="shared" si="263"/>
        <v>63512.538716467796</v>
      </c>
      <c r="N846" s="301"/>
      <c r="O846" s="301">
        <f>(O898+O905+O906+O907)/C846+(O902+O903+O904)/100</f>
        <v>1064.2663147310204</v>
      </c>
    </row>
    <row r="847" spans="1:15" s="345" customFormat="1" ht="13.5">
      <c r="A847" s="298"/>
      <c r="B847" s="340" t="s">
        <v>332</v>
      </c>
      <c r="C847" s="298"/>
      <c r="D847" s="298"/>
      <c r="E847" s="301"/>
      <c r="F847" s="301"/>
      <c r="G847" s="301"/>
      <c r="H847" s="301"/>
      <c r="I847" s="301"/>
      <c r="J847" s="301"/>
      <c r="K847" s="301"/>
      <c r="L847" s="301"/>
      <c r="M847" s="315"/>
      <c r="N847" s="301"/>
      <c r="O847" s="301"/>
    </row>
    <row r="848" spans="1:15" s="345" customFormat="1" ht="13.5">
      <c r="A848" s="298" t="s">
        <v>494</v>
      </c>
      <c r="B848" s="340" t="s">
        <v>333</v>
      </c>
      <c r="C848" s="298"/>
      <c r="D848" s="298"/>
      <c r="E848" s="301"/>
      <c r="F848" s="301"/>
      <c r="G848" s="301"/>
      <c r="H848" s="301"/>
      <c r="I848" s="301"/>
      <c r="J848" s="301"/>
      <c r="K848" s="301"/>
      <c r="L848" s="301"/>
      <c r="M848" s="315"/>
      <c r="N848" s="301"/>
      <c r="O848" s="301"/>
    </row>
    <row r="849" spans="1:15" s="345" customFormat="1" ht="13.15" customHeight="1">
      <c r="A849" s="1036"/>
      <c r="B849" s="1035" t="s">
        <v>330</v>
      </c>
      <c r="C849" s="1036" t="s">
        <v>49</v>
      </c>
      <c r="D849" s="298">
        <v>1</v>
      </c>
      <c r="E849" s="301">
        <f t="shared" ref="E849:H852" si="264">E839-E886/100</f>
        <v>275534.12940972223</v>
      </c>
      <c r="F849" s="301">
        <f t="shared" si="264"/>
        <v>15208.76923076923</v>
      </c>
      <c r="G849" s="301">
        <f t="shared" si="264"/>
        <v>1377.4708984071483</v>
      </c>
      <c r="H849" s="301">
        <f t="shared" si="264"/>
        <v>3679927.7590909088</v>
      </c>
      <c r="I849" s="301"/>
      <c r="J849" s="301">
        <f>J839-J886/100</f>
        <v>33.39</v>
      </c>
      <c r="K849" s="301">
        <f t="shared" ref="K849:K856" si="265">SUM(E849:J849)</f>
        <v>3972081.5186298075</v>
      </c>
      <c r="L849" s="301">
        <f>K849*0.25</f>
        <v>993020.37965745188</v>
      </c>
      <c r="M849" s="315">
        <f t="shared" ref="M849:M856" si="266">K849+L849</f>
        <v>4965101.898287259</v>
      </c>
      <c r="N849" s="301">
        <f>M849+M853</f>
        <v>5030752.2342530405</v>
      </c>
      <c r="O849" s="301">
        <f>O839-O886/100</f>
        <v>7840.9481837606827</v>
      </c>
    </row>
    <row r="850" spans="1:15" s="345" customFormat="1" ht="13.15" customHeight="1">
      <c r="A850" s="1036"/>
      <c r="B850" s="1035"/>
      <c r="C850" s="1036"/>
      <c r="D850" s="298">
        <v>2</v>
      </c>
      <c r="E850" s="301">
        <f t="shared" si="264"/>
        <v>316329.1971990742</v>
      </c>
      <c r="F850" s="301">
        <f t="shared" si="264"/>
        <v>18246.884615384613</v>
      </c>
      <c r="G850" s="301">
        <f t="shared" si="264"/>
        <v>1614.6108484686608</v>
      </c>
      <c r="H850" s="301">
        <f t="shared" si="264"/>
        <v>1349836.8499999999</v>
      </c>
      <c r="I850" s="301"/>
      <c r="J850" s="301">
        <f>J840-J887/100</f>
        <v>37.841999999999999</v>
      </c>
      <c r="K850" s="301">
        <f t="shared" si="265"/>
        <v>1686065.3846629274</v>
      </c>
      <c r="L850" s="301">
        <f>K850*0.25</f>
        <v>421516.34616573184</v>
      </c>
      <c r="M850" s="315">
        <f t="shared" si="266"/>
        <v>2107581.7308286591</v>
      </c>
      <c r="N850" s="301">
        <f>M850+M854</f>
        <v>2167180.1726064919</v>
      </c>
      <c r="O850" s="301">
        <f>O840-O887/100</f>
        <v>8973.4811253561256</v>
      </c>
    </row>
    <row r="851" spans="1:15" s="345" customFormat="1" ht="13.15" customHeight="1">
      <c r="A851" s="1036"/>
      <c r="B851" s="1035"/>
      <c r="C851" s="1036"/>
      <c r="D851" s="298">
        <v>3</v>
      </c>
      <c r="E851" s="301">
        <f t="shared" si="264"/>
        <v>374665.42475694459</v>
      </c>
      <c r="F851" s="301">
        <f t="shared" si="264"/>
        <v>21885.346153846156</v>
      </c>
      <c r="G851" s="301">
        <f t="shared" si="264"/>
        <v>2111.4283060303896</v>
      </c>
      <c r="H851" s="301">
        <f t="shared" si="264"/>
        <v>675336.85</v>
      </c>
      <c r="I851" s="301"/>
      <c r="J851" s="301">
        <f>J841-J888/100</f>
        <v>51.198</v>
      </c>
      <c r="K851" s="301">
        <f t="shared" si="265"/>
        <v>1074050.2472168212</v>
      </c>
      <c r="L851" s="301">
        <f>K851*0.25</f>
        <v>268512.5618042053</v>
      </c>
      <c r="M851" s="315">
        <f t="shared" si="266"/>
        <v>1342562.8090210264</v>
      </c>
      <c r="N851" s="301">
        <f>M851+M855</f>
        <v>1404696.0021647688</v>
      </c>
      <c r="O851" s="301">
        <f>O841-O888/100</f>
        <v>10618.026175213676</v>
      </c>
    </row>
    <row r="852" spans="1:15" s="345" customFormat="1" ht="13.15" customHeight="1">
      <c r="A852" s="1036"/>
      <c r="B852" s="1035"/>
      <c r="C852" s="1036"/>
      <c r="D852" s="298">
        <v>4</v>
      </c>
      <c r="E852" s="301">
        <f t="shared" si="264"/>
        <v>447800.52087132353</v>
      </c>
      <c r="F852" s="301">
        <f t="shared" si="264"/>
        <v>26269.692307692309</v>
      </c>
      <c r="G852" s="301">
        <f t="shared" si="264"/>
        <v>2309.1814970881524</v>
      </c>
      <c r="H852" s="301">
        <f t="shared" si="264"/>
        <v>476954.49705882353</v>
      </c>
      <c r="I852" s="301"/>
      <c r="J852" s="301">
        <f>J842-J889/100</f>
        <v>55.650000000000006</v>
      </c>
      <c r="K852" s="301">
        <f t="shared" si="265"/>
        <v>953389.54173492757</v>
      </c>
      <c r="L852" s="301">
        <f>K852*0.25</f>
        <v>238347.38543373189</v>
      </c>
      <c r="M852" s="315">
        <f t="shared" si="266"/>
        <v>1191736.9271686594</v>
      </c>
      <c r="N852" s="301">
        <f>M852+M856</f>
        <v>1255249.4658851272</v>
      </c>
      <c r="O852" s="301">
        <f>O842-O889/100</f>
        <v>12686.991233031673</v>
      </c>
    </row>
    <row r="853" spans="1:15" s="345" customFormat="1" ht="13.15" customHeight="1">
      <c r="A853" s="1036"/>
      <c r="B853" s="1035" t="s">
        <v>331</v>
      </c>
      <c r="C853" s="1036" t="s">
        <v>49</v>
      </c>
      <c r="D853" s="298">
        <v>1</v>
      </c>
      <c r="E853" s="301">
        <f t="shared" ref="E853:H856" si="267">E843</f>
        <v>41343.671722222229</v>
      </c>
      <c r="F853" s="301">
        <f t="shared" si="267"/>
        <v>0</v>
      </c>
      <c r="G853" s="301">
        <f t="shared" si="267"/>
        <v>655.6468891295865</v>
      </c>
      <c r="H853" s="301">
        <f t="shared" si="267"/>
        <v>14107.075757575758</v>
      </c>
      <c r="I853" s="301"/>
      <c r="J853" s="301">
        <f>J843</f>
        <v>980.85429696969686</v>
      </c>
      <c r="K853" s="301">
        <f t="shared" si="265"/>
        <v>57087.24866589727</v>
      </c>
      <c r="L853" s="301">
        <f>K853*0.15</f>
        <v>8563.0872998845898</v>
      </c>
      <c r="M853" s="315">
        <f t="shared" si="266"/>
        <v>65650.335965781866</v>
      </c>
      <c r="N853" s="301"/>
      <c r="O853" s="301">
        <f>O843</f>
        <v>1132.4059829059829</v>
      </c>
    </row>
    <row r="854" spans="1:15" s="345" customFormat="1" ht="13.15" customHeight="1">
      <c r="A854" s="1036"/>
      <c r="B854" s="1035"/>
      <c r="C854" s="1036"/>
      <c r="D854" s="298">
        <v>2</v>
      </c>
      <c r="E854" s="301">
        <f t="shared" si="267"/>
        <v>36463.436187037049</v>
      </c>
      <c r="F854" s="301">
        <f t="shared" si="267"/>
        <v>0</v>
      </c>
      <c r="G854" s="301">
        <f t="shared" si="267"/>
        <v>611.79414924264006</v>
      </c>
      <c r="H854" s="301">
        <f t="shared" si="267"/>
        <v>13875.227777777778</v>
      </c>
      <c r="I854" s="301"/>
      <c r="J854" s="301">
        <f>J844</f>
        <v>874.27386666666655</v>
      </c>
      <c r="K854" s="301">
        <f t="shared" si="265"/>
        <v>51824.731980724137</v>
      </c>
      <c r="L854" s="301">
        <f>K854*0.15</f>
        <v>7773.7097971086205</v>
      </c>
      <c r="M854" s="315">
        <f t="shared" si="266"/>
        <v>59598.441777832755</v>
      </c>
      <c r="N854" s="301"/>
      <c r="O854" s="301">
        <f>O844</f>
        <v>988.2497150997151</v>
      </c>
    </row>
    <row r="855" spans="1:15" s="345" customFormat="1" ht="13.15" customHeight="1">
      <c r="A855" s="1036"/>
      <c r="B855" s="1035"/>
      <c r="C855" s="1036"/>
      <c r="D855" s="298">
        <v>3</v>
      </c>
      <c r="E855" s="301">
        <f t="shared" si="267"/>
        <v>38688.3650388889</v>
      </c>
      <c r="F855" s="301">
        <f t="shared" si="267"/>
        <v>0</v>
      </c>
      <c r="G855" s="301">
        <f t="shared" si="267"/>
        <v>647.6321199208611</v>
      </c>
      <c r="H855" s="301">
        <f t="shared" si="267"/>
        <v>13808.113888888889</v>
      </c>
      <c r="I855" s="301"/>
      <c r="J855" s="301">
        <f>J845</f>
        <v>884.75255555555555</v>
      </c>
      <c r="K855" s="301">
        <f t="shared" si="265"/>
        <v>54028.863603254205</v>
      </c>
      <c r="L855" s="301">
        <f>K855*0.15</f>
        <v>8104.3295404881301</v>
      </c>
      <c r="M855" s="315">
        <f t="shared" si="266"/>
        <v>62133.193143742334</v>
      </c>
      <c r="N855" s="301"/>
      <c r="O855" s="301">
        <f>O845</f>
        <v>1036.5431623931622</v>
      </c>
    </row>
    <row r="856" spans="1:15" s="345" customFormat="1" ht="13.15" customHeight="1">
      <c r="A856" s="1036"/>
      <c r="B856" s="1035"/>
      <c r="C856" s="1036"/>
      <c r="D856" s="298">
        <v>4</v>
      </c>
      <c r="E856" s="301">
        <f t="shared" si="267"/>
        <v>39879.082502614394</v>
      </c>
      <c r="F856" s="301">
        <f t="shared" si="267"/>
        <v>0</v>
      </c>
      <c r="G856" s="301">
        <f t="shared" si="267"/>
        <v>665.19405697396803</v>
      </c>
      <c r="H856" s="301">
        <f t="shared" si="267"/>
        <v>13788.374509803922</v>
      </c>
      <c r="I856" s="301"/>
      <c r="J856" s="301">
        <f>J846</f>
        <v>895.64346666666665</v>
      </c>
      <c r="K856" s="301">
        <f t="shared" si="265"/>
        <v>55228.294536058951</v>
      </c>
      <c r="L856" s="301">
        <f>K856*0.15</f>
        <v>8284.244180408843</v>
      </c>
      <c r="M856" s="315">
        <f t="shared" si="266"/>
        <v>63512.538716467796</v>
      </c>
      <c r="N856" s="301"/>
      <c r="O856" s="301">
        <f>O846</f>
        <v>1064.2663147310204</v>
      </c>
    </row>
    <row r="857" spans="1:15" s="345" customFormat="1" ht="13.5">
      <c r="A857" s="298" t="s">
        <v>495</v>
      </c>
      <c r="B857" s="340" t="s">
        <v>423</v>
      </c>
      <c r="C857" s="298"/>
      <c r="D857" s="298"/>
      <c r="E857" s="301"/>
      <c r="F857" s="301"/>
      <c r="G857" s="301"/>
      <c r="H857" s="301"/>
      <c r="I857" s="301"/>
      <c r="J857" s="301"/>
      <c r="K857" s="301"/>
      <c r="L857" s="301"/>
      <c r="M857" s="315"/>
      <c r="N857" s="301"/>
      <c r="O857" s="301"/>
    </row>
    <row r="858" spans="1:15" s="345" customFormat="1" ht="13.15" customHeight="1">
      <c r="A858" s="1036"/>
      <c r="B858" s="1035" t="s">
        <v>330</v>
      </c>
      <c r="C858" s="1036" t="s">
        <v>49</v>
      </c>
      <c r="D858" s="298">
        <v>1</v>
      </c>
      <c r="E858" s="301">
        <f t="shared" ref="E858:G865" si="268">E839*0.9</f>
        <v>263640.57050000003</v>
      </c>
      <c r="F858" s="301">
        <f t="shared" si="268"/>
        <v>13687.892307692307</v>
      </c>
      <c r="G858" s="301">
        <f t="shared" si="268"/>
        <v>1456.6579047202797</v>
      </c>
      <c r="H858" s="301">
        <f t="shared" ref="H858:H865" si="269">H839</f>
        <v>3679969.6015909086</v>
      </c>
      <c r="I858" s="301"/>
      <c r="J858" s="301">
        <f t="shared" ref="J858:J865" si="270">J839*0.9</f>
        <v>32.455080000000002</v>
      </c>
      <c r="K858" s="301">
        <f t="shared" ref="K858:K865" si="271">SUM(E858:J858)</f>
        <v>3958787.1773833213</v>
      </c>
      <c r="L858" s="301">
        <f>K858*0.25</f>
        <v>989696.79434583033</v>
      </c>
      <c r="M858" s="315">
        <f t="shared" ref="M858:M865" si="272">K858+L858</f>
        <v>4948483.9717291519</v>
      </c>
      <c r="N858" s="301">
        <f>M858+M862</f>
        <v>5009191.5878104772</v>
      </c>
      <c r="O858" s="301">
        <f t="shared" ref="O858:O865" si="273">O839*0.9</f>
        <v>7500.2115384615381</v>
      </c>
    </row>
    <row r="859" spans="1:15" s="345" customFormat="1" ht="13.15" customHeight="1">
      <c r="A859" s="1036"/>
      <c r="B859" s="1035"/>
      <c r="C859" s="1036"/>
      <c r="D859" s="298">
        <v>2</v>
      </c>
      <c r="E859" s="301">
        <f t="shared" si="268"/>
        <v>302676.10988541681</v>
      </c>
      <c r="F859" s="301">
        <f t="shared" si="268"/>
        <v>16422.196153846151</v>
      </c>
      <c r="G859" s="301">
        <f t="shared" si="268"/>
        <v>1724.3173838141024</v>
      </c>
      <c r="H859" s="301">
        <f t="shared" si="269"/>
        <v>1349878.6924999999</v>
      </c>
      <c r="I859" s="301"/>
      <c r="J859" s="301">
        <f t="shared" si="270"/>
        <v>37.062899999999999</v>
      </c>
      <c r="K859" s="301">
        <f t="shared" si="271"/>
        <v>1670738.3788230771</v>
      </c>
      <c r="L859" s="301">
        <f>K859*0.25</f>
        <v>417684.59470576927</v>
      </c>
      <c r="M859" s="315">
        <f t="shared" si="272"/>
        <v>2088422.9735288464</v>
      </c>
      <c r="N859" s="301">
        <f>M859+M863</f>
        <v>2143657.2223233404</v>
      </c>
      <c r="O859" s="301">
        <f t="shared" si="273"/>
        <v>8585.1738782051289</v>
      </c>
    </row>
    <row r="860" spans="1:15" s="345" customFormat="1" ht="13.15" customHeight="1">
      <c r="A860" s="1036"/>
      <c r="B860" s="1035"/>
      <c r="C860" s="1036"/>
      <c r="D860" s="298">
        <v>3</v>
      </c>
      <c r="E860" s="301">
        <f t="shared" si="268"/>
        <v>361171.99215625017</v>
      </c>
      <c r="F860" s="301">
        <f t="shared" si="268"/>
        <v>19696.811538461541</v>
      </c>
      <c r="G860" s="301">
        <f t="shared" si="268"/>
        <v>2261.8423023504274</v>
      </c>
      <c r="H860" s="301">
        <f t="shared" si="269"/>
        <v>675378.6925</v>
      </c>
      <c r="I860" s="301"/>
      <c r="J860" s="301">
        <f t="shared" si="270"/>
        <v>49.68432</v>
      </c>
      <c r="K860" s="301">
        <f t="shared" si="271"/>
        <v>1058559.0228170622</v>
      </c>
      <c r="L860" s="301">
        <f>K860*0.25</f>
        <v>264639.75570426555</v>
      </c>
      <c r="M860" s="315">
        <f t="shared" si="272"/>
        <v>1323198.7785213278</v>
      </c>
      <c r="N860" s="301">
        <f>M860+M864</f>
        <v>1380706.5854479182</v>
      </c>
      <c r="O860" s="301">
        <f t="shared" si="273"/>
        <v>10234.944711538463</v>
      </c>
    </row>
    <row r="861" spans="1:15" s="345" customFormat="1" ht="13.15" customHeight="1">
      <c r="A861" s="1036"/>
      <c r="B861" s="1035"/>
      <c r="C861" s="1036"/>
      <c r="D861" s="298">
        <v>4</v>
      </c>
      <c r="E861" s="301">
        <f t="shared" si="268"/>
        <v>429313.55703419121</v>
      </c>
      <c r="F861" s="301">
        <f t="shared" si="268"/>
        <v>23642.723076923077</v>
      </c>
      <c r="G861" s="301">
        <f t="shared" si="268"/>
        <v>2475.9758569947217</v>
      </c>
      <c r="H861" s="301">
        <f t="shared" si="269"/>
        <v>476996.33955882356</v>
      </c>
      <c r="I861" s="301"/>
      <c r="J861" s="301">
        <f t="shared" si="270"/>
        <v>54.292140000000003</v>
      </c>
      <c r="K861" s="301">
        <f t="shared" si="271"/>
        <v>932482.88766693254</v>
      </c>
      <c r="L861" s="301">
        <f>K861*0.25</f>
        <v>233120.72191673314</v>
      </c>
      <c r="M861" s="315">
        <f t="shared" si="272"/>
        <v>1165603.6095836656</v>
      </c>
      <c r="N861" s="301">
        <f>M861+M865</f>
        <v>1224350.5574971142</v>
      </c>
      <c r="O861" s="301">
        <f t="shared" si="273"/>
        <v>12162.695955882353</v>
      </c>
    </row>
    <row r="862" spans="1:15" s="345" customFormat="1">
      <c r="A862" s="1036"/>
      <c r="B862" s="1037" t="s">
        <v>331</v>
      </c>
      <c r="C862" s="1036" t="s">
        <v>49</v>
      </c>
      <c r="D862" s="333" t="s">
        <v>18</v>
      </c>
      <c r="E862" s="301">
        <f t="shared" si="268"/>
        <v>37209.304550000008</v>
      </c>
      <c r="F862" s="301">
        <f t="shared" si="268"/>
        <v>0</v>
      </c>
      <c r="G862" s="301">
        <f t="shared" si="268"/>
        <v>590.08220021662783</v>
      </c>
      <c r="H862" s="301">
        <f t="shared" si="269"/>
        <v>14107.075757575758</v>
      </c>
      <c r="I862" s="301"/>
      <c r="J862" s="301">
        <f t="shared" si="270"/>
        <v>882.76886727272722</v>
      </c>
      <c r="K862" s="301">
        <f t="shared" si="271"/>
        <v>52789.231375065123</v>
      </c>
      <c r="L862" s="301">
        <f>K862*0.15</f>
        <v>7918.3847062597679</v>
      </c>
      <c r="M862" s="315">
        <f t="shared" si="272"/>
        <v>60707.616081324893</v>
      </c>
      <c r="N862" s="301"/>
      <c r="O862" s="301">
        <f t="shared" si="273"/>
        <v>1019.1653846153846</v>
      </c>
    </row>
    <row r="863" spans="1:15" s="345" customFormat="1">
      <c r="A863" s="1036"/>
      <c r="B863" s="1035"/>
      <c r="C863" s="1036"/>
      <c r="D863" s="298">
        <v>2</v>
      </c>
      <c r="E863" s="301">
        <f t="shared" si="268"/>
        <v>32817.092568333348</v>
      </c>
      <c r="F863" s="301">
        <f t="shared" si="268"/>
        <v>0</v>
      </c>
      <c r="G863" s="301">
        <f t="shared" si="268"/>
        <v>550.61473431837612</v>
      </c>
      <c r="H863" s="301">
        <f t="shared" si="269"/>
        <v>13875.227777777778</v>
      </c>
      <c r="I863" s="301"/>
      <c r="J863" s="301">
        <f t="shared" si="270"/>
        <v>786.84647999999993</v>
      </c>
      <c r="K863" s="301">
        <f t="shared" si="271"/>
        <v>48029.781560429503</v>
      </c>
      <c r="L863" s="301">
        <f>K863*0.15</f>
        <v>7204.4672340644256</v>
      </c>
      <c r="M863" s="315">
        <f t="shared" si="272"/>
        <v>55234.248794493928</v>
      </c>
      <c r="N863" s="301"/>
      <c r="O863" s="301">
        <f t="shared" si="273"/>
        <v>889.42474358974357</v>
      </c>
    </row>
    <row r="864" spans="1:15" s="345" customFormat="1">
      <c r="A864" s="1036"/>
      <c r="B864" s="1035"/>
      <c r="C864" s="1036"/>
      <c r="D864" s="298">
        <v>3</v>
      </c>
      <c r="E864" s="301">
        <f t="shared" si="268"/>
        <v>34819.528535000012</v>
      </c>
      <c r="F864" s="301">
        <f t="shared" si="268"/>
        <v>0</v>
      </c>
      <c r="G864" s="301">
        <f t="shared" si="268"/>
        <v>582.868907928775</v>
      </c>
      <c r="H864" s="301">
        <f t="shared" si="269"/>
        <v>13808.113888888889</v>
      </c>
      <c r="I864" s="301"/>
      <c r="J864" s="301">
        <f t="shared" si="270"/>
        <v>796.27729999999997</v>
      </c>
      <c r="K864" s="301">
        <f t="shared" si="271"/>
        <v>50006.788631817675</v>
      </c>
      <c r="L864" s="301">
        <f>K864*0.15</f>
        <v>7501.0182947726507</v>
      </c>
      <c r="M864" s="315">
        <f t="shared" si="272"/>
        <v>57507.806926590325</v>
      </c>
      <c r="N864" s="301"/>
      <c r="O864" s="301">
        <f t="shared" si="273"/>
        <v>932.88884615384598</v>
      </c>
    </row>
    <row r="865" spans="1:15" s="345" customFormat="1">
      <c r="A865" s="1036"/>
      <c r="B865" s="1035"/>
      <c r="C865" s="1036"/>
      <c r="D865" s="298">
        <v>4</v>
      </c>
      <c r="E865" s="301">
        <f t="shared" si="268"/>
        <v>35891.174252352954</v>
      </c>
      <c r="F865" s="301">
        <f t="shared" si="268"/>
        <v>0</v>
      </c>
      <c r="G865" s="301">
        <f t="shared" si="268"/>
        <v>598.67465127657124</v>
      </c>
      <c r="H865" s="301">
        <f t="shared" si="269"/>
        <v>13788.374509803922</v>
      </c>
      <c r="I865" s="301"/>
      <c r="J865" s="301">
        <f t="shared" si="270"/>
        <v>806.07911999999999</v>
      </c>
      <c r="K865" s="301">
        <f t="shared" si="271"/>
        <v>51084.302533433445</v>
      </c>
      <c r="L865" s="301">
        <f>K865*0.15</f>
        <v>7662.6453800150166</v>
      </c>
      <c r="M865" s="315">
        <f t="shared" si="272"/>
        <v>58746.947913448465</v>
      </c>
      <c r="N865" s="301"/>
      <c r="O865" s="301">
        <f t="shared" si="273"/>
        <v>957.83968325791841</v>
      </c>
    </row>
    <row r="866" spans="1:15" s="345" customFormat="1" ht="13.5">
      <c r="A866" s="298" t="s">
        <v>496</v>
      </c>
      <c r="B866" s="340" t="s">
        <v>424</v>
      </c>
      <c r="C866" s="298"/>
      <c r="D866" s="298"/>
      <c r="E866" s="301"/>
      <c r="F866" s="301"/>
      <c r="G866" s="301"/>
      <c r="H866" s="301"/>
      <c r="I866" s="301"/>
      <c r="J866" s="301"/>
      <c r="K866" s="301"/>
      <c r="L866" s="301"/>
      <c r="M866" s="315"/>
      <c r="N866" s="301"/>
      <c r="O866" s="301"/>
    </row>
    <row r="867" spans="1:15" s="345" customFormat="1" ht="13.15" customHeight="1">
      <c r="A867" s="1036"/>
      <c r="B867" s="1035" t="s">
        <v>330</v>
      </c>
      <c r="C867" s="1036" t="s">
        <v>49</v>
      </c>
      <c r="D867" s="298">
        <v>1</v>
      </c>
      <c r="E867" s="301">
        <f t="shared" ref="E867:G874" si="274">E839*0.8</f>
        <v>234347.17377777782</v>
      </c>
      <c r="F867" s="301">
        <f t="shared" si="274"/>
        <v>12167.015384615384</v>
      </c>
      <c r="G867" s="301">
        <f t="shared" si="274"/>
        <v>1294.8070264180265</v>
      </c>
      <c r="H867" s="301">
        <f t="shared" ref="H867:H874" si="275">H839</f>
        <v>3679969.6015909086</v>
      </c>
      <c r="I867" s="301"/>
      <c r="J867" s="301">
        <f t="shared" ref="J867:J874" si="276">J839*0.8</f>
        <v>28.848960000000002</v>
      </c>
      <c r="K867" s="301">
        <f t="shared" ref="K867:K874" si="277">SUM(E867:J867)</f>
        <v>3927807.4467397197</v>
      </c>
      <c r="L867" s="301">
        <f>K867*0.25</f>
        <v>981951.86168492993</v>
      </c>
      <c r="M867" s="315">
        <f t="shared" ref="M867:M874" si="278">K867+L867</f>
        <v>4909759.3084246498</v>
      </c>
      <c r="N867" s="301">
        <f>M867+M871</f>
        <v>4965524.204621518</v>
      </c>
      <c r="O867" s="301">
        <f t="shared" ref="O867:O874" si="279">O839*0.8</f>
        <v>6666.8547008547002</v>
      </c>
    </row>
    <row r="868" spans="1:15" s="345" customFormat="1" ht="13.15" customHeight="1">
      <c r="A868" s="1036"/>
      <c r="B868" s="1035"/>
      <c r="C868" s="1036"/>
      <c r="D868" s="298">
        <v>2</v>
      </c>
      <c r="E868" s="301">
        <f t="shared" si="274"/>
        <v>269045.43100925937</v>
      </c>
      <c r="F868" s="301">
        <f t="shared" si="274"/>
        <v>14597.507692307692</v>
      </c>
      <c r="G868" s="301">
        <f t="shared" si="274"/>
        <v>1532.7265633903135</v>
      </c>
      <c r="H868" s="301">
        <f t="shared" si="275"/>
        <v>1349878.6924999999</v>
      </c>
      <c r="I868" s="301"/>
      <c r="J868" s="301">
        <f t="shared" si="276"/>
        <v>32.944800000000001</v>
      </c>
      <c r="K868" s="301">
        <f t="shared" si="277"/>
        <v>1635087.3025649572</v>
      </c>
      <c r="L868" s="301">
        <f>K868*0.25</f>
        <v>408771.82564123929</v>
      </c>
      <c r="M868" s="315">
        <f t="shared" si="278"/>
        <v>2043859.1282061965</v>
      </c>
      <c r="N868" s="301">
        <f>M868+M872</f>
        <v>2094729.1840173516</v>
      </c>
      <c r="O868" s="301">
        <f t="shared" si="279"/>
        <v>7631.2656695156693</v>
      </c>
    </row>
    <row r="869" spans="1:15" s="345" customFormat="1" ht="13.15" customHeight="1">
      <c r="A869" s="1036"/>
      <c r="B869" s="1035"/>
      <c r="C869" s="1036"/>
      <c r="D869" s="298">
        <v>3</v>
      </c>
      <c r="E869" s="301">
        <f t="shared" si="274"/>
        <v>321041.77080555569</v>
      </c>
      <c r="F869" s="301">
        <f t="shared" si="274"/>
        <v>17508.276923076926</v>
      </c>
      <c r="G869" s="301">
        <f t="shared" si="274"/>
        <v>2010.5264909781579</v>
      </c>
      <c r="H869" s="301">
        <f t="shared" si="275"/>
        <v>675378.6925</v>
      </c>
      <c r="I869" s="301"/>
      <c r="J869" s="301">
        <f t="shared" si="276"/>
        <v>44.16384</v>
      </c>
      <c r="K869" s="301">
        <f t="shared" si="277"/>
        <v>1015983.4305596108</v>
      </c>
      <c r="L869" s="301">
        <f>K869*0.25</f>
        <v>253995.85763990271</v>
      </c>
      <c r="M869" s="315">
        <f t="shared" si="278"/>
        <v>1269979.2881995135</v>
      </c>
      <c r="N869" s="301">
        <f>M869+M873</f>
        <v>1322861.7089089518</v>
      </c>
      <c r="O869" s="301">
        <f t="shared" si="279"/>
        <v>9097.7286324786328</v>
      </c>
    </row>
    <row r="870" spans="1:15" s="345" customFormat="1" ht="13.15" customHeight="1">
      <c r="A870" s="1036"/>
      <c r="B870" s="1035"/>
      <c r="C870" s="1036"/>
      <c r="D870" s="298">
        <v>4</v>
      </c>
      <c r="E870" s="301">
        <f t="shared" si="274"/>
        <v>381612.0506970589</v>
      </c>
      <c r="F870" s="301">
        <f t="shared" si="274"/>
        <v>21015.75384615385</v>
      </c>
      <c r="G870" s="301">
        <f t="shared" si="274"/>
        <v>2200.8674284397525</v>
      </c>
      <c r="H870" s="301">
        <f t="shared" si="275"/>
        <v>476996.33955882356</v>
      </c>
      <c r="I870" s="301"/>
      <c r="J870" s="301">
        <f t="shared" si="276"/>
        <v>48.259680000000003</v>
      </c>
      <c r="K870" s="301">
        <f t="shared" si="277"/>
        <v>881873.27121047606</v>
      </c>
      <c r="L870" s="301">
        <f>K870*0.25</f>
        <v>220468.31780261901</v>
      </c>
      <c r="M870" s="315">
        <f t="shared" si="278"/>
        <v>1102341.589013095</v>
      </c>
      <c r="N870" s="301">
        <f>M870+M874</f>
        <v>1156322.9461235241</v>
      </c>
      <c r="O870" s="301">
        <f t="shared" si="279"/>
        <v>10811.285294117646</v>
      </c>
    </row>
    <row r="871" spans="1:15" s="345" customFormat="1" ht="13.15" customHeight="1">
      <c r="A871" s="1036"/>
      <c r="B871" s="1035" t="s">
        <v>331</v>
      </c>
      <c r="C871" s="1036" t="s">
        <v>49</v>
      </c>
      <c r="D871" s="333" t="s">
        <v>18</v>
      </c>
      <c r="E871" s="301">
        <f t="shared" si="274"/>
        <v>33074.937377777787</v>
      </c>
      <c r="F871" s="301">
        <f t="shared" si="274"/>
        <v>0</v>
      </c>
      <c r="G871" s="301">
        <f t="shared" si="274"/>
        <v>524.51751130366927</v>
      </c>
      <c r="H871" s="301">
        <f t="shared" si="275"/>
        <v>14107.075757575758</v>
      </c>
      <c r="I871" s="301"/>
      <c r="J871" s="301">
        <f t="shared" si="276"/>
        <v>784.68343757575758</v>
      </c>
      <c r="K871" s="301">
        <f t="shared" si="277"/>
        <v>48491.214084232975</v>
      </c>
      <c r="L871" s="301">
        <f>K871*0.15</f>
        <v>7273.682112634946</v>
      </c>
      <c r="M871" s="315">
        <f t="shared" si="278"/>
        <v>55764.896196867921</v>
      </c>
      <c r="N871" s="301"/>
      <c r="O871" s="301">
        <f t="shared" si="279"/>
        <v>905.9247863247864</v>
      </c>
    </row>
    <row r="872" spans="1:15" s="345" customFormat="1" ht="13.15" customHeight="1">
      <c r="A872" s="1036"/>
      <c r="B872" s="1035"/>
      <c r="C872" s="1036"/>
      <c r="D872" s="298">
        <v>2</v>
      </c>
      <c r="E872" s="301">
        <f t="shared" si="274"/>
        <v>29170.74894962964</v>
      </c>
      <c r="F872" s="301">
        <f t="shared" si="274"/>
        <v>0</v>
      </c>
      <c r="G872" s="301">
        <f t="shared" si="274"/>
        <v>489.43531939411207</v>
      </c>
      <c r="H872" s="301">
        <f t="shared" si="275"/>
        <v>13875.227777777778</v>
      </c>
      <c r="I872" s="301"/>
      <c r="J872" s="301">
        <f t="shared" si="276"/>
        <v>699.41909333333331</v>
      </c>
      <c r="K872" s="301">
        <f t="shared" si="277"/>
        <v>44234.831140134862</v>
      </c>
      <c r="L872" s="301">
        <f>K872*0.15</f>
        <v>6635.2246710202289</v>
      </c>
      <c r="M872" s="315">
        <f t="shared" si="278"/>
        <v>50870.055811155093</v>
      </c>
      <c r="N872" s="301"/>
      <c r="O872" s="301">
        <f t="shared" si="279"/>
        <v>790.59977207977215</v>
      </c>
    </row>
    <row r="873" spans="1:15" s="345" customFormat="1" ht="13.15" customHeight="1">
      <c r="A873" s="1036"/>
      <c r="B873" s="1035"/>
      <c r="C873" s="1036"/>
      <c r="D873" s="298">
        <v>3</v>
      </c>
      <c r="E873" s="301">
        <f t="shared" si="274"/>
        <v>30950.692031111121</v>
      </c>
      <c r="F873" s="301">
        <f t="shared" si="274"/>
        <v>0</v>
      </c>
      <c r="G873" s="301">
        <f t="shared" si="274"/>
        <v>518.1056959366889</v>
      </c>
      <c r="H873" s="301">
        <f t="shared" si="275"/>
        <v>13808.113888888889</v>
      </c>
      <c r="I873" s="301"/>
      <c r="J873" s="301">
        <f t="shared" si="276"/>
        <v>707.8020444444445</v>
      </c>
      <c r="K873" s="301">
        <f t="shared" si="277"/>
        <v>45984.713660381138</v>
      </c>
      <c r="L873" s="301">
        <f>K873*0.15</f>
        <v>6897.7070490571705</v>
      </c>
      <c r="M873" s="315">
        <f t="shared" si="278"/>
        <v>52882.420709438309</v>
      </c>
      <c r="N873" s="301"/>
      <c r="O873" s="301">
        <f t="shared" si="279"/>
        <v>829.23452991452984</v>
      </c>
    </row>
    <row r="874" spans="1:15" s="345" customFormat="1" ht="13.15" customHeight="1">
      <c r="A874" s="1036"/>
      <c r="B874" s="1035"/>
      <c r="C874" s="1036"/>
      <c r="D874" s="298">
        <v>4</v>
      </c>
      <c r="E874" s="301">
        <f t="shared" si="274"/>
        <v>31903.266002091517</v>
      </c>
      <c r="F874" s="301">
        <f t="shared" si="274"/>
        <v>0</v>
      </c>
      <c r="G874" s="301">
        <f t="shared" si="274"/>
        <v>532.15524557917445</v>
      </c>
      <c r="H874" s="301">
        <f t="shared" si="275"/>
        <v>13788.374509803922</v>
      </c>
      <c r="I874" s="301"/>
      <c r="J874" s="301">
        <f t="shared" si="276"/>
        <v>716.51477333333332</v>
      </c>
      <c r="K874" s="301">
        <f t="shared" si="277"/>
        <v>46940.310530807947</v>
      </c>
      <c r="L874" s="301">
        <f>K874*0.15</f>
        <v>7041.046579621192</v>
      </c>
      <c r="M874" s="315">
        <f t="shared" si="278"/>
        <v>53981.35711042914</v>
      </c>
      <c r="N874" s="301"/>
      <c r="O874" s="301">
        <f t="shared" si="279"/>
        <v>851.41305178481639</v>
      </c>
    </row>
    <row r="875" spans="1:15" s="308" customFormat="1" ht="12.75" customHeight="1">
      <c r="A875" s="298" t="s">
        <v>497</v>
      </c>
      <c r="B875" s="340" t="s">
        <v>491</v>
      </c>
      <c r="C875" s="298"/>
      <c r="D875" s="298"/>
      <c r="E875" s="301"/>
      <c r="F875" s="301"/>
      <c r="G875" s="301"/>
      <c r="H875" s="301"/>
      <c r="I875" s="301"/>
      <c r="J875" s="301"/>
      <c r="K875" s="301"/>
      <c r="L875" s="301"/>
      <c r="M875" s="315"/>
      <c r="N875" s="301"/>
      <c r="O875" s="301"/>
    </row>
    <row r="876" spans="1:15" s="345" customFormat="1" ht="13.15" customHeight="1">
      <c r="A876" s="298"/>
      <c r="B876" s="340"/>
      <c r="C876" s="298"/>
      <c r="D876" s="298" t="s">
        <v>18</v>
      </c>
      <c r="E876" s="301">
        <f>E$903/100+(E$905+E$906)/$C843</f>
        <v>11196.30416666667</v>
      </c>
      <c r="F876" s="301"/>
      <c r="G876" s="301">
        <f t="shared" ref="G876:H879" si="280">G839</f>
        <v>1618.508783022533</v>
      </c>
      <c r="H876" s="301">
        <f t="shared" si="280"/>
        <v>3679969.6015909086</v>
      </c>
      <c r="I876" s="301"/>
      <c r="J876" s="301">
        <f>J839</f>
        <v>36.061199999999999</v>
      </c>
      <c r="K876" s="301">
        <f>SUM(E876:J876)</f>
        <v>3692820.4757405976</v>
      </c>
      <c r="L876" s="301">
        <f>K876*0.15</f>
        <v>553923.07136108959</v>
      </c>
      <c r="M876" s="315">
        <f>K876+L876</f>
        <v>4246743.5471016876</v>
      </c>
      <c r="N876" s="301">
        <f>M876</f>
        <v>4246743.5471016876</v>
      </c>
      <c r="O876" s="301">
        <f>O$903/100+(O$905+O$906)/$C843</f>
        <v>316.98717948717945</v>
      </c>
    </row>
    <row r="877" spans="1:15" s="345" customFormat="1" ht="13.15" customHeight="1">
      <c r="A877" s="298"/>
      <c r="B877" s="340" t="s">
        <v>192</v>
      </c>
      <c r="C877" s="298" t="s">
        <v>49</v>
      </c>
      <c r="D877" s="298" t="s">
        <v>20</v>
      </c>
      <c r="E877" s="301">
        <f>E$903/100+(E$905+E$906)/$C844</f>
        <v>10635.621027777781</v>
      </c>
      <c r="F877" s="301"/>
      <c r="G877" s="301">
        <f t="shared" si="280"/>
        <v>1915.9082042378916</v>
      </c>
      <c r="H877" s="301">
        <f t="shared" si="280"/>
        <v>1349878.6924999999</v>
      </c>
      <c r="I877" s="301"/>
      <c r="J877" s="301">
        <f>J840</f>
        <v>41.180999999999997</v>
      </c>
      <c r="K877" s="301">
        <f>SUM(E877:J877)</f>
        <v>1362471.4027320156</v>
      </c>
      <c r="L877" s="301">
        <f>K877*0.15</f>
        <v>204370.71040980233</v>
      </c>
      <c r="M877" s="315">
        <f>K877+L877</f>
        <v>1566842.113141818</v>
      </c>
      <c r="N877" s="301">
        <f>M877</f>
        <v>1566842.113141818</v>
      </c>
      <c r="O877" s="301">
        <f>O$903/100+(O$905+O$906)/$C844</f>
        <v>301.11324786324786</v>
      </c>
    </row>
    <row r="878" spans="1:15" s="345" customFormat="1" ht="13.15" customHeight="1">
      <c r="A878" s="298"/>
      <c r="B878" s="340"/>
      <c r="C878" s="298"/>
      <c r="D878" s="298" t="s">
        <v>35</v>
      </c>
      <c r="E878" s="301">
        <f>E$903/100+(E$905+E$906)/$C845</f>
        <v>10473.318013888893</v>
      </c>
      <c r="F878" s="301"/>
      <c r="G878" s="301">
        <f t="shared" si="280"/>
        <v>2513.1581137226972</v>
      </c>
      <c r="H878" s="301">
        <f t="shared" si="280"/>
        <v>675378.6925</v>
      </c>
      <c r="I878" s="301"/>
      <c r="J878" s="301">
        <f>J841</f>
        <v>55.204799999999999</v>
      </c>
      <c r="K878" s="301">
        <f>SUM(E878:J878)</f>
        <v>688420.37342761154</v>
      </c>
      <c r="L878" s="301">
        <f>K878*0.15</f>
        <v>103263.05601414172</v>
      </c>
      <c r="M878" s="315">
        <f>K878+L878</f>
        <v>791683.42944175331</v>
      </c>
      <c r="N878" s="301">
        <f>M878</f>
        <v>791683.42944175331</v>
      </c>
      <c r="O878" s="301">
        <f>O$903/100+(O$905+O$906)/$C845</f>
        <v>296.51816239316236</v>
      </c>
    </row>
    <row r="879" spans="1:15" s="345" customFormat="1" ht="13.15" customHeight="1">
      <c r="A879" s="298"/>
      <c r="B879" s="340"/>
      <c r="C879" s="298"/>
      <c r="D879" s="298" t="s">
        <v>33</v>
      </c>
      <c r="E879" s="301">
        <f>E$903/100+(E$905+E$906)/$C846</f>
        <v>10425.581833333337</v>
      </c>
      <c r="F879" s="301"/>
      <c r="G879" s="301">
        <f t="shared" si="280"/>
        <v>2751.0842855496908</v>
      </c>
      <c r="H879" s="301">
        <f t="shared" si="280"/>
        <v>476996.33955882356</v>
      </c>
      <c r="I879" s="301"/>
      <c r="J879" s="301">
        <f>J842</f>
        <v>60.324600000000004</v>
      </c>
      <c r="K879" s="301">
        <f>SUM(E879:J879)</f>
        <v>490233.33027770655</v>
      </c>
      <c r="L879" s="301">
        <f>K879*0.15</f>
        <v>73534.999541655983</v>
      </c>
      <c r="M879" s="315">
        <f>K879+L879</f>
        <v>563768.32981936249</v>
      </c>
      <c r="N879" s="301">
        <f>M879</f>
        <v>563768.32981936249</v>
      </c>
      <c r="O879" s="301">
        <f>O$903/100+(O$905+O$906)/$C846</f>
        <v>295.16666666666663</v>
      </c>
    </row>
    <row r="880" spans="1:15" s="345" customFormat="1" ht="13.5" hidden="1">
      <c r="A880" s="298"/>
      <c r="B880" s="340"/>
      <c r="C880" s="298"/>
      <c r="D880" s="298"/>
      <c r="E880" s="301"/>
      <c r="F880" s="301"/>
      <c r="G880" s="301"/>
      <c r="H880" s="301"/>
      <c r="I880" s="301"/>
      <c r="J880" s="301"/>
      <c r="K880" s="301"/>
      <c r="L880" s="301"/>
      <c r="M880" s="315"/>
      <c r="N880" s="301"/>
      <c r="O880" s="301"/>
    </row>
    <row r="881" spans="1:15" s="345" customFormat="1">
      <c r="A881" s="298">
        <v>1</v>
      </c>
      <c r="B881" s="316" t="s">
        <v>190</v>
      </c>
      <c r="C881" s="333"/>
      <c r="D881" s="333"/>
      <c r="E881" s="301"/>
      <c r="F881" s="301"/>
      <c r="G881" s="301"/>
      <c r="H881" s="301"/>
      <c r="I881" s="301"/>
      <c r="J881" s="301"/>
      <c r="K881" s="301"/>
      <c r="L881" s="301"/>
      <c r="M881" s="302"/>
      <c r="N881" s="301"/>
      <c r="O881" s="301"/>
    </row>
    <row r="882" spans="1:15" s="345" customFormat="1">
      <c r="A882" s="1043">
        <v>1.1000000000000001</v>
      </c>
      <c r="B882" s="1038" t="str">
        <f>NhanCong!B$150</f>
        <v>Đối soát thực địa (công nhóm/mảnh)</v>
      </c>
      <c r="C882" s="1039" t="s">
        <v>317</v>
      </c>
      <c r="D882" s="319" t="s">
        <v>18</v>
      </c>
      <c r="E882" s="301">
        <f>NhanCong!Y$150</f>
        <v>20716.100319444446</v>
      </c>
      <c r="F882" s="301"/>
      <c r="G882" s="320">
        <f>Dcu!Q$200</f>
        <v>148.99017094017094</v>
      </c>
      <c r="H882" s="320">
        <f>VLieu!F$133</f>
        <v>4047000</v>
      </c>
      <c r="I882" s="320"/>
      <c r="J882" s="320"/>
      <c r="K882" s="320">
        <f t="shared" ref="K882:K893" si="281">SUM(E882:J882)</f>
        <v>4067865.0904903845</v>
      </c>
      <c r="L882" s="320">
        <f>K882*0.25</f>
        <v>1016966.2726225961</v>
      </c>
      <c r="M882" s="321">
        <f t="shared" ref="M882:M893" si="282">K882+L882</f>
        <v>5084831.3631129805</v>
      </c>
      <c r="N882" s="320"/>
      <c r="O882" s="320">
        <f>NhanCong!Z$150</f>
        <v>630.60790598290589</v>
      </c>
    </row>
    <row r="883" spans="1:15" s="345" customFormat="1">
      <c r="A883" s="1043"/>
      <c r="B883" s="1038"/>
      <c r="C883" s="1039"/>
      <c r="D883" s="319" t="s">
        <v>20</v>
      </c>
      <c r="E883" s="301">
        <f>NhanCong!Y$151</f>
        <v>24862.872222222228</v>
      </c>
      <c r="F883" s="301"/>
      <c r="G883" s="320">
        <f>Dcu!Q$201</f>
        <v>186.23771367521368</v>
      </c>
      <c r="H883" s="320">
        <f>VLieu!F$133</f>
        <v>4047000</v>
      </c>
      <c r="I883" s="320"/>
      <c r="J883" s="320"/>
      <c r="K883" s="320">
        <f t="shared" si="281"/>
        <v>4072049.1099358974</v>
      </c>
      <c r="L883" s="320">
        <f t="shared" ref="L883:L893" si="283">K883*0.25</f>
        <v>1018012.2774839744</v>
      </c>
      <c r="M883" s="321">
        <f t="shared" si="282"/>
        <v>5090061.387419872</v>
      </c>
      <c r="N883" s="320"/>
      <c r="O883" s="320">
        <f>NhanCong!Z$151</f>
        <v>756.83760683760681</v>
      </c>
    </row>
    <row r="884" spans="1:15" s="345" customFormat="1">
      <c r="A884" s="1043"/>
      <c r="B884" s="1038"/>
      <c r="C884" s="1039"/>
      <c r="D884" s="319" t="s">
        <v>35</v>
      </c>
      <c r="E884" s="301">
        <f>NhanCong!Y$152</f>
        <v>29835.446666666674</v>
      </c>
      <c r="F884" s="301"/>
      <c r="G884" s="320">
        <f>Dcu!Q$202</f>
        <v>248.31695156695156</v>
      </c>
      <c r="H884" s="320">
        <f>VLieu!F$133</f>
        <v>4047000</v>
      </c>
      <c r="I884" s="320"/>
      <c r="J884" s="320"/>
      <c r="K884" s="320">
        <f t="shared" si="281"/>
        <v>4077083.7636182336</v>
      </c>
      <c r="L884" s="320">
        <f t="shared" si="283"/>
        <v>1019270.9409045584</v>
      </c>
      <c r="M884" s="321">
        <f t="shared" si="282"/>
        <v>5096354.7045227922</v>
      </c>
      <c r="N884" s="320"/>
      <c r="O884" s="320">
        <f>NhanCong!Z$152</f>
        <v>908.20512820512829</v>
      </c>
    </row>
    <row r="885" spans="1:15" s="345" customFormat="1">
      <c r="A885" s="1043"/>
      <c r="B885" s="1038"/>
      <c r="C885" s="1039"/>
      <c r="D885" s="319" t="s">
        <v>33</v>
      </c>
      <c r="E885" s="301">
        <f>NhanCong!Y$153</f>
        <v>35802.536000000007</v>
      </c>
      <c r="F885" s="301"/>
      <c r="G885" s="320">
        <f>Dcu!Q$203</f>
        <v>273.14864672364672</v>
      </c>
      <c r="H885" s="320">
        <f>VLieu!F$133</f>
        <v>4047000</v>
      </c>
      <c r="I885" s="320"/>
      <c r="J885" s="320"/>
      <c r="K885" s="320">
        <f t="shared" si="281"/>
        <v>4083075.6846467238</v>
      </c>
      <c r="L885" s="320">
        <f t="shared" si="283"/>
        <v>1020768.9211616809</v>
      </c>
      <c r="M885" s="321">
        <f t="shared" si="282"/>
        <v>5103844.6058084052</v>
      </c>
      <c r="N885" s="320"/>
      <c r="O885" s="320">
        <f>NhanCong!Z$153</f>
        <v>1089.8461538461538</v>
      </c>
    </row>
    <row r="886" spans="1:15" s="345" customFormat="1" ht="12.75" customHeight="1">
      <c r="A886" s="1043">
        <v>1.2</v>
      </c>
      <c r="B886" s="1038" t="str">
        <f>NhanCong!B$156</f>
        <v>Lưới đo vẽ (công nhóm/100 thửa có biến động cần chỉnh lý)</v>
      </c>
      <c r="C886" s="1040" t="s">
        <v>329</v>
      </c>
      <c r="D886" s="319" t="s">
        <v>18</v>
      </c>
      <c r="E886" s="301">
        <f>NhanCong!Y$156</f>
        <v>1739983.7812500005</v>
      </c>
      <c r="F886" s="301"/>
      <c r="G886" s="320">
        <f>Dcu!Q$222</f>
        <v>24103.788461538465</v>
      </c>
      <c r="H886" s="320">
        <f>VLieu!O$135</f>
        <v>4184.25</v>
      </c>
      <c r="I886" s="320"/>
      <c r="J886" s="320">
        <f>TBi!N$331</f>
        <v>267.12</v>
      </c>
      <c r="K886" s="320">
        <f t="shared" si="281"/>
        <v>1768538.9397115391</v>
      </c>
      <c r="L886" s="320">
        <f t="shared" si="283"/>
        <v>442134.73492788477</v>
      </c>
      <c r="M886" s="321">
        <f t="shared" si="282"/>
        <v>2210673.6746394238</v>
      </c>
      <c r="N886" s="320"/>
      <c r="O886" s="320">
        <f>NhanCong!Z$156</f>
        <v>49262.019230769234</v>
      </c>
    </row>
    <row r="887" spans="1:15" s="345" customFormat="1">
      <c r="A887" s="1043"/>
      <c r="B887" s="1038"/>
      <c r="C887" s="1039" t="s">
        <v>49</v>
      </c>
      <c r="D887" s="319" t="s">
        <v>20</v>
      </c>
      <c r="E887" s="301">
        <f>NhanCong!Y$157</f>
        <v>1997759.1562500005</v>
      </c>
      <c r="F887" s="301"/>
      <c r="G887" s="320">
        <f>Dcu!Q$223</f>
        <v>30129.735576923078</v>
      </c>
      <c r="H887" s="320">
        <f>VLieu!O$135</f>
        <v>4184.25</v>
      </c>
      <c r="I887" s="320"/>
      <c r="J887" s="320">
        <f>TBi!O$331</f>
        <v>333.9</v>
      </c>
      <c r="K887" s="320">
        <f t="shared" si="281"/>
        <v>2032407.0418269234</v>
      </c>
      <c r="L887" s="320">
        <f t="shared" si="283"/>
        <v>508101.76045673084</v>
      </c>
      <c r="M887" s="321">
        <f t="shared" si="282"/>
        <v>2540508.802283654</v>
      </c>
      <c r="N887" s="320"/>
      <c r="O887" s="320">
        <f>NhanCong!Z$157</f>
        <v>56560.096153846156</v>
      </c>
    </row>
    <row r="888" spans="1:15" s="345" customFormat="1">
      <c r="A888" s="1043"/>
      <c r="B888" s="1038"/>
      <c r="C888" s="1039"/>
      <c r="D888" s="319" t="s">
        <v>35</v>
      </c>
      <c r="E888" s="301">
        <f>NhanCong!Y$158</f>
        <v>2663678.8750000009</v>
      </c>
      <c r="F888" s="301"/>
      <c r="G888" s="320">
        <f>Dcu!Q$224</f>
        <v>40172.980769230773</v>
      </c>
      <c r="H888" s="320">
        <f>VLieu!O$135</f>
        <v>4184.25</v>
      </c>
      <c r="I888" s="320"/>
      <c r="J888" s="320">
        <f>TBi!P$331</f>
        <v>400.68</v>
      </c>
      <c r="K888" s="320">
        <f t="shared" si="281"/>
        <v>2708436.7857692321</v>
      </c>
      <c r="L888" s="320">
        <f t="shared" si="283"/>
        <v>677109.19644230802</v>
      </c>
      <c r="M888" s="321">
        <f t="shared" si="282"/>
        <v>3385545.98221154</v>
      </c>
      <c r="N888" s="320"/>
      <c r="O888" s="320">
        <f>NhanCong!Z$158</f>
        <v>75413.461538461546</v>
      </c>
    </row>
    <row r="889" spans="1:15" s="345" customFormat="1">
      <c r="A889" s="1043"/>
      <c r="B889" s="1038"/>
      <c r="C889" s="1039"/>
      <c r="D889" s="319" t="s">
        <v>33</v>
      </c>
      <c r="E889" s="301">
        <f>NhanCong!Y$159</f>
        <v>2921454.2500000009</v>
      </c>
      <c r="F889" s="301"/>
      <c r="G889" s="320">
        <f>Dcu!Q$225</f>
        <v>44190.278846153851</v>
      </c>
      <c r="H889" s="320">
        <f>VLieu!O$135</f>
        <v>4184.25</v>
      </c>
      <c r="I889" s="320"/>
      <c r="J889" s="320">
        <f>TBi!Q$331</f>
        <v>467.46</v>
      </c>
      <c r="K889" s="320">
        <f t="shared" si="281"/>
        <v>2970296.2388461549</v>
      </c>
      <c r="L889" s="320">
        <f t="shared" si="283"/>
        <v>742574.05971153872</v>
      </c>
      <c r="M889" s="321">
        <f t="shared" si="282"/>
        <v>3712870.2985576936</v>
      </c>
      <c r="N889" s="320"/>
      <c r="O889" s="320">
        <f>NhanCong!Z$159</f>
        <v>82711.538461538468</v>
      </c>
    </row>
    <row r="890" spans="1:15" s="345" customFormat="1" ht="12.75" customHeight="1">
      <c r="A890" s="1043">
        <v>1.3</v>
      </c>
      <c r="B890" s="1038" t="str">
        <f>NhanCong!B$162</f>
        <v>Đo đạc ranh giới thửa đất và các đối tượng địa lý có liên quan (công nhóm/100 thửa có biến động cần chỉnh lý)</v>
      </c>
      <c r="C890" s="1040" t="s">
        <v>329</v>
      </c>
      <c r="D890" s="319" t="s">
        <v>18</v>
      </c>
      <c r="E890" s="301">
        <f>NhanCong!Y$162</f>
        <v>25670131.093750004</v>
      </c>
      <c r="F890" s="301">
        <f>NhanCong!Y$163</f>
        <v>1520876.923076923</v>
      </c>
      <c r="G890" s="320">
        <f>Dcu!Q$246</f>
        <v>124202.52884615384</v>
      </c>
      <c r="H890" s="320">
        <f>VLieu!O$145</f>
        <v>83685</v>
      </c>
      <c r="I890" s="320"/>
      <c r="J890" s="320">
        <f>TBi!N$366</f>
        <v>3339</v>
      </c>
      <c r="K890" s="320">
        <f t="shared" si="281"/>
        <v>27402234.54567308</v>
      </c>
      <c r="L890" s="320">
        <f t="shared" si="283"/>
        <v>6850558.6364182699</v>
      </c>
      <c r="M890" s="321">
        <f t="shared" si="282"/>
        <v>34252793.182091348</v>
      </c>
      <c r="N890" s="320"/>
      <c r="O890" s="320">
        <f>NhanCong!Z$162</f>
        <v>726766.82692307688</v>
      </c>
    </row>
    <row r="891" spans="1:15" s="345" customFormat="1">
      <c r="A891" s="1043"/>
      <c r="B891" s="1038"/>
      <c r="C891" s="1039" t="s">
        <v>49</v>
      </c>
      <c r="D891" s="319" t="s">
        <v>20</v>
      </c>
      <c r="E891" s="301">
        <f>NhanCong!Y$164</f>
        <v>30804157.312500007</v>
      </c>
      <c r="F891" s="301">
        <f>NhanCong!Y$165</f>
        <v>1824688.4615384615</v>
      </c>
      <c r="G891" s="320">
        <f>Dcu!Q$247</f>
        <v>155253.16105769231</v>
      </c>
      <c r="H891" s="320">
        <f>VLieu!O$145</f>
        <v>83685</v>
      </c>
      <c r="I891" s="320"/>
      <c r="J891" s="320">
        <f>TBi!O$366</f>
        <v>3784.2</v>
      </c>
      <c r="K891" s="320">
        <f t="shared" si="281"/>
        <v>32871568.135096159</v>
      </c>
      <c r="L891" s="320">
        <f t="shared" si="283"/>
        <v>8217892.0337740397</v>
      </c>
      <c r="M891" s="321">
        <f t="shared" si="282"/>
        <v>41089460.168870196</v>
      </c>
      <c r="N891" s="320"/>
      <c r="O891" s="320">
        <f>NhanCong!Z$164</f>
        <v>872120.19230769237</v>
      </c>
    </row>
    <row r="892" spans="1:15" s="345" customFormat="1">
      <c r="A892" s="1043"/>
      <c r="B892" s="1038"/>
      <c r="C892" s="1039"/>
      <c r="D892" s="319" t="s">
        <v>35</v>
      </c>
      <c r="E892" s="301">
        <f>NhanCong!Y$166</f>
        <v>36969285.031250015</v>
      </c>
      <c r="F892" s="301">
        <f>NhanCong!Y$167</f>
        <v>2188534.6153846155</v>
      </c>
      <c r="G892" s="320">
        <f>Dcu!Q$248</f>
        <v>207004.21474358975</v>
      </c>
      <c r="H892" s="320">
        <f>VLieu!O$145</f>
        <v>83685</v>
      </c>
      <c r="I892" s="320"/>
      <c r="J892" s="320">
        <f>TBi!P$366</f>
        <v>5119.7999999999993</v>
      </c>
      <c r="K892" s="320">
        <f t="shared" si="281"/>
        <v>39453628.66137822</v>
      </c>
      <c r="L892" s="320">
        <f t="shared" si="283"/>
        <v>9863407.1653445549</v>
      </c>
      <c r="M892" s="321">
        <f t="shared" si="282"/>
        <v>49317035.826722771</v>
      </c>
      <c r="N892" s="320"/>
      <c r="O892" s="320">
        <f>NhanCong!Z$166</f>
        <v>1046665.8653846155</v>
      </c>
    </row>
    <row r="893" spans="1:15" s="345" customFormat="1">
      <c r="A893" s="1043"/>
      <c r="B893" s="1038"/>
      <c r="C893" s="1039"/>
      <c r="D893" s="319" t="s">
        <v>33</v>
      </c>
      <c r="E893" s="301">
        <f>NhanCong!Y$168</f>
        <v>44358845.781250007</v>
      </c>
      <c r="F893" s="301">
        <f>NhanCong!Y$169</f>
        <v>2626969.230769231</v>
      </c>
      <c r="G893" s="320">
        <f>Dcu!Q$249</f>
        <v>227704.63621794875</v>
      </c>
      <c r="H893" s="320">
        <f>VLieu!O$145</f>
        <v>83685</v>
      </c>
      <c r="I893" s="320"/>
      <c r="J893" s="320">
        <f>TBi!Q$366</f>
        <v>5565</v>
      </c>
      <c r="K893" s="320">
        <f t="shared" si="281"/>
        <v>47302769.648237191</v>
      </c>
      <c r="L893" s="320">
        <f t="shared" si="283"/>
        <v>11825692.412059298</v>
      </c>
      <c r="M893" s="321">
        <f t="shared" si="282"/>
        <v>59128462.060296491</v>
      </c>
      <c r="N893" s="320"/>
      <c r="O893" s="320">
        <f>NhanCong!Z$168</f>
        <v>1255877.4038461538</v>
      </c>
    </row>
    <row r="894" spans="1:15" s="345" customFormat="1">
      <c r="A894" s="298">
        <v>2</v>
      </c>
      <c r="B894" s="316" t="s">
        <v>192</v>
      </c>
      <c r="C894" s="319"/>
      <c r="D894" s="319"/>
      <c r="E894" s="301"/>
      <c r="F894" s="301"/>
      <c r="G894" s="320"/>
      <c r="H894" s="320"/>
      <c r="I894" s="320"/>
      <c r="J894" s="320"/>
      <c r="K894" s="320"/>
      <c r="L894" s="320"/>
      <c r="M894" s="321"/>
      <c r="N894" s="320"/>
      <c r="O894" s="320"/>
    </row>
    <row r="895" spans="1:15" s="345" customFormat="1">
      <c r="A895" s="1043" t="s">
        <v>268</v>
      </c>
      <c r="B895" s="1038" t="str">
        <f>NhanCong!B$173</f>
        <v>Số hóa BĐĐC: Áp dụng theo mức quy định tại Điều 8, Chương I</v>
      </c>
      <c r="C895" s="1039" t="s">
        <v>317</v>
      </c>
      <c r="D895" s="319" t="s">
        <v>18</v>
      </c>
      <c r="E895" s="301">
        <f t="shared" ref="E895:H898" si="284">E490</f>
        <v>9967.3145000000022</v>
      </c>
      <c r="F895" s="301">
        <f t="shared" si="284"/>
        <v>0</v>
      </c>
      <c r="G895" s="301">
        <f t="shared" si="284"/>
        <v>104.53232886989554</v>
      </c>
      <c r="H895" s="301">
        <f t="shared" si="284"/>
        <v>122.33333333333333</v>
      </c>
      <c r="I895" s="301"/>
      <c r="J895" s="301">
        <f>J490</f>
        <v>237.04426666666666</v>
      </c>
      <c r="K895" s="320">
        <f>SUM(E895:J895)</f>
        <v>10431.224428869897</v>
      </c>
      <c r="L895" s="320">
        <f>K895*0.15</f>
        <v>1564.6836643304844</v>
      </c>
      <c r="M895" s="321">
        <f>K895+L895</f>
        <v>11995.908093200382</v>
      </c>
      <c r="N895" s="301">
        <f>N490</f>
        <v>0</v>
      </c>
      <c r="O895" s="301">
        <f>O490</f>
        <v>282.19230769230762</v>
      </c>
    </row>
    <row r="896" spans="1:15" s="345" customFormat="1">
      <c r="A896" s="1043"/>
      <c r="B896" s="1038"/>
      <c r="C896" s="1039"/>
      <c r="D896" s="319" t="s">
        <v>20</v>
      </c>
      <c r="E896" s="301">
        <f t="shared" si="284"/>
        <v>11296.28976666667</v>
      </c>
      <c r="F896" s="301">
        <f t="shared" si="284"/>
        <v>0</v>
      </c>
      <c r="G896" s="301">
        <f t="shared" si="284"/>
        <v>119.66200804843304</v>
      </c>
      <c r="H896" s="301">
        <f t="shared" si="284"/>
        <v>122.33333333333333</v>
      </c>
      <c r="I896" s="301"/>
      <c r="J896" s="301">
        <f>J491</f>
        <v>313.12399999999997</v>
      </c>
      <c r="K896" s="320">
        <f>SUM(E896:J896)</f>
        <v>11851.409108048438</v>
      </c>
      <c r="L896" s="320">
        <f>K896*0.15</f>
        <v>1777.7113662072657</v>
      </c>
      <c r="M896" s="321">
        <f>K896+L896</f>
        <v>13629.120474255704</v>
      </c>
      <c r="N896" s="301">
        <f>N561</f>
        <v>0</v>
      </c>
      <c r="O896" s="301">
        <f>O491</f>
        <v>319.8179487179487</v>
      </c>
    </row>
    <row r="897" spans="1:17" s="345" customFormat="1">
      <c r="A897" s="1043"/>
      <c r="B897" s="1038"/>
      <c r="C897" s="1039"/>
      <c r="D897" s="319" t="s">
        <v>35</v>
      </c>
      <c r="E897" s="301">
        <f t="shared" si="284"/>
        <v>12827.666438888891</v>
      </c>
      <c r="F897" s="301">
        <f t="shared" si="284"/>
        <v>0</v>
      </c>
      <c r="G897" s="301">
        <f t="shared" si="284"/>
        <v>137.54253798670464</v>
      </c>
      <c r="H897" s="301">
        <f t="shared" si="284"/>
        <v>122.33333333333333</v>
      </c>
      <c r="I897" s="301"/>
      <c r="J897" s="301">
        <f>J492</f>
        <v>373.02813333333336</v>
      </c>
      <c r="K897" s="320">
        <f>SUM(E897:J897)</f>
        <v>13460.570443542263</v>
      </c>
      <c r="L897" s="320">
        <f>K897*0.15</f>
        <v>2019.0855665313393</v>
      </c>
      <c r="M897" s="321">
        <f>K897+L897</f>
        <v>15479.656010073602</v>
      </c>
      <c r="N897" s="301">
        <f>N562</f>
        <v>0</v>
      </c>
      <c r="O897" s="301">
        <f>O492</f>
        <v>363.17393162393154</v>
      </c>
    </row>
    <row r="898" spans="1:17" s="345" customFormat="1">
      <c r="A898" s="1043"/>
      <c r="B898" s="1038"/>
      <c r="C898" s="1039"/>
      <c r="D898" s="319" t="s">
        <v>33</v>
      </c>
      <c r="E898" s="301">
        <f t="shared" si="284"/>
        <v>14588.17677777778</v>
      </c>
      <c r="F898" s="301">
        <f t="shared" si="284"/>
        <v>0</v>
      </c>
      <c r="G898" s="301">
        <f t="shared" si="284"/>
        <v>158.17391868471032</v>
      </c>
      <c r="H898" s="301">
        <f t="shared" si="284"/>
        <v>122.33333333333333</v>
      </c>
      <c r="I898" s="301"/>
      <c r="J898" s="301">
        <f>J493</f>
        <v>444.80426666666671</v>
      </c>
      <c r="K898" s="320">
        <f>SUM(E898:J898)</f>
        <v>15313.48829646249</v>
      </c>
      <c r="L898" s="320">
        <f>K898*0.15</f>
        <v>2297.0232444693734</v>
      </c>
      <c r="M898" s="321">
        <f>K898+L898</f>
        <v>17610.511540931864</v>
      </c>
      <c r="N898" s="301">
        <f>N563</f>
        <v>0</v>
      </c>
      <c r="O898" s="301">
        <f>O493</f>
        <v>413.01709401709394</v>
      </c>
    </row>
    <row r="899" spans="1:17" s="345" customFormat="1" ht="12.75" customHeight="1">
      <c r="A899" s="1043" t="s">
        <v>34</v>
      </c>
      <c r="B899" s="1038" t="str">
        <f>NhanCong!B$174</f>
        <v>Lập bản vẽ BĐĐC (Công nhóm/100 thửa chỉnh lý)</v>
      </c>
      <c r="C899" s="1040" t="s">
        <v>329</v>
      </c>
      <c r="D899" s="319" t="s">
        <v>18</v>
      </c>
      <c r="E899" s="301">
        <f>NhanCong!Y$174</f>
        <v>1096957.4000000004</v>
      </c>
      <c r="F899" s="301"/>
      <c r="G899" s="320">
        <f>Dcu!Q$271</f>
        <v>14386.826446153846</v>
      </c>
      <c r="H899" s="320">
        <f>VLieu!O$159</f>
        <v>626800</v>
      </c>
      <c r="I899" s="320"/>
      <c r="J899" s="320">
        <f>TBi!N$403</f>
        <v>46323.06</v>
      </c>
      <c r="K899" s="320">
        <f t="shared" ref="K899:K904" si="285">SUM(E899:J899)</f>
        <v>1784467.2864461544</v>
      </c>
      <c r="L899" s="320">
        <f t="shared" ref="L899:L906" si="286">K899*0.15</f>
        <v>267670.09296692314</v>
      </c>
      <c r="M899" s="321">
        <f t="shared" ref="M899:M904" si="287">K899+L899</f>
        <v>2052137.3794130776</v>
      </c>
      <c r="N899" s="320"/>
      <c r="O899" s="320">
        <f>NhanCong!Z$174</f>
        <v>27246.153846153844</v>
      </c>
    </row>
    <row r="900" spans="1:17" s="345" customFormat="1">
      <c r="A900" s="1043"/>
      <c r="B900" s="1038"/>
      <c r="C900" s="1039"/>
      <c r="D900" s="319" t="s">
        <v>20</v>
      </c>
      <c r="E900" s="301">
        <f>NhanCong!Y$175</f>
        <v>1269336.4200000004</v>
      </c>
      <c r="F900" s="301"/>
      <c r="G900" s="320">
        <f>Dcu!Q$272</f>
        <v>17983.533057692308</v>
      </c>
      <c r="H900" s="320">
        <f>VLieu!O$159</f>
        <v>626800</v>
      </c>
      <c r="I900" s="320"/>
      <c r="J900" s="320">
        <f>TBi!O$403</f>
        <v>48571.32</v>
      </c>
      <c r="K900" s="320">
        <f t="shared" si="285"/>
        <v>1962691.2730576927</v>
      </c>
      <c r="L900" s="320">
        <f t="shared" si="286"/>
        <v>294403.69095865387</v>
      </c>
      <c r="M900" s="321">
        <f t="shared" si="287"/>
        <v>2257094.9640163467</v>
      </c>
      <c r="N900" s="320"/>
      <c r="O900" s="320">
        <f>NhanCong!Z$175</f>
        <v>31527.692307692309</v>
      </c>
    </row>
    <row r="901" spans="1:17" s="345" customFormat="1">
      <c r="A901" s="1043"/>
      <c r="B901" s="1038"/>
      <c r="C901" s="1039"/>
      <c r="D901" s="319" t="s">
        <v>35</v>
      </c>
      <c r="E901" s="301">
        <f>NhanCong!Y$176</f>
        <v>1692448.5600000005</v>
      </c>
      <c r="F901" s="301"/>
      <c r="G901" s="320">
        <f>Dcu!Q$273</f>
        <v>23978.044076923077</v>
      </c>
      <c r="H901" s="320">
        <f>VLieu!O$159</f>
        <v>626800</v>
      </c>
      <c r="I901" s="320"/>
      <c r="J901" s="320">
        <f>TBi!P$403</f>
        <v>54358.920000000006</v>
      </c>
      <c r="K901" s="320">
        <f t="shared" si="285"/>
        <v>2397585.5240769237</v>
      </c>
      <c r="L901" s="320">
        <f t="shared" si="286"/>
        <v>359637.82861153857</v>
      </c>
      <c r="M901" s="321">
        <f t="shared" si="287"/>
        <v>2757223.3526884625</v>
      </c>
      <c r="N901" s="320"/>
      <c r="O901" s="320">
        <f>NhanCong!Z$176</f>
        <v>42036.923076923078</v>
      </c>
    </row>
    <row r="902" spans="1:17" s="345" customFormat="1">
      <c r="A902" s="1043"/>
      <c r="B902" s="1038"/>
      <c r="C902" s="1039"/>
      <c r="D902" s="319" t="s">
        <v>33</v>
      </c>
      <c r="E902" s="301">
        <f>NhanCong!Y$177</f>
        <v>1864827.5800000005</v>
      </c>
      <c r="F902" s="301"/>
      <c r="G902" s="320">
        <f>Dcu!Q$274</f>
        <v>26375.848484615388</v>
      </c>
      <c r="H902" s="320">
        <f>VLieu!O$159</f>
        <v>626800</v>
      </c>
      <c r="I902" s="320"/>
      <c r="J902" s="320">
        <f>TBi!Q$403</f>
        <v>56584.920000000006</v>
      </c>
      <c r="K902" s="320">
        <f t="shared" si="285"/>
        <v>2574588.3484846158</v>
      </c>
      <c r="L902" s="320">
        <f t="shared" si="286"/>
        <v>386188.25227269233</v>
      </c>
      <c r="M902" s="321">
        <f t="shared" si="287"/>
        <v>2960776.6007573083</v>
      </c>
      <c r="N902" s="320"/>
      <c r="O902" s="320">
        <f>NhanCong!Z$177</f>
        <v>46318.461538461532</v>
      </c>
    </row>
    <row r="903" spans="1:17" s="345" customFormat="1" ht="26">
      <c r="A903" s="323" t="s">
        <v>246</v>
      </c>
      <c r="B903" s="324" t="str">
        <f>NhanCong!B$179</f>
        <v>Lập Phiếu đo đạc chỉnh lý thửa đất (Công/100 thửa chỉnh lý)</v>
      </c>
      <c r="C903" s="341" t="s">
        <v>329</v>
      </c>
      <c r="D903" s="341" t="s">
        <v>679</v>
      </c>
      <c r="E903" s="342">
        <f>NhanCong!Y$179</f>
        <v>1031101.5000000002</v>
      </c>
      <c r="F903" s="342"/>
      <c r="G903" s="343">
        <f>Dcu!Q$270</f>
        <v>23978.044076923077</v>
      </c>
      <c r="H903" s="320">
        <f>VLieu!O$159</f>
        <v>626800</v>
      </c>
      <c r="I903" s="343"/>
      <c r="J903" s="343"/>
      <c r="K903" s="343">
        <f t="shared" si="285"/>
        <v>1681879.5440769233</v>
      </c>
      <c r="L903" s="320">
        <f t="shared" si="286"/>
        <v>252281.93161153849</v>
      </c>
      <c r="M903" s="344">
        <f t="shared" si="287"/>
        <v>1934161.4756884617</v>
      </c>
      <c r="N903" s="343"/>
      <c r="O903" s="343">
        <f>NhanCong!Z$179</f>
        <v>29192.307692307691</v>
      </c>
    </row>
    <row r="904" spans="1:17" s="345" customFormat="1" ht="26">
      <c r="A904" s="323" t="s">
        <v>271</v>
      </c>
      <c r="B904" s="324" t="str">
        <f>NhanCong!B$180</f>
        <v>Bổ sung sổ mục kê (công nhóm/100 thửa chỉnh lý)</v>
      </c>
      <c r="C904" s="341" t="s">
        <v>329</v>
      </c>
      <c r="D904" s="341" t="s">
        <v>679</v>
      </c>
      <c r="E904" s="342">
        <f>NhanCong!Y$180</f>
        <v>893621.30000000016</v>
      </c>
      <c r="F904" s="342"/>
      <c r="G904" s="343">
        <f>Dcu!Q$290</f>
        <v>13800.392222222223</v>
      </c>
      <c r="H904" s="343">
        <f>VLieu!J$170</f>
        <v>120500</v>
      </c>
      <c r="I904" s="343"/>
      <c r="J904" s="343">
        <f>TBi!N$414</f>
        <v>27379.800000000003</v>
      </c>
      <c r="K904" s="343">
        <f t="shared" si="285"/>
        <v>1055301.4922222223</v>
      </c>
      <c r="L904" s="320">
        <f t="shared" si="286"/>
        <v>158295.22383333332</v>
      </c>
      <c r="M904" s="344">
        <f t="shared" si="287"/>
        <v>1213596.7160555555</v>
      </c>
      <c r="N904" s="343"/>
      <c r="O904" s="343">
        <f>NhanCong!Z$180</f>
        <v>25300</v>
      </c>
    </row>
    <row r="905" spans="1:17" s="345" customFormat="1" ht="26">
      <c r="A905" s="323" t="s">
        <v>365</v>
      </c>
      <c r="B905" s="324" t="str">
        <f>NhanCong!B$181</f>
        <v>Biên tập bản đồ và in (công nhóm/mảnh)</v>
      </c>
      <c r="C905" s="341" t="s">
        <v>317</v>
      </c>
      <c r="D905" s="341" t="s">
        <v>679</v>
      </c>
      <c r="E905" s="342">
        <f>NhanCong!Y$181</f>
        <v>324.60602777777785</v>
      </c>
      <c r="F905" s="342"/>
      <c r="G905" s="343">
        <f>Dcu!Q$304</f>
        <v>14.287119658119662</v>
      </c>
      <c r="H905" s="343">
        <f>VLieu!O$181</f>
        <v>93.45</v>
      </c>
      <c r="I905" s="343"/>
      <c r="J905" s="343">
        <f>TBi!N$442</f>
        <v>10.388000000000002</v>
      </c>
      <c r="K905" s="343">
        <f>SUM(E905:J905)</f>
        <v>442.73114743589747</v>
      </c>
      <c r="L905" s="320">
        <f t="shared" si="286"/>
        <v>66.409672115384623</v>
      </c>
      <c r="M905" s="344">
        <f>K905+L905</f>
        <v>509.14081955128211</v>
      </c>
      <c r="N905" s="343"/>
      <c r="O905" s="343">
        <f>NhanCong!Z$181</f>
        <v>9.1901709401709404</v>
      </c>
    </row>
    <row r="906" spans="1:17" s="345" customFormat="1" ht="26">
      <c r="A906" s="323" t="s">
        <v>366</v>
      </c>
      <c r="B906" s="324" t="str">
        <f>NhanCong!B$182</f>
        <v>Xác nhận hồ sơ các cấp (công nhóm/mảnh)</v>
      </c>
      <c r="C906" s="341" t="s">
        <v>317</v>
      </c>
      <c r="D906" s="341" t="s">
        <v>679</v>
      </c>
      <c r="E906" s="342">
        <f>NhanCong!Y$182</f>
        <v>649.21205555555571</v>
      </c>
      <c r="F906" s="342"/>
      <c r="G906" s="343">
        <f>Dcu!Q$304</f>
        <v>14.287119658119662</v>
      </c>
      <c r="H906" s="343">
        <f>VLieu!O$181</f>
        <v>93.45</v>
      </c>
      <c r="I906" s="343"/>
      <c r="J906" s="343">
        <f>TBi!N$442</f>
        <v>10.388000000000002</v>
      </c>
      <c r="K906" s="343">
        <f>SUM(E906:J906)</f>
        <v>767.33717521367544</v>
      </c>
      <c r="L906" s="320">
        <f t="shared" si="286"/>
        <v>115.10057628205131</v>
      </c>
      <c r="M906" s="344">
        <f>K906+L906</f>
        <v>882.43775149572673</v>
      </c>
      <c r="N906" s="343"/>
      <c r="O906" s="343">
        <f>NhanCong!Z$182</f>
        <v>18.380341880341881</v>
      </c>
    </row>
    <row r="907" spans="1:17" s="345" customFormat="1" ht="26">
      <c r="A907" s="323" t="s">
        <v>367</v>
      </c>
      <c r="B907" s="324" t="str">
        <f>NhanCong!B$183</f>
        <v>Giao nộp sản phẩm (công nhóm/mảnh)</v>
      </c>
      <c r="C907" s="341" t="s">
        <v>317</v>
      </c>
      <c r="D907" s="341" t="s">
        <v>679</v>
      </c>
      <c r="E907" s="342">
        <f>NhanCong!Y$183</f>
        <v>1298.4241111111114</v>
      </c>
      <c r="F907" s="342"/>
      <c r="G907" s="343">
        <f>Dcu!Q$304</f>
        <v>14.287119658119662</v>
      </c>
      <c r="H907" s="343">
        <f>VLieu!O$181</f>
        <v>93.45</v>
      </c>
      <c r="I907" s="343"/>
      <c r="J907" s="343">
        <f>TBi!N$442</f>
        <v>10.388000000000002</v>
      </c>
      <c r="K907" s="343">
        <f>SUM(E907:J907)</f>
        <v>1416.5492307692311</v>
      </c>
      <c r="L907" s="320">
        <f>K907*0.15</f>
        <v>212.48238461538466</v>
      </c>
      <c r="M907" s="344">
        <f>K907+L907</f>
        <v>1629.0316153846159</v>
      </c>
      <c r="N907" s="343"/>
      <c r="O907" s="343">
        <f>NhanCong!Z$183</f>
        <v>36.760683760683762</v>
      </c>
    </row>
    <row r="908" spans="1:17" s="345" customFormat="1">
      <c r="A908" s="298" t="s">
        <v>37</v>
      </c>
      <c r="B908" s="316" t="s">
        <v>425</v>
      </c>
      <c r="C908" s="337" t="s">
        <v>349</v>
      </c>
      <c r="D908" s="333"/>
      <c r="E908" s="301"/>
      <c r="F908" s="301"/>
      <c r="G908" s="301"/>
      <c r="H908" s="301"/>
      <c r="I908" s="301"/>
      <c r="J908" s="301"/>
      <c r="K908" s="301"/>
      <c r="L908" s="301"/>
      <c r="M908" s="302">
        <v>100</v>
      </c>
      <c r="N908" s="301" t="s">
        <v>21</v>
      </c>
      <c r="O908" s="301"/>
    </row>
    <row r="909" spans="1:17" s="345" customFormat="1" ht="13.15" customHeight="1">
      <c r="A909" s="1036"/>
      <c r="B909" s="1035" t="s">
        <v>190</v>
      </c>
      <c r="C909" s="298">
        <f>HeSoKK!B34</f>
        <v>1.1000000000000001</v>
      </c>
      <c r="D909" s="298">
        <v>1</v>
      </c>
      <c r="E909" s="301">
        <f>E952/C909+(E956+E960)/100</f>
        <v>555265.61347222235</v>
      </c>
      <c r="F909" s="301">
        <f>F952/C909+(F956+F960)/100</f>
        <v>30417.538461538461</v>
      </c>
      <c r="G909" s="301">
        <f>G952/C909+(G956+G960)/100</f>
        <v>3016.9184498834497</v>
      </c>
      <c r="H909" s="301">
        <f>H952/C909+(H956+H960)/100</f>
        <v>3681288.0865909089</v>
      </c>
      <c r="I909" s="301"/>
      <c r="J909" s="301">
        <f>J952/C909+(J956+J960)/100</f>
        <v>46.968599999999995</v>
      </c>
      <c r="K909" s="301">
        <f t="shared" ref="K909:K916" si="288">SUM(E909:J909)</f>
        <v>4270035.1255745534</v>
      </c>
      <c r="L909" s="301">
        <f>K909*0.25</f>
        <v>1067508.7813936383</v>
      </c>
      <c r="M909" s="315">
        <f t="shared" ref="M909:M916" si="289">K909+L909</f>
        <v>5337543.9069681913</v>
      </c>
      <c r="N909" s="301">
        <f>M909+M913</f>
        <v>5409167.0967708277</v>
      </c>
      <c r="O909" s="301">
        <f>O952/C909+(O956+O960)/100</f>
        <v>15735.587606837606</v>
      </c>
      <c r="Q909" s="346"/>
    </row>
    <row r="910" spans="1:17" s="345" customFormat="1" ht="13.15" customHeight="1">
      <c r="A910" s="1036"/>
      <c r="B910" s="1035"/>
      <c r="C910" s="298">
        <f>HeSoKK!D34</f>
        <v>3</v>
      </c>
      <c r="D910" s="298">
        <v>2</v>
      </c>
      <c r="E910" s="301">
        <f>E953/C910+(E957+E961)/100</f>
        <v>659146.188402778</v>
      </c>
      <c r="F910" s="301">
        <f>F953/C910+(F957+F961)/100</f>
        <v>36475.576923076922</v>
      </c>
      <c r="G910" s="301">
        <f>G953/C910+(G957+G961)/100</f>
        <v>3730.9376469017093</v>
      </c>
      <c r="H910" s="301">
        <f>H953/C910+(H957+H961)/100</f>
        <v>1351197.1775</v>
      </c>
      <c r="I910" s="301"/>
      <c r="J910" s="301">
        <f>J953/C910+(J957+J961)/100</f>
        <v>53.646599999999999</v>
      </c>
      <c r="K910" s="301">
        <f t="shared" si="288"/>
        <v>2050603.5270727566</v>
      </c>
      <c r="L910" s="301">
        <f>K910*0.25</f>
        <v>512650.88176818914</v>
      </c>
      <c r="M910" s="315">
        <f t="shared" si="289"/>
        <v>2563254.4088409459</v>
      </c>
      <c r="N910" s="301">
        <f>M910+M914</f>
        <v>2630111.7131856345</v>
      </c>
      <c r="O910" s="301">
        <f>O953/C910+(O957+O961)/100</f>
        <v>18668.210470085469</v>
      </c>
      <c r="Q910" s="346"/>
    </row>
    <row r="911" spans="1:17" s="345" customFormat="1" ht="13.15" customHeight="1">
      <c r="A911" s="1036"/>
      <c r="B911" s="1035"/>
      <c r="C911" s="298">
        <f>HeSoKK!F34</f>
        <v>6</v>
      </c>
      <c r="D911" s="298">
        <v>3</v>
      </c>
      <c r="E911" s="301">
        <f>E954/C911+(E958+E962)/100</f>
        <v>794309.18072916684</v>
      </c>
      <c r="F911" s="301">
        <f>F954/C911+(F958+F962)/100</f>
        <v>43770.692307692312</v>
      </c>
      <c r="G911" s="301">
        <f>G954/C911+(G958+G962)/100</f>
        <v>4959.0637197293454</v>
      </c>
      <c r="H911" s="301">
        <f>H954/C911+(H958+H962)/100</f>
        <v>676697.17749999999</v>
      </c>
      <c r="I911" s="301"/>
      <c r="J911" s="301">
        <f>J954/C911+(J958+J962)/100</f>
        <v>71.677200000000013</v>
      </c>
      <c r="K911" s="301">
        <f t="shared" si="288"/>
        <v>1519807.7914565883</v>
      </c>
      <c r="L911" s="301">
        <f>K911*0.25</f>
        <v>379951.94786414708</v>
      </c>
      <c r="M911" s="315">
        <f t="shared" si="289"/>
        <v>1899759.7393207354</v>
      </c>
      <c r="N911" s="301">
        <f>M911+M915</f>
        <v>1969609.5335481509</v>
      </c>
      <c r="O911" s="301">
        <f>O954/C911+(O958+O962)/100</f>
        <v>22492.267628205125</v>
      </c>
      <c r="Q911" s="346"/>
    </row>
    <row r="912" spans="1:17" s="345" customFormat="1" ht="13.15" customHeight="1">
      <c r="A912" s="1036"/>
      <c r="B912" s="1035"/>
      <c r="C912" s="298">
        <f>HeSoKK!H34</f>
        <v>8.5</v>
      </c>
      <c r="D912" s="298">
        <v>4</v>
      </c>
      <c r="E912" s="301">
        <f>E955/C912+(E959+E963)/100</f>
        <v>947185.52427205897</v>
      </c>
      <c r="F912" s="301">
        <f>F955/C912+(F959+F963)/100</f>
        <v>52539.384615384617</v>
      </c>
      <c r="G912" s="301">
        <f>G955/C912+(G959+G963)/100</f>
        <v>5449.9489768728017</v>
      </c>
      <c r="H912" s="301">
        <f>H955/C912+(H959+H963)/100</f>
        <v>478314.82455882354</v>
      </c>
      <c r="I912" s="301"/>
      <c r="J912" s="301">
        <f>J955/C912+(J959+J963)/100</f>
        <v>78.355200000000011</v>
      </c>
      <c r="K912" s="301">
        <f t="shared" si="288"/>
        <v>1483568.03762314</v>
      </c>
      <c r="L912" s="301">
        <f>K912*0.25</f>
        <v>370892.00940578501</v>
      </c>
      <c r="M912" s="315">
        <f t="shared" si="289"/>
        <v>1854460.047028925</v>
      </c>
      <c r="N912" s="301">
        <f>M912+M916</f>
        <v>1925834.3525239003</v>
      </c>
      <c r="O912" s="301">
        <f>O955/C912+(O959+O963)/100</f>
        <v>26819.860294117643</v>
      </c>
      <c r="Q912" s="346"/>
    </row>
    <row r="913" spans="1:15" s="345" customFormat="1">
      <c r="A913" s="1036"/>
      <c r="B913" s="1035" t="s">
        <v>192</v>
      </c>
      <c r="C913" s="298">
        <f>C909</f>
        <v>1.1000000000000001</v>
      </c>
      <c r="D913" s="298">
        <v>1</v>
      </c>
      <c r="E913" s="301">
        <f>(E965+E975+E976+E977)/C913+(E969+E973+E974)/100</f>
        <v>46153.876388888901</v>
      </c>
      <c r="F913" s="301">
        <f>(F965+F975+F976+F977)/C913+(F969+F973+F974)/100</f>
        <v>0</v>
      </c>
      <c r="G913" s="301">
        <f>(G965+G975+G976+G977)/C913+(G969+G973+G974)/100</f>
        <v>1019.8131584629198</v>
      </c>
      <c r="H913" s="301">
        <f>(H965+H975+H976+H977)/C913+(H969+H973+H974)/100</f>
        <v>13915.92803030303</v>
      </c>
      <c r="I913" s="301"/>
      <c r="J913" s="301">
        <f>(J965+J975+J976+J977)/C913+(J969+J973+J974)/100</f>
        <v>1191.4170333333334</v>
      </c>
      <c r="K913" s="301">
        <f t="shared" si="288"/>
        <v>62281.034610988187</v>
      </c>
      <c r="L913" s="301">
        <f>K913*0.15</f>
        <v>9342.1551916482276</v>
      </c>
      <c r="M913" s="315">
        <f t="shared" si="289"/>
        <v>71623.189802636422</v>
      </c>
      <c r="N913" s="301"/>
      <c r="O913" s="301">
        <f>(O965+O975+O976+O977)/C913+(O969+O973+O974)/100</f>
        <v>1246.8162393162393</v>
      </c>
    </row>
    <row r="914" spans="1:15" s="345" customFormat="1">
      <c r="A914" s="1036"/>
      <c r="B914" s="1035"/>
      <c r="C914" s="298">
        <f>C910</f>
        <v>3</v>
      </c>
      <c r="D914" s="298">
        <v>2</v>
      </c>
      <c r="E914" s="301">
        <f>(E966+E975+E976+E977)/C914+(E970+E973+E974)/100</f>
        <v>42197.118964814821</v>
      </c>
      <c r="F914" s="301">
        <f>(F966+F975+F976+F977)/C914+(F970+F973+F974)/100</f>
        <v>0</v>
      </c>
      <c r="G914" s="301">
        <f>(G966+G975+G976+G977)/C914+(G970+G973+G974)/100</f>
        <v>1024.266360759734</v>
      </c>
      <c r="H914" s="301">
        <f>(H966+H975+H976+H977)/C914+(H970+H973+H974)/100</f>
        <v>13805.140277777778</v>
      </c>
      <c r="I914" s="301"/>
      <c r="J914" s="301">
        <f>(J966+J975+J976+J977)/C914+(J970+J973+J974)/100</f>
        <v>1110.2607833333334</v>
      </c>
      <c r="K914" s="301">
        <f t="shared" si="288"/>
        <v>58136.786386685664</v>
      </c>
      <c r="L914" s="301">
        <f>K914*0.15</f>
        <v>8720.5179580028489</v>
      </c>
      <c r="M914" s="315">
        <f t="shared" si="289"/>
        <v>66857.304344688513</v>
      </c>
      <c r="N914" s="301"/>
      <c r="O914" s="301">
        <f>(O966+O975+O976+O977)/C914+(O970+O973+O974)/100</f>
        <v>1128.8052706552705</v>
      </c>
    </row>
    <row r="915" spans="1:15" s="345" customFormat="1">
      <c r="A915" s="1036"/>
      <c r="B915" s="1035"/>
      <c r="C915" s="298">
        <f>C911</f>
        <v>6</v>
      </c>
      <c r="D915" s="298">
        <v>3</v>
      </c>
      <c r="E915" s="301">
        <f>(E967+E975+E976+E977)/C915+(E971+E973+E974)/100</f>
        <v>44689.370427777787</v>
      </c>
      <c r="F915" s="301">
        <f>(F967+F975+F976+F977)/C915+(F971+F973+F974)/100</f>
        <v>0</v>
      </c>
      <c r="G915" s="301">
        <f>(G967+G975+G976+G977)/C915+(G971+G973+G974)/100</f>
        <v>1123.6212215447927</v>
      </c>
      <c r="H915" s="301">
        <f>(H967+H975+H976+H977)/C915+(H971+H973+H974)/100</f>
        <v>13773.070138888888</v>
      </c>
      <c r="I915" s="301"/>
      <c r="J915" s="301">
        <f>(J967+J975+J976+J977)/C915+(J971+J973+J974)/100</f>
        <v>1152.889713888889</v>
      </c>
      <c r="K915" s="301">
        <f t="shared" si="288"/>
        <v>60738.951502100361</v>
      </c>
      <c r="L915" s="301">
        <f>K915*0.15</f>
        <v>9110.842725315053</v>
      </c>
      <c r="M915" s="315">
        <f t="shared" si="289"/>
        <v>69849.794227415419</v>
      </c>
      <c r="N915" s="301"/>
      <c r="O915" s="301">
        <f>(O967+O975+O976+O977)/C915+(O971+O973+O974)/100</f>
        <v>1184.6670940170941</v>
      </c>
    </row>
    <row r="916" spans="1:15" s="345" customFormat="1">
      <c r="A916" s="1036"/>
      <c r="B916" s="1035"/>
      <c r="C916" s="298">
        <f>C912</f>
        <v>8.5</v>
      </c>
      <c r="D916" s="298">
        <v>4</v>
      </c>
      <c r="E916" s="301">
        <f>(E968+E975+E976+E977)/C916+(E972+E973+E974)/100</f>
        <v>45958.712188888894</v>
      </c>
      <c r="F916" s="301">
        <f>(F968+F975+F976+F977)/C916+(F972+F973+F974)/100</f>
        <v>0</v>
      </c>
      <c r="G916" s="301">
        <f>(G968+G975+G976+G977)/C916+(G972+G973+G974)/100</f>
        <v>1166.2117261790961</v>
      </c>
      <c r="H916" s="301">
        <f>(H968+H975+H976+H977)/C916+(H972+H973+H974)/100</f>
        <v>13763.63774509804</v>
      </c>
      <c r="I916" s="301"/>
      <c r="J916" s="301">
        <f>(J968+J975+J976+J977)/C916+(J972+J973+J974)/100</f>
        <v>1176.0518137254903</v>
      </c>
      <c r="K916" s="301">
        <f t="shared" si="288"/>
        <v>62064.613473891521</v>
      </c>
      <c r="L916" s="301">
        <f>K916*0.15</f>
        <v>9309.692021083727</v>
      </c>
      <c r="M916" s="315">
        <f t="shared" si="289"/>
        <v>71374.30549497524</v>
      </c>
      <c r="N916" s="301"/>
      <c r="O916" s="301">
        <f>(O968+O975+O976+O977)/C916+(O972+O973+O974)/100</f>
        <v>1214.6162393162392</v>
      </c>
    </row>
    <row r="917" spans="1:15" s="345" customFormat="1" ht="13.5">
      <c r="A917" s="298"/>
      <c r="B917" s="340"/>
      <c r="C917" s="298"/>
      <c r="D917" s="298"/>
      <c r="E917" s="301"/>
      <c r="F917" s="301"/>
      <c r="G917" s="301"/>
      <c r="H917" s="301"/>
      <c r="I917" s="301"/>
      <c r="J917" s="301"/>
      <c r="K917" s="301"/>
      <c r="L917" s="301"/>
      <c r="M917" s="315"/>
      <c r="N917" s="301"/>
      <c r="O917" s="301"/>
    </row>
    <row r="918" spans="1:15" s="345" customFormat="1" ht="13.5">
      <c r="A918" s="298"/>
      <c r="B918" s="340" t="s">
        <v>332</v>
      </c>
      <c r="C918" s="298"/>
      <c r="D918" s="298"/>
      <c r="E918" s="301"/>
      <c r="F918" s="301"/>
      <c r="G918" s="301"/>
      <c r="H918" s="301"/>
      <c r="I918" s="301"/>
      <c r="J918" s="301"/>
      <c r="K918" s="301"/>
      <c r="L918" s="301"/>
      <c r="M918" s="315"/>
      <c r="N918" s="301"/>
      <c r="O918" s="301"/>
    </row>
    <row r="919" spans="1:15" s="345" customFormat="1" ht="13.5">
      <c r="A919" s="298" t="s">
        <v>499</v>
      </c>
      <c r="B919" s="340" t="s">
        <v>333</v>
      </c>
      <c r="C919" s="298"/>
      <c r="D919" s="298"/>
      <c r="E919" s="301"/>
      <c r="F919" s="301"/>
      <c r="G919" s="301"/>
      <c r="H919" s="301"/>
      <c r="I919" s="301"/>
      <c r="J919" s="301"/>
      <c r="K919" s="301"/>
      <c r="L919" s="301"/>
      <c r="M919" s="315"/>
      <c r="N919" s="301"/>
      <c r="O919" s="301"/>
    </row>
    <row r="920" spans="1:15" s="345" customFormat="1" ht="13.15" customHeight="1">
      <c r="A920" s="1036"/>
      <c r="B920" s="1037" t="s">
        <v>330</v>
      </c>
      <c r="C920" s="1036" t="s">
        <v>49</v>
      </c>
      <c r="D920" s="298">
        <v>1</v>
      </c>
      <c r="E920" s="301">
        <f t="shared" ref="E920:H923" si="290">E909-E956/100</f>
        <v>520465.93784722232</v>
      </c>
      <c r="F920" s="301">
        <f t="shared" si="290"/>
        <v>30417.538461538461</v>
      </c>
      <c r="G920" s="301">
        <f t="shared" si="290"/>
        <v>2534.8426806526804</v>
      </c>
      <c r="H920" s="301">
        <f t="shared" si="290"/>
        <v>3681183.459090909</v>
      </c>
      <c r="I920" s="301"/>
      <c r="J920" s="301">
        <f>J909-J956/100</f>
        <v>43.406999999999996</v>
      </c>
      <c r="K920" s="301">
        <f t="shared" ref="K920:K927" si="291">SUM(E920:J920)</f>
        <v>4234645.1850803224</v>
      </c>
      <c r="L920" s="301">
        <f>K920*0.25</f>
        <v>1058661.2962700806</v>
      </c>
      <c r="M920" s="315">
        <f t="shared" ref="M920:M927" si="292">K920+L920</f>
        <v>5293306.4813504033</v>
      </c>
      <c r="N920" s="301">
        <f>M920+M924</f>
        <v>5364929.6711530397</v>
      </c>
      <c r="O920" s="301">
        <f>O909-O956/100</f>
        <v>14750.347222222221</v>
      </c>
    </row>
    <row r="921" spans="1:15" s="345" customFormat="1" ht="13.15" customHeight="1">
      <c r="A921" s="1036"/>
      <c r="B921" s="1037"/>
      <c r="C921" s="1036"/>
      <c r="D921" s="298">
        <v>2</v>
      </c>
      <c r="E921" s="301">
        <f t="shared" si="290"/>
        <v>619191.00527777802</v>
      </c>
      <c r="F921" s="301">
        <f t="shared" si="290"/>
        <v>36475.576923076922</v>
      </c>
      <c r="G921" s="301">
        <f t="shared" si="290"/>
        <v>3128.3429353632478</v>
      </c>
      <c r="H921" s="301">
        <f t="shared" si="290"/>
        <v>1351092.55</v>
      </c>
      <c r="I921" s="301"/>
      <c r="J921" s="301">
        <f>J910-J957/100</f>
        <v>49.194600000000001</v>
      </c>
      <c r="K921" s="301">
        <f t="shared" si="291"/>
        <v>2009936.6697362182</v>
      </c>
      <c r="L921" s="301">
        <f>K921*0.25</f>
        <v>502484.16743405454</v>
      </c>
      <c r="M921" s="315">
        <f t="shared" si="292"/>
        <v>2512420.8371702726</v>
      </c>
      <c r="N921" s="301">
        <f>M921+M925</f>
        <v>2579278.1415149611</v>
      </c>
      <c r="O921" s="301">
        <f>O910-O957/100</f>
        <v>17537.008547008547</v>
      </c>
    </row>
    <row r="922" spans="1:15" s="345" customFormat="1" ht="13.15" customHeight="1">
      <c r="A922" s="1036"/>
      <c r="B922" s="1037"/>
      <c r="C922" s="1036"/>
      <c r="D922" s="298">
        <v>3</v>
      </c>
      <c r="E922" s="301">
        <f t="shared" si="290"/>
        <v>741035.60322916682</v>
      </c>
      <c r="F922" s="301">
        <f t="shared" si="290"/>
        <v>43770.692307692312</v>
      </c>
      <c r="G922" s="301">
        <f t="shared" si="290"/>
        <v>4155.6041043447294</v>
      </c>
      <c r="H922" s="301">
        <f t="shared" si="290"/>
        <v>676592.55</v>
      </c>
      <c r="I922" s="301"/>
      <c r="J922" s="301">
        <f>J911-J958/100</f>
        <v>66.557400000000015</v>
      </c>
      <c r="K922" s="301">
        <f t="shared" si="291"/>
        <v>1465621.007041204</v>
      </c>
      <c r="L922" s="301">
        <f>K922*0.25</f>
        <v>366405.25176030101</v>
      </c>
      <c r="M922" s="315">
        <f t="shared" si="292"/>
        <v>1832026.258801505</v>
      </c>
      <c r="N922" s="301">
        <f>M922+M926</f>
        <v>1901876.0530289204</v>
      </c>
      <c r="O922" s="301">
        <f>O911-O958/100</f>
        <v>20983.998397435895</v>
      </c>
    </row>
    <row r="923" spans="1:15" s="345" customFormat="1" ht="13.15" customHeight="1">
      <c r="A923" s="1036"/>
      <c r="B923" s="1037"/>
      <c r="C923" s="1036"/>
      <c r="D923" s="298">
        <v>4</v>
      </c>
      <c r="E923" s="301">
        <f t="shared" si="290"/>
        <v>888756.43927205889</v>
      </c>
      <c r="F923" s="301">
        <f t="shared" si="290"/>
        <v>52539.384615384617</v>
      </c>
      <c r="G923" s="301">
        <f t="shared" si="290"/>
        <v>4566.1433999497249</v>
      </c>
      <c r="H923" s="301">
        <f t="shared" si="290"/>
        <v>478210.19705882354</v>
      </c>
      <c r="I923" s="301"/>
      <c r="J923" s="301">
        <f>J912-J959/100</f>
        <v>72.345000000000013</v>
      </c>
      <c r="K923" s="301">
        <f t="shared" si="291"/>
        <v>1424144.5093462167</v>
      </c>
      <c r="L923" s="301">
        <f>K923*0.25</f>
        <v>356036.12733655417</v>
      </c>
      <c r="M923" s="315">
        <f t="shared" si="292"/>
        <v>1780180.6366827709</v>
      </c>
      <c r="N923" s="301">
        <f>M923+M927</f>
        <v>1851554.9421777462</v>
      </c>
      <c r="O923" s="301">
        <f>O912-O959/100</f>
        <v>25165.629524886874</v>
      </c>
    </row>
    <row r="924" spans="1:15" s="345" customFormat="1">
      <c r="A924" s="1036"/>
      <c r="B924" s="1037" t="s">
        <v>331</v>
      </c>
      <c r="C924" s="1036" t="s">
        <v>49</v>
      </c>
      <c r="D924" s="298">
        <v>1</v>
      </c>
      <c r="E924" s="301">
        <f t="shared" ref="E924:J927" si="293">E913</f>
        <v>46153.876388888901</v>
      </c>
      <c r="F924" s="301">
        <f t="shared" si="293"/>
        <v>0</v>
      </c>
      <c r="G924" s="301">
        <f t="shared" si="293"/>
        <v>1019.8131584629198</v>
      </c>
      <c r="H924" s="301">
        <f t="shared" si="293"/>
        <v>13915.92803030303</v>
      </c>
      <c r="I924" s="301"/>
      <c r="J924" s="301">
        <f t="shared" si="293"/>
        <v>1191.4170333333334</v>
      </c>
      <c r="K924" s="301">
        <f t="shared" si="291"/>
        <v>62281.034610988187</v>
      </c>
      <c r="L924" s="301">
        <f>K924*0.15</f>
        <v>9342.1551916482276</v>
      </c>
      <c r="M924" s="315">
        <f t="shared" si="292"/>
        <v>71623.189802636422</v>
      </c>
      <c r="N924" s="301"/>
      <c r="O924" s="301">
        <f t="shared" ref="O924:O927" si="294">O913</f>
        <v>1246.8162393162393</v>
      </c>
    </row>
    <row r="925" spans="1:15" s="345" customFormat="1">
      <c r="A925" s="1036"/>
      <c r="B925" s="1035"/>
      <c r="C925" s="1036"/>
      <c r="D925" s="298">
        <v>2</v>
      </c>
      <c r="E925" s="301">
        <f t="shared" si="293"/>
        <v>42197.118964814821</v>
      </c>
      <c r="F925" s="301">
        <f t="shared" si="293"/>
        <v>0</v>
      </c>
      <c r="G925" s="301">
        <f t="shared" si="293"/>
        <v>1024.266360759734</v>
      </c>
      <c r="H925" s="301">
        <f t="shared" si="293"/>
        <v>13805.140277777778</v>
      </c>
      <c r="I925" s="301"/>
      <c r="J925" s="301">
        <f t="shared" si="293"/>
        <v>1110.2607833333334</v>
      </c>
      <c r="K925" s="301">
        <f t="shared" si="291"/>
        <v>58136.786386685664</v>
      </c>
      <c r="L925" s="301">
        <f>K925*0.15</f>
        <v>8720.5179580028489</v>
      </c>
      <c r="M925" s="315">
        <f t="shared" si="292"/>
        <v>66857.304344688513</v>
      </c>
      <c r="N925" s="301"/>
      <c r="O925" s="301">
        <f t="shared" si="294"/>
        <v>1128.8052706552705</v>
      </c>
    </row>
    <row r="926" spans="1:15" s="345" customFormat="1">
      <c r="A926" s="1036"/>
      <c r="B926" s="1035"/>
      <c r="C926" s="1036"/>
      <c r="D926" s="298">
        <v>3</v>
      </c>
      <c r="E926" s="301">
        <f t="shared" si="293"/>
        <v>44689.370427777787</v>
      </c>
      <c r="F926" s="301">
        <f t="shared" si="293"/>
        <v>0</v>
      </c>
      <c r="G926" s="301">
        <f t="shared" si="293"/>
        <v>1123.6212215447927</v>
      </c>
      <c r="H926" s="301">
        <f t="shared" si="293"/>
        <v>13773.070138888888</v>
      </c>
      <c r="I926" s="301"/>
      <c r="J926" s="301">
        <f t="shared" si="293"/>
        <v>1152.889713888889</v>
      </c>
      <c r="K926" s="301">
        <f t="shared" si="291"/>
        <v>60738.951502100361</v>
      </c>
      <c r="L926" s="301">
        <f>K926*0.15</f>
        <v>9110.842725315053</v>
      </c>
      <c r="M926" s="315">
        <f t="shared" si="292"/>
        <v>69849.794227415419</v>
      </c>
      <c r="N926" s="301"/>
      <c r="O926" s="301">
        <f t="shared" si="294"/>
        <v>1184.6670940170941</v>
      </c>
    </row>
    <row r="927" spans="1:15" s="345" customFormat="1">
      <c r="A927" s="1036"/>
      <c r="B927" s="1035"/>
      <c r="C927" s="1036"/>
      <c r="D927" s="298">
        <v>4</v>
      </c>
      <c r="E927" s="301">
        <f t="shared" si="293"/>
        <v>45958.712188888894</v>
      </c>
      <c r="F927" s="301">
        <f t="shared" si="293"/>
        <v>0</v>
      </c>
      <c r="G927" s="301">
        <f t="shared" si="293"/>
        <v>1166.2117261790961</v>
      </c>
      <c r="H927" s="301">
        <f t="shared" si="293"/>
        <v>13763.63774509804</v>
      </c>
      <c r="I927" s="301"/>
      <c r="J927" s="301">
        <f t="shared" si="293"/>
        <v>1176.0518137254903</v>
      </c>
      <c r="K927" s="301">
        <f t="shared" si="291"/>
        <v>62064.613473891521</v>
      </c>
      <c r="L927" s="301">
        <f>K927*0.15</f>
        <v>9309.692021083727</v>
      </c>
      <c r="M927" s="315">
        <f t="shared" si="292"/>
        <v>71374.30549497524</v>
      </c>
      <c r="N927" s="301"/>
      <c r="O927" s="301">
        <f t="shared" si="294"/>
        <v>1214.6162393162392</v>
      </c>
    </row>
    <row r="928" spans="1:15" s="345" customFormat="1" ht="13.5">
      <c r="A928" s="298" t="s">
        <v>500</v>
      </c>
      <c r="B928" s="340" t="s">
        <v>423</v>
      </c>
      <c r="C928" s="298"/>
      <c r="D928" s="298"/>
      <c r="E928" s="301"/>
      <c r="F928" s="301"/>
      <c r="G928" s="301"/>
      <c r="H928" s="301"/>
      <c r="I928" s="301"/>
      <c r="J928" s="301"/>
      <c r="K928" s="301"/>
      <c r="L928" s="301"/>
      <c r="M928" s="315"/>
      <c r="N928" s="301"/>
      <c r="O928" s="301"/>
    </row>
    <row r="929" spans="1:15" s="345" customFormat="1">
      <c r="A929" s="1036"/>
      <c r="B929" s="1037" t="s">
        <v>330</v>
      </c>
      <c r="C929" s="1036" t="s">
        <v>21</v>
      </c>
      <c r="D929" s="298">
        <v>1</v>
      </c>
      <c r="E929" s="301">
        <f t="shared" ref="E929:G936" si="295">E909*0.9</f>
        <v>499739.0521250001</v>
      </c>
      <c r="F929" s="301">
        <f t="shared" si="295"/>
        <v>27375.784615384615</v>
      </c>
      <c r="G929" s="301">
        <f t="shared" si="295"/>
        <v>2715.2266048951046</v>
      </c>
      <c r="H929" s="301">
        <f t="shared" ref="H929:H936" si="296">H909</f>
        <v>3681288.0865909089</v>
      </c>
      <c r="I929" s="301"/>
      <c r="J929" s="301">
        <f t="shared" ref="J929:J936" si="297">J909*0.9</f>
        <v>42.271739999999994</v>
      </c>
      <c r="K929" s="301">
        <f t="shared" ref="K929:K936" si="298">SUM(E929:J929)</f>
        <v>4211160.4216761887</v>
      </c>
      <c r="L929" s="301">
        <f>K929*0.25</f>
        <v>1052790.1054190472</v>
      </c>
      <c r="M929" s="315">
        <f t="shared" ref="M929:M936" si="299">K929+L929</f>
        <v>5263950.5270952359</v>
      </c>
      <c r="N929" s="301">
        <f>M929+M933</f>
        <v>5330011.7296410939</v>
      </c>
      <c r="O929" s="301">
        <f t="shared" ref="O929:O936" si="300">O909*0.9</f>
        <v>14162.028846153846</v>
      </c>
    </row>
    <row r="930" spans="1:15" s="345" customFormat="1">
      <c r="A930" s="1036"/>
      <c r="B930" s="1035"/>
      <c r="C930" s="1036"/>
      <c r="D930" s="298">
        <v>2</v>
      </c>
      <c r="E930" s="301">
        <f t="shared" si="295"/>
        <v>593231.56956250023</v>
      </c>
      <c r="F930" s="301">
        <f t="shared" si="295"/>
        <v>32828.019230769234</v>
      </c>
      <c r="G930" s="301">
        <f t="shared" si="295"/>
        <v>3357.8438822115386</v>
      </c>
      <c r="H930" s="301">
        <f t="shared" si="296"/>
        <v>1351197.1775</v>
      </c>
      <c r="I930" s="301"/>
      <c r="J930" s="301">
        <f t="shared" si="297"/>
        <v>48.281939999999999</v>
      </c>
      <c r="K930" s="301">
        <f t="shared" si="298"/>
        <v>1980662.892115481</v>
      </c>
      <c r="L930" s="301">
        <f>K930*0.25</f>
        <v>495165.72302887024</v>
      </c>
      <c r="M930" s="315">
        <f t="shared" si="299"/>
        <v>2475828.615144351</v>
      </c>
      <c r="N930" s="301">
        <f>M930+M934</f>
        <v>2537587.7801865153</v>
      </c>
      <c r="O930" s="301">
        <f t="shared" si="300"/>
        <v>16801.389423076922</v>
      </c>
    </row>
    <row r="931" spans="1:15" s="345" customFormat="1">
      <c r="A931" s="1036"/>
      <c r="B931" s="1035"/>
      <c r="C931" s="1036"/>
      <c r="D931" s="298">
        <v>3</v>
      </c>
      <c r="E931" s="301">
        <f t="shared" si="295"/>
        <v>714878.26265625015</v>
      </c>
      <c r="F931" s="301">
        <f t="shared" si="295"/>
        <v>39393.623076923082</v>
      </c>
      <c r="G931" s="301">
        <f t="shared" si="295"/>
        <v>4463.1573477564107</v>
      </c>
      <c r="H931" s="301">
        <f t="shared" si="296"/>
        <v>676697.17749999999</v>
      </c>
      <c r="I931" s="301"/>
      <c r="J931" s="301">
        <f t="shared" si="297"/>
        <v>64.509480000000011</v>
      </c>
      <c r="K931" s="301">
        <f t="shared" si="298"/>
        <v>1435496.7300609297</v>
      </c>
      <c r="L931" s="301">
        <f>K931*0.25</f>
        <v>358874.18251523242</v>
      </c>
      <c r="M931" s="315">
        <f t="shared" si="299"/>
        <v>1794370.912576162</v>
      </c>
      <c r="N931" s="301">
        <f>M931+M935</f>
        <v>1858819.6304468082</v>
      </c>
      <c r="O931" s="301">
        <f t="shared" si="300"/>
        <v>20243.040865384613</v>
      </c>
    </row>
    <row r="932" spans="1:15" s="345" customFormat="1">
      <c r="A932" s="1036"/>
      <c r="B932" s="1035"/>
      <c r="C932" s="1036"/>
      <c r="D932" s="298">
        <v>4</v>
      </c>
      <c r="E932" s="301">
        <f t="shared" si="295"/>
        <v>852466.97184485313</v>
      </c>
      <c r="F932" s="301">
        <f t="shared" si="295"/>
        <v>47285.446153846155</v>
      </c>
      <c r="G932" s="301">
        <f t="shared" si="295"/>
        <v>4904.9540791855216</v>
      </c>
      <c r="H932" s="301">
        <f t="shared" si="296"/>
        <v>478314.82455882354</v>
      </c>
      <c r="I932" s="301"/>
      <c r="J932" s="301">
        <f t="shared" si="297"/>
        <v>70.519680000000008</v>
      </c>
      <c r="K932" s="301">
        <f t="shared" si="298"/>
        <v>1383042.7163167081</v>
      </c>
      <c r="L932" s="301">
        <f>K932*0.25</f>
        <v>345760.67907917703</v>
      </c>
      <c r="M932" s="315">
        <f t="shared" si="299"/>
        <v>1728803.3953958852</v>
      </c>
      <c r="N932" s="301">
        <f>M932+M936</f>
        <v>1794623.0886820492</v>
      </c>
      <c r="O932" s="301">
        <f t="shared" si="300"/>
        <v>24137.874264705879</v>
      </c>
    </row>
    <row r="933" spans="1:15" s="345" customFormat="1">
      <c r="A933" s="1036"/>
      <c r="B933" s="1037" t="s">
        <v>331</v>
      </c>
      <c r="C933" s="1036" t="s">
        <v>21</v>
      </c>
      <c r="D933" s="333" t="s">
        <v>18</v>
      </c>
      <c r="E933" s="301">
        <f t="shared" si="295"/>
        <v>41538.488750000011</v>
      </c>
      <c r="F933" s="301">
        <f t="shared" si="295"/>
        <v>0</v>
      </c>
      <c r="G933" s="301">
        <f t="shared" si="295"/>
        <v>917.8318426166278</v>
      </c>
      <c r="H933" s="301">
        <f t="shared" si="296"/>
        <v>13915.92803030303</v>
      </c>
      <c r="I933" s="301"/>
      <c r="J933" s="301">
        <f t="shared" si="297"/>
        <v>1072.2753300000002</v>
      </c>
      <c r="K933" s="301">
        <f t="shared" si="298"/>
        <v>57444.52395291967</v>
      </c>
      <c r="L933" s="301">
        <f>K933*0.15</f>
        <v>8616.6785929379494</v>
      </c>
      <c r="M933" s="315">
        <f t="shared" si="299"/>
        <v>66061.202545857625</v>
      </c>
      <c r="N933" s="301"/>
      <c r="O933" s="301">
        <f t="shared" si="300"/>
        <v>1122.1346153846155</v>
      </c>
    </row>
    <row r="934" spans="1:15" s="345" customFormat="1">
      <c r="A934" s="1036"/>
      <c r="B934" s="1035"/>
      <c r="C934" s="1036"/>
      <c r="D934" s="298">
        <v>2</v>
      </c>
      <c r="E934" s="301">
        <f t="shared" si="295"/>
        <v>37977.407068333341</v>
      </c>
      <c r="F934" s="301">
        <f t="shared" si="295"/>
        <v>0</v>
      </c>
      <c r="G934" s="301">
        <f t="shared" si="295"/>
        <v>921.83972468376055</v>
      </c>
      <c r="H934" s="301">
        <f t="shared" si="296"/>
        <v>13805.140277777778</v>
      </c>
      <c r="I934" s="301"/>
      <c r="J934" s="301">
        <f t="shared" si="297"/>
        <v>999.23470500000008</v>
      </c>
      <c r="K934" s="301">
        <f t="shared" si="298"/>
        <v>53703.621775794883</v>
      </c>
      <c r="L934" s="301">
        <f>K934*0.15</f>
        <v>8055.5432663692318</v>
      </c>
      <c r="M934" s="315">
        <f t="shared" si="299"/>
        <v>61759.165042164117</v>
      </c>
      <c r="N934" s="301"/>
      <c r="O934" s="301">
        <f t="shared" si="300"/>
        <v>1015.9247435897435</v>
      </c>
    </row>
    <row r="935" spans="1:15" s="345" customFormat="1">
      <c r="A935" s="1036"/>
      <c r="B935" s="1035"/>
      <c r="C935" s="1036"/>
      <c r="D935" s="298">
        <v>3</v>
      </c>
      <c r="E935" s="301">
        <f t="shared" si="295"/>
        <v>40220.433385000011</v>
      </c>
      <c r="F935" s="301">
        <f t="shared" si="295"/>
        <v>0</v>
      </c>
      <c r="G935" s="301">
        <f t="shared" si="295"/>
        <v>1011.2590993903134</v>
      </c>
      <c r="H935" s="301">
        <f t="shared" si="296"/>
        <v>13773.070138888888</v>
      </c>
      <c r="I935" s="301"/>
      <c r="J935" s="301">
        <f t="shared" si="297"/>
        <v>1037.6007425</v>
      </c>
      <c r="K935" s="301">
        <f t="shared" si="298"/>
        <v>56042.363365779209</v>
      </c>
      <c r="L935" s="301">
        <f>K935*0.15</f>
        <v>8406.3545048668802</v>
      </c>
      <c r="M935" s="315">
        <f t="shared" si="299"/>
        <v>64448.717870646091</v>
      </c>
      <c r="N935" s="301"/>
      <c r="O935" s="301">
        <f t="shared" si="300"/>
        <v>1066.2003846153848</v>
      </c>
    </row>
    <row r="936" spans="1:15" s="345" customFormat="1">
      <c r="A936" s="1036"/>
      <c r="B936" s="1035"/>
      <c r="C936" s="1036"/>
      <c r="D936" s="298">
        <v>4</v>
      </c>
      <c r="E936" s="301">
        <f t="shared" si="295"/>
        <v>41362.840970000005</v>
      </c>
      <c r="F936" s="301">
        <f t="shared" si="295"/>
        <v>0</v>
      </c>
      <c r="G936" s="301">
        <f t="shared" si="295"/>
        <v>1049.5905535611864</v>
      </c>
      <c r="H936" s="301">
        <f t="shared" si="296"/>
        <v>13763.63774509804</v>
      </c>
      <c r="I936" s="301"/>
      <c r="J936" s="301">
        <f t="shared" si="297"/>
        <v>1058.4466323529414</v>
      </c>
      <c r="K936" s="301">
        <f t="shared" si="298"/>
        <v>57234.515901012179</v>
      </c>
      <c r="L936" s="301">
        <f>K936*0.15</f>
        <v>8585.1773851518265</v>
      </c>
      <c r="M936" s="315">
        <f t="shared" si="299"/>
        <v>65819.693286164009</v>
      </c>
      <c r="N936" s="301"/>
      <c r="O936" s="301">
        <f t="shared" si="300"/>
        <v>1093.1546153846152</v>
      </c>
    </row>
    <row r="937" spans="1:15" s="345" customFormat="1" ht="13.5">
      <c r="A937" s="298" t="s">
        <v>501</v>
      </c>
      <c r="B937" s="340" t="s">
        <v>424</v>
      </c>
      <c r="C937" s="298"/>
      <c r="D937" s="298"/>
      <c r="E937" s="301"/>
      <c r="F937" s="301"/>
      <c r="G937" s="301"/>
      <c r="H937" s="301"/>
      <c r="I937" s="301"/>
      <c r="J937" s="301"/>
      <c r="K937" s="301"/>
      <c r="L937" s="301"/>
      <c r="M937" s="315"/>
      <c r="N937" s="301"/>
      <c r="O937" s="301"/>
    </row>
    <row r="938" spans="1:15" s="345" customFormat="1">
      <c r="A938" s="1036"/>
      <c r="B938" s="1037" t="s">
        <v>330</v>
      </c>
      <c r="C938" s="1036" t="s">
        <v>21</v>
      </c>
      <c r="D938" s="298">
        <v>1</v>
      </c>
      <c r="E938" s="301">
        <f t="shared" ref="E938:G945" si="301">E909*0.8</f>
        <v>444212.49077777792</v>
      </c>
      <c r="F938" s="301">
        <f t="shared" si="301"/>
        <v>24334.030769230769</v>
      </c>
      <c r="G938" s="301">
        <f t="shared" si="301"/>
        <v>2413.53475990676</v>
      </c>
      <c r="H938" s="301">
        <f t="shared" ref="H938:H945" si="302">H909</f>
        <v>3681288.0865909089</v>
      </c>
      <c r="I938" s="301"/>
      <c r="J938" s="301">
        <f t="shared" ref="J938:J945" si="303">J909*0.8</f>
        <v>37.57488</v>
      </c>
      <c r="K938" s="301">
        <f t="shared" ref="K938:K945" si="304">SUM(E938:J938)</f>
        <v>4152285.7177778245</v>
      </c>
      <c r="L938" s="301">
        <f>K938*0.25</f>
        <v>1038071.4294444561</v>
      </c>
      <c r="M938" s="315">
        <f t="shared" ref="M938:M945" si="305">K938+L938</f>
        <v>5190357.1472222805</v>
      </c>
      <c r="N938" s="301">
        <f>M938+M942</f>
        <v>5250856.3625113592</v>
      </c>
      <c r="O938" s="301">
        <f t="shared" ref="O938:O945" si="306">O909*0.8</f>
        <v>12588.470085470086</v>
      </c>
    </row>
    <row r="939" spans="1:15" s="345" customFormat="1">
      <c r="A939" s="1036"/>
      <c r="B939" s="1035"/>
      <c r="C939" s="1036"/>
      <c r="D939" s="298">
        <v>2</v>
      </c>
      <c r="E939" s="301">
        <f t="shared" si="301"/>
        <v>527316.95072222245</v>
      </c>
      <c r="F939" s="301">
        <f t="shared" si="301"/>
        <v>29180.461538461539</v>
      </c>
      <c r="G939" s="301">
        <f t="shared" si="301"/>
        <v>2984.7501175213674</v>
      </c>
      <c r="H939" s="301">
        <f t="shared" si="302"/>
        <v>1351197.1775</v>
      </c>
      <c r="I939" s="301"/>
      <c r="J939" s="301">
        <f t="shared" si="303"/>
        <v>42.917280000000005</v>
      </c>
      <c r="K939" s="301">
        <f t="shared" si="304"/>
        <v>1910722.2571582051</v>
      </c>
      <c r="L939" s="301">
        <f>K939*0.25</f>
        <v>477680.56428955129</v>
      </c>
      <c r="M939" s="315">
        <f t="shared" si="305"/>
        <v>2388402.8214477566</v>
      </c>
      <c r="N939" s="301">
        <f>M939+M943</f>
        <v>2445063.8471873961</v>
      </c>
      <c r="O939" s="301">
        <f t="shared" si="306"/>
        <v>14934.568376068375</v>
      </c>
    </row>
    <row r="940" spans="1:15" s="345" customFormat="1">
      <c r="A940" s="1036"/>
      <c r="B940" s="1035"/>
      <c r="C940" s="1036"/>
      <c r="D940" s="298">
        <v>3</v>
      </c>
      <c r="E940" s="301">
        <f t="shared" si="301"/>
        <v>635447.34458333347</v>
      </c>
      <c r="F940" s="301">
        <f t="shared" si="301"/>
        <v>35016.553846153853</v>
      </c>
      <c r="G940" s="301">
        <f t="shared" si="301"/>
        <v>3967.2509757834764</v>
      </c>
      <c r="H940" s="301">
        <f t="shared" si="302"/>
        <v>676697.17749999999</v>
      </c>
      <c r="I940" s="301"/>
      <c r="J940" s="301">
        <f t="shared" si="303"/>
        <v>57.341760000000015</v>
      </c>
      <c r="K940" s="301">
        <f t="shared" si="304"/>
        <v>1351185.6686652708</v>
      </c>
      <c r="L940" s="301">
        <f>K940*0.25</f>
        <v>337796.4171663177</v>
      </c>
      <c r="M940" s="315">
        <f t="shared" si="305"/>
        <v>1688982.0858315886</v>
      </c>
      <c r="N940" s="301">
        <f>M940+M944</f>
        <v>1748029.7273454654</v>
      </c>
      <c r="O940" s="301">
        <f t="shared" si="306"/>
        <v>17993.814102564102</v>
      </c>
    </row>
    <row r="941" spans="1:15" s="345" customFormat="1">
      <c r="A941" s="1036"/>
      <c r="B941" s="1035"/>
      <c r="C941" s="1036"/>
      <c r="D941" s="298">
        <v>4</v>
      </c>
      <c r="E941" s="301">
        <f t="shared" si="301"/>
        <v>757748.41941764718</v>
      </c>
      <c r="F941" s="301">
        <f t="shared" si="301"/>
        <v>42031.507692307699</v>
      </c>
      <c r="G941" s="301">
        <f t="shared" si="301"/>
        <v>4359.9591814982414</v>
      </c>
      <c r="H941" s="301">
        <f t="shared" si="302"/>
        <v>478314.82455882354</v>
      </c>
      <c r="I941" s="301"/>
      <c r="J941" s="301">
        <f t="shared" si="303"/>
        <v>62.684160000000013</v>
      </c>
      <c r="K941" s="301">
        <f t="shared" si="304"/>
        <v>1282517.3950102767</v>
      </c>
      <c r="L941" s="301">
        <f>K941*0.25</f>
        <v>320629.34875256917</v>
      </c>
      <c r="M941" s="315">
        <f t="shared" si="305"/>
        <v>1603146.7437628459</v>
      </c>
      <c r="N941" s="301">
        <f>M941+M945</f>
        <v>1663411.8248401987</v>
      </c>
      <c r="O941" s="301">
        <f t="shared" si="306"/>
        <v>21455.888235294115</v>
      </c>
    </row>
    <row r="942" spans="1:15" s="345" customFormat="1">
      <c r="A942" s="1036"/>
      <c r="B942" s="1037" t="s">
        <v>331</v>
      </c>
      <c r="C942" s="1036" t="s">
        <v>21</v>
      </c>
      <c r="D942" s="333" t="s">
        <v>18</v>
      </c>
      <c r="E942" s="301">
        <f t="shared" si="301"/>
        <v>36923.101111111122</v>
      </c>
      <c r="F942" s="301">
        <f t="shared" si="301"/>
        <v>0</v>
      </c>
      <c r="G942" s="301">
        <f t="shared" si="301"/>
        <v>815.85052677033582</v>
      </c>
      <c r="H942" s="301">
        <f t="shared" si="302"/>
        <v>13915.92803030303</v>
      </c>
      <c r="I942" s="301"/>
      <c r="J942" s="301">
        <f t="shared" si="303"/>
        <v>953.13362666666671</v>
      </c>
      <c r="K942" s="301">
        <f t="shared" si="304"/>
        <v>52608.01329485116</v>
      </c>
      <c r="L942" s="301">
        <f>K942*0.15</f>
        <v>7891.2019942276738</v>
      </c>
      <c r="M942" s="315">
        <f t="shared" si="305"/>
        <v>60499.215289078835</v>
      </c>
      <c r="N942" s="301"/>
      <c r="O942" s="301">
        <f t="shared" si="306"/>
        <v>997.45299145299145</v>
      </c>
    </row>
    <row r="943" spans="1:15" s="345" customFormat="1">
      <c r="A943" s="1036"/>
      <c r="B943" s="1035"/>
      <c r="C943" s="1036"/>
      <c r="D943" s="298">
        <v>2</v>
      </c>
      <c r="E943" s="301">
        <f t="shared" si="301"/>
        <v>33757.695171851861</v>
      </c>
      <c r="F943" s="301">
        <f t="shared" si="301"/>
        <v>0</v>
      </c>
      <c r="G943" s="301">
        <f t="shared" si="301"/>
        <v>819.41308860778724</v>
      </c>
      <c r="H943" s="301">
        <f t="shared" si="302"/>
        <v>13805.140277777778</v>
      </c>
      <c r="I943" s="301"/>
      <c r="J943" s="301">
        <f t="shared" si="303"/>
        <v>888.20862666666676</v>
      </c>
      <c r="K943" s="301">
        <f t="shared" si="304"/>
        <v>49270.457164904088</v>
      </c>
      <c r="L943" s="301">
        <f>K943*0.15</f>
        <v>7390.5685747356129</v>
      </c>
      <c r="M943" s="315">
        <f t="shared" si="305"/>
        <v>56661.025739639699</v>
      </c>
      <c r="N943" s="301"/>
      <c r="O943" s="301">
        <f t="shared" si="306"/>
        <v>903.04421652421649</v>
      </c>
    </row>
    <row r="944" spans="1:15" s="345" customFormat="1">
      <c r="A944" s="1036"/>
      <c r="B944" s="1035"/>
      <c r="C944" s="1036"/>
      <c r="D944" s="298">
        <v>3</v>
      </c>
      <c r="E944" s="301">
        <f t="shared" si="301"/>
        <v>35751.496342222228</v>
      </c>
      <c r="F944" s="301">
        <f t="shared" si="301"/>
        <v>0</v>
      </c>
      <c r="G944" s="301">
        <f t="shared" si="301"/>
        <v>898.89697723583413</v>
      </c>
      <c r="H944" s="301">
        <f t="shared" si="302"/>
        <v>13773.070138888888</v>
      </c>
      <c r="I944" s="301"/>
      <c r="J944" s="301">
        <f t="shared" si="303"/>
        <v>922.31177111111128</v>
      </c>
      <c r="K944" s="301">
        <f t="shared" si="304"/>
        <v>51345.775229458057</v>
      </c>
      <c r="L944" s="301">
        <f>K944*0.15</f>
        <v>7701.8662844187083</v>
      </c>
      <c r="M944" s="315">
        <f t="shared" si="305"/>
        <v>59047.641513876762</v>
      </c>
      <c r="N944" s="301"/>
      <c r="O944" s="301">
        <f t="shared" si="306"/>
        <v>947.73367521367527</v>
      </c>
    </row>
    <row r="945" spans="1:15" s="345" customFormat="1">
      <c r="A945" s="1036"/>
      <c r="B945" s="1035"/>
      <c r="C945" s="1036"/>
      <c r="D945" s="298">
        <v>4</v>
      </c>
      <c r="E945" s="301">
        <f t="shared" si="301"/>
        <v>36766.969751111115</v>
      </c>
      <c r="F945" s="301">
        <f t="shared" si="301"/>
        <v>0</v>
      </c>
      <c r="G945" s="301">
        <f t="shared" si="301"/>
        <v>932.96938094327697</v>
      </c>
      <c r="H945" s="301">
        <f t="shared" si="302"/>
        <v>13763.63774509804</v>
      </c>
      <c r="I945" s="301"/>
      <c r="J945" s="301">
        <f t="shared" si="303"/>
        <v>940.84145098039232</v>
      </c>
      <c r="K945" s="301">
        <f t="shared" si="304"/>
        <v>52404.418328132822</v>
      </c>
      <c r="L945" s="301">
        <f>K945*0.15</f>
        <v>7860.6627492199232</v>
      </c>
      <c r="M945" s="315">
        <f t="shared" si="305"/>
        <v>60265.081077352748</v>
      </c>
      <c r="N945" s="301"/>
      <c r="O945" s="301">
        <f t="shared" si="306"/>
        <v>971.69299145299146</v>
      </c>
    </row>
    <row r="946" spans="1:15" s="308" customFormat="1" ht="12.75" customHeight="1">
      <c r="A946" s="298" t="s">
        <v>498</v>
      </c>
      <c r="B946" s="340" t="s">
        <v>491</v>
      </c>
      <c r="C946" s="298"/>
      <c r="D946" s="298"/>
      <c r="E946" s="301"/>
      <c r="F946" s="301"/>
      <c r="G946" s="301"/>
      <c r="H946" s="301"/>
      <c r="I946" s="301"/>
      <c r="J946" s="301"/>
      <c r="K946" s="301"/>
      <c r="L946" s="301"/>
      <c r="M946" s="315"/>
      <c r="N946" s="301"/>
      <c r="O946" s="301"/>
    </row>
    <row r="947" spans="1:15" s="345" customFormat="1" ht="13.15" customHeight="1">
      <c r="A947" s="298"/>
      <c r="B947" s="340"/>
      <c r="C947" s="298"/>
      <c r="D947" s="298" t="s">
        <v>18</v>
      </c>
      <c r="E947" s="301">
        <f>E$973/100+(E$975+E$976)/$C913</f>
        <v>10571.394166666671</v>
      </c>
      <c r="F947" s="301"/>
      <c r="G947" s="301">
        <f t="shared" ref="G947:H950" si="307">G909</f>
        <v>3016.9184498834497</v>
      </c>
      <c r="H947" s="301">
        <f t="shared" si="307"/>
        <v>3681288.0865909089</v>
      </c>
      <c r="I947" s="301"/>
      <c r="J947" s="301">
        <f>J909</f>
        <v>46.968599999999995</v>
      </c>
      <c r="K947" s="301">
        <f>SUM(E947:J947)</f>
        <v>3694923.3678074586</v>
      </c>
      <c r="L947" s="301">
        <f>K947*0.15</f>
        <v>554238.50517111877</v>
      </c>
      <c r="M947" s="315">
        <f>K947+L947</f>
        <v>4249161.8729785774</v>
      </c>
      <c r="N947" s="301">
        <f>M947</f>
        <v>4249161.8729785774</v>
      </c>
      <c r="O947" s="301">
        <f>O$973/100+(O$975+O$976)/$C913</f>
        <v>299.29487179487177</v>
      </c>
    </row>
    <row r="948" spans="1:15" s="345" customFormat="1" ht="13.15" customHeight="1">
      <c r="A948" s="298"/>
      <c r="B948" s="340" t="s">
        <v>192</v>
      </c>
      <c r="C948" s="298" t="s">
        <v>49</v>
      </c>
      <c r="D948" s="298" t="s">
        <v>20</v>
      </c>
      <c r="E948" s="301">
        <f>E$973/100+(E$975+E$976)/$C914</f>
        <v>10406.487361111114</v>
      </c>
      <c r="F948" s="301"/>
      <c r="G948" s="301">
        <f t="shared" si="307"/>
        <v>3730.9376469017093</v>
      </c>
      <c r="H948" s="301">
        <f t="shared" si="307"/>
        <v>1351197.1775</v>
      </c>
      <c r="I948" s="301"/>
      <c r="J948" s="301">
        <f>J910</f>
        <v>53.646599999999999</v>
      </c>
      <c r="K948" s="301">
        <f>SUM(E948:J948)</f>
        <v>1365388.249108013</v>
      </c>
      <c r="L948" s="301">
        <f>K948*0.15</f>
        <v>204808.23736620194</v>
      </c>
      <c r="M948" s="315">
        <f>K948+L948</f>
        <v>1570196.4864742151</v>
      </c>
      <c r="N948" s="301">
        <f>M948</f>
        <v>1570196.4864742151</v>
      </c>
      <c r="O948" s="301">
        <f>O$973/100+(O$975+O$976)/$C914</f>
        <v>294.62606837606836</v>
      </c>
    </row>
    <row r="949" spans="1:15" s="345" customFormat="1" ht="13.15" customHeight="1">
      <c r="A949" s="298"/>
      <c r="B949" s="340"/>
      <c r="C949" s="298"/>
      <c r="D949" s="298" t="s">
        <v>35</v>
      </c>
      <c r="E949" s="301">
        <f>E$973/100+(E$975+E$976)/$C915</f>
        <v>10358.751180555559</v>
      </c>
      <c r="F949" s="301"/>
      <c r="G949" s="301">
        <f t="shared" si="307"/>
        <v>4959.0637197293454</v>
      </c>
      <c r="H949" s="301">
        <f t="shared" si="307"/>
        <v>676697.17749999999</v>
      </c>
      <c r="I949" s="301"/>
      <c r="J949" s="301">
        <f>J911</f>
        <v>71.677200000000013</v>
      </c>
      <c r="K949" s="301">
        <f>SUM(E949:J949)</f>
        <v>692086.66960028489</v>
      </c>
      <c r="L949" s="301">
        <f>K949*0.15</f>
        <v>103813.00044004273</v>
      </c>
      <c r="M949" s="315">
        <f>K949+L949</f>
        <v>795899.67004032759</v>
      </c>
      <c r="N949" s="301">
        <f>M949</f>
        <v>795899.67004032759</v>
      </c>
      <c r="O949" s="301">
        <f>O$973/100+(O$975+O$976)/$C915</f>
        <v>293.27457264957263</v>
      </c>
    </row>
    <row r="950" spans="1:15" s="345" customFormat="1" ht="13.15" customHeight="1">
      <c r="A950" s="298"/>
      <c r="B950" s="340"/>
      <c r="C950" s="298"/>
      <c r="D950" s="298" t="s">
        <v>33</v>
      </c>
      <c r="E950" s="301">
        <f>E$973/100+(E$975+E$976)/$C916</f>
        <v>10344.711127450984</v>
      </c>
      <c r="F950" s="301"/>
      <c r="G950" s="301">
        <f t="shared" si="307"/>
        <v>5449.9489768728017</v>
      </c>
      <c r="H950" s="301">
        <f t="shared" si="307"/>
        <v>478314.82455882354</v>
      </c>
      <c r="I950" s="301"/>
      <c r="J950" s="301">
        <f>J912</f>
        <v>78.355200000000011</v>
      </c>
      <c r="K950" s="301">
        <f>SUM(E950:J950)</f>
        <v>494187.8398631473</v>
      </c>
      <c r="L950" s="301">
        <f>K950*0.15</f>
        <v>74128.175979472086</v>
      </c>
      <c r="M950" s="315">
        <f>K950+L950</f>
        <v>568316.01584261935</v>
      </c>
      <c r="N950" s="301">
        <f>M950</f>
        <v>568316.01584261935</v>
      </c>
      <c r="O950" s="301">
        <f>O$973/100+(O$975+O$976)/$C916</f>
        <v>292.87707390648563</v>
      </c>
    </row>
    <row r="951" spans="1:15" s="345" customFormat="1">
      <c r="A951" s="298">
        <v>1</v>
      </c>
      <c r="B951" s="316" t="s">
        <v>190</v>
      </c>
      <c r="C951" s="333"/>
      <c r="D951" s="333"/>
      <c r="E951" s="301"/>
      <c r="F951" s="301"/>
      <c r="G951" s="301"/>
      <c r="H951" s="301"/>
      <c r="I951" s="301"/>
      <c r="J951" s="301"/>
      <c r="K951" s="301"/>
      <c r="L951" s="301"/>
      <c r="M951" s="302"/>
      <c r="N951" s="315"/>
      <c r="O951" s="301"/>
    </row>
    <row r="952" spans="1:15" s="345" customFormat="1">
      <c r="A952" s="1043">
        <v>1.1000000000000001</v>
      </c>
      <c r="B952" s="1038" t="str">
        <f>NhanCong!B$150</f>
        <v>Đối soát thực địa (công nhóm/mảnh)</v>
      </c>
      <c r="C952" s="1039" t="s">
        <v>317</v>
      </c>
      <c r="D952" s="319" t="s">
        <v>18</v>
      </c>
      <c r="E952" s="301">
        <f>NhanCong!AC$150</f>
        <v>7769.6475694444453</v>
      </c>
      <c r="F952" s="301"/>
      <c r="G952" s="320">
        <f>Dcu!R$200</f>
        <v>55.871314102564106</v>
      </c>
      <c r="H952" s="320">
        <f>VLieu!F$133</f>
        <v>4047000</v>
      </c>
      <c r="I952" s="320"/>
      <c r="J952" s="320"/>
      <c r="K952" s="320">
        <f t="shared" ref="K952:K963" si="308">SUM(E952:J952)</f>
        <v>4054825.5188835468</v>
      </c>
      <c r="L952" s="320">
        <f>K952*0.25</f>
        <v>1013706.3797208867</v>
      </c>
      <c r="M952" s="321">
        <f t="shared" ref="M952:M963" si="309">K952+L952</f>
        <v>5068531.898604434</v>
      </c>
      <c r="N952" s="321"/>
      <c r="O952" s="320">
        <f>NhanCong!AD$150</f>
        <v>236.51175213675211</v>
      </c>
    </row>
    <row r="953" spans="1:15" s="345" customFormat="1">
      <c r="A953" s="1043"/>
      <c r="B953" s="1038"/>
      <c r="C953" s="1039"/>
      <c r="D953" s="319" t="s">
        <v>20</v>
      </c>
      <c r="E953" s="301">
        <f>NhanCong!AC$151</f>
        <v>9323.5770833333354</v>
      </c>
      <c r="F953" s="301"/>
      <c r="G953" s="320">
        <f>Dcu!R$201</f>
        <v>69.839142628205138</v>
      </c>
      <c r="H953" s="320">
        <f>VLieu!F$133</f>
        <v>4047000</v>
      </c>
      <c r="I953" s="320"/>
      <c r="J953" s="320"/>
      <c r="K953" s="320">
        <f t="shared" si="308"/>
        <v>4056393.4162259614</v>
      </c>
      <c r="L953" s="320">
        <f t="shared" ref="L953:L963" si="310">K953*0.25</f>
        <v>1014098.3540564904</v>
      </c>
      <c r="M953" s="321">
        <f t="shared" si="309"/>
        <v>5070491.770282452</v>
      </c>
      <c r="N953" s="321"/>
      <c r="O953" s="320">
        <f>NhanCong!AD$151</f>
        <v>283.81410256410254</v>
      </c>
    </row>
    <row r="954" spans="1:15" s="345" customFormat="1">
      <c r="A954" s="1043"/>
      <c r="B954" s="1038"/>
      <c r="C954" s="1039"/>
      <c r="D954" s="319" t="s">
        <v>35</v>
      </c>
      <c r="E954" s="301">
        <f>NhanCong!AC$152</f>
        <v>11188.292500000001</v>
      </c>
      <c r="F954" s="301"/>
      <c r="G954" s="320">
        <f>Dcu!R$202</f>
        <v>93.118856837606842</v>
      </c>
      <c r="H954" s="320">
        <f>VLieu!F$133</f>
        <v>4047000</v>
      </c>
      <c r="I954" s="320"/>
      <c r="J954" s="320"/>
      <c r="K954" s="320">
        <f t="shared" si="308"/>
        <v>4058281.4113568375</v>
      </c>
      <c r="L954" s="320">
        <f t="shared" si="310"/>
        <v>1014570.3528392094</v>
      </c>
      <c r="M954" s="321">
        <f t="shared" si="309"/>
        <v>5072851.7641960466</v>
      </c>
      <c r="N954" s="321"/>
      <c r="O954" s="320">
        <f>NhanCong!AD$152</f>
        <v>340.57692307692304</v>
      </c>
    </row>
    <row r="955" spans="1:15" s="345" customFormat="1">
      <c r="A955" s="1043"/>
      <c r="B955" s="1038"/>
      <c r="C955" s="1039"/>
      <c r="D955" s="319" t="s">
        <v>33</v>
      </c>
      <c r="E955" s="301">
        <f>NhanCong!AC$153</f>
        <v>13425.951000000001</v>
      </c>
      <c r="F955" s="301"/>
      <c r="G955" s="320">
        <f>Dcu!R$203</f>
        <v>102.43074252136753</v>
      </c>
      <c r="H955" s="320">
        <f>VLieu!F$133</f>
        <v>4047000</v>
      </c>
      <c r="I955" s="320"/>
      <c r="J955" s="320"/>
      <c r="K955" s="320">
        <f t="shared" si="308"/>
        <v>4060528.3817425212</v>
      </c>
      <c r="L955" s="320">
        <f t="shared" si="310"/>
        <v>1015132.0954356303</v>
      </c>
      <c r="M955" s="321">
        <f t="shared" si="309"/>
        <v>5075660.4771781517</v>
      </c>
      <c r="N955" s="321"/>
      <c r="O955" s="320">
        <f>NhanCong!AD$153</f>
        <v>408.69230769230762</v>
      </c>
    </row>
    <row r="956" spans="1:15" s="345" customFormat="1" ht="12.75" customHeight="1">
      <c r="A956" s="1043">
        <v>1.2</v>
      </c>
      <c r="B956" s="1038" t="str">
        <f>NhanCong!B$156</f>
        <v>Lưới đo vẽ (công nhóm/100 thửa có biến động cần chỉnh lý)</v>
      </c>
      <c r="C956" s="1040" t="s">
        <v>329</v>
      </c>
      <c r="D956" s="319" t="s">
        <v>18</v>
      </c>
      <c r="E956" s="301">
        <f>NhanCong!AC$156</f>
        <v>3479967.5625000009</v>
      </c>
      <c r="F956" s="301"/>
      <c r="G956" s="320">
        <f>Dcu!R$222</f>
        <v>48207.576923076929</v>
      </c>
      <c r="H956" s="320">
        <f>VLieu!P$135</f>
        <v>10462.75</v>
      </c>
      <c r="I956" s="320"/>
      <c r="J956" s="320">
        <f>TBi!N$336</f>
        <v>356.16</v>
      </c>
      <c r="K956" s="320">
        <f t="shared" si="308"/>
        <v>3538994.0494230781</v>
      </c>
      <c r="L956" s="320">
        <f t="shared" si="310"/>
        <v>884748.51235576952</v>
      </c>
      <c r="M956" s="321">
        <f t="shared" si="309"/>
        <v>4423742.5617788471</v>
      </c>
      <c r="N956" s="321"/>
      <c r="O956" s="320">
        <f>NhanCong!AD$156</f>
        <v>98524.038461538468</v>
      </c>
    </row>
    <row r="957" spans="1:15" s="345" customFormat="1">
      <c r="A957" s="1043"/>
      <c r="B957" s="1038"/>
      <c r="C957" s="1039" t="s">
        <v>49</v>
      </c>
      <c r="D957" s="319" t="s">
        <v>20</v>
      </c>
      <c r="E957" s="301">
        <f>NhanCong!AC$157</f>
        <v>3995518.3125000009</v>
      </c>
      <c r="F957" s="301"/>
      <c r="G957" s="320">
        <f>Dcu!R$223</f>
        <v>60259.471153846156</v>
      </c>
      <c r="H957" s="320">
        <f>VLieu!P$135</f>
        <v>10462.75</v>
      </c>
      <c r="I957" s="320"/>
      <c r="J957" s="320">
        <f>TBi!O$336</f>
        <v>445.20000000000005</v>
      </c>
      <c r="K957" s="320">
        <f t="shared" si="308"/>
        <v>4066685.7336538471</v>
      </c>
      <c r="L957" s="320">
        <f t="shared" si="310"/>
        <v>1016671.4334134618</v>
      </c>
      <c r="M957" s="321">
        <f t="shared" si="309"/>
        <v>5083357.1670673089</v>
      </c>
      <c r="N957" s="321"/>
      <c r="O957" s="320">
        <f>NhanCong!AD$157</f>
        <v>113120.19230769231</v>
      </c>
    </row>
    <row r="958" spans="1:15" s="345" customFormat="1">
      <c r="A958" s="1043"/>
      <c r="B958" s="1038"/>
      <c r="C958" s="1039"/>
      <c r="D958" s="319" t="s">
        <v>35</v>
      </c>
      <c r="E958" s="301">
        <f>NhanCong!AC$158</f>
        <v>5327357.7500000019</v>
      </c>
      <c r="F958" s="301"/>
      <c r="G958" s="320">
        <f>Dcu!R$224</f>
        <v>80345.961538461546</v>
      </c>
      <c r="H958" s="320">
        <f>VLieu!P$135</f>
        <v>10462.75</v>
      </c>
      <c r="I958" s="320"/>
      <c r="J958" s="320">
        <f>TBi!P$336</f>
        <v>511.98</v>
      </c>
      <c r="K958" s="320">
        <f t="shared" si="308"/>
        <v>5418678.4415384643</v>
      </c>
      <c r="L958" s="320">
        <f t="shared" si="310"/>
        <v>1354669.6103846161</v>
      </c>
      <c r="M958" s="321">
        <f t="shared" si="309"/>
        <v>6773348.0519230803</v>
      </c>
      <c r="N958" s="321"/>
      <c r="O958" s="320">
        <f>NhanCong!AD$158</f>
        <v>150826.92307692309</v>
      </c>
    </row>
    <row r="959" spans="1:15" s="345" customFormat="1">
      <c r="A959" s="1043"/>
      <c r="B959" s="1038"/>
      <c r="C959" s="1039"/>
      <c r="D959" s="319" t="s">
        <v>33</v>
      </c>
      <c r="E959" s="301">
        <f>NhanCong!AC$159</f>
        <v>5842908.5000000019</v>
      </c>
      <c r="F959" s="301"/>
      <c r="G959" s="320">
        <f>Dcu!R$225</f>
        <v>88380.557692307702</v>
      </c>
      <c r="H959" s="320">
        <f>VLieu!P$135</f>
        <v>10462.75</v>
      </c>
      <c r="I959" s="320"/>
      <c r="J959" s="320">
        <f>TBi!Q$336</f>
        <v>601.0200000000001</v>
      </c>
      <c r="K959" s="320">
        <f t="shared" si="308"/>
        <v>5942352.8276923094</v>
      </c>
      <c r="L959" s="320">
        <f t="shared" si="310"/>
        <v>1485588.2069230773</v>
      </c>
      <c r="M959" s="321">
        <f t="shared" si="309"/>
        <v>7427941.0346153863</v>
      </c>
      <c r="N959" s="321"/>
      <c r="O959" s="320">
        <f>NhanCong!AD$159</f>
        <v>165423.07692307694</v>
      </c>
    </row>
    <row r="960" spans="1:15" s="345" customFormat="1" ht="12.75" customHeight="1">
      <c r="A960" s="1043">
        <v>1.3</v>
      </c>
      <c r="B960" s="1038" t="str">
        <f>NhanCong!B$162</f>
        <v>Đo đạc ranh giới thửa đất và các đối tượng địa lý có liên quan (công nhóm/100 thửa có biến động cần chỉnh lý)</v>
      </c>
      <c r="C960" s="1040" t="s">
        <v>329</v>
      </c>
      <c r="D960" s="319" t="s">
        <v>18</v>
      </c>
      <c r="E960" s="301">
        <f>NhanCong!AC$162</f>
        <v>51340262.187500007</v>
      </c>
      <c r="F960" s="301">
        <f>NhanCong!AC$163</f>
        <v>3041753.846153846</v>
      </c>
      <c r="G960" s="320">
        <f>Dcu!R$246</f>
        <v>248405.05769230769</v>
      </c>
      <c r="H960" s="320">
        <f>VLieu!P$145</f>
        <v>209255</v>
      </c>
      <c r="I960" s="320"/>
      <c r="J960" s="320">
        <f>TBi!N$371</f>
        <v>4340.7</v>
      </c>
      <c r="K960" s="320">
        <f t="shared" si="308"/>
        <v>54844016.791346163</v>
      </c>
      <c r="L960" s="320">
        <f t="shared" si="310"/>
        <v>13711004.197836541</v>
      </c>
      <c r="M960" s="321">
        <f t="shared" si="309"/>
        <v>68555020.989182711</v>
      </c>
      <c r="N960" s="321"/>
      <c r="O960" s="320">
        <f>NhanCong!AD$162</f>
        <v>1453533.6538461538</v>
      </c>
    </row>
    <row r="961" spans="1:15" s="345" customFormat="1">
      <c r="A961" s="1043"/>
      <c r="B961" s="1038"/>
      <c r="C961" s="1039" t="s">
        <v>49</v>
      </c>
      <c r="D961" s="319" t="s">
        <v>20</v>
      </c>
      <c r="E961" s="301">
        <f>NhanCong!AC$164</f>
        <v>61608314.625000015</v>
      </c>
      <c r="F961" s="301">
        <f>NhanCong!AC$165</f>
        <v>3647557.6923076925</v>
      </c>
      <c r="G961" s="320">
        <f>Dcu!R$247</f>
        <v>310506.32211538462</v>
      </c>
      <c r="H961" s="320">
        <f>VLieu!P$145</f>
        <v>209255</v>
      </c>
      <c r="I961" s="320"/>
      <c r="J961" s="320">
        <f>TBi!O$371</f>
        <v>4919.46</v>
      </c>
      <c r="K961" s="320">
        <f t="shared" si="308"/>
        <v>65780553.099423096</v>
      </c>
      <c r="L961" s="320">
        <f t="shared" si="310"/>
        <v>16445138.274855774</v>
      </c>
      <c r="M961" s="321">
        <f t="shared" si="309"/>
        <v>82225691.374278873</v>
      </c>
      <c r="N961" s="321"/>
      <c r="O961" s="320">
        <f>NhanCong!AD$164</f>
        <v>1744240.3846153847</v>
      </c>
    </row>
    <row r="962" spans="1:15" s="345" customFormat="1">
      <c r="A962" s="1043"/>
      <c r="B962" s="1038"/>
      <c r="C962" s="1039"/>
      <c r="D962" s="319" t="s">
        <v>35</v>
      </c>
      <c r="E962" s="301">
        <f>NhanCong!AC$166</f>
        <v>73917088.781250015</v>
      </c>
      <c r="F962" s="301">
        <f>NhanCong!AC$167</f>
        <v>4377069.230769231</v>
      </c>
      <c r="G962" s="320">
        <f>Dcu!R$248</f>
        <v>414008.4294871795</v>
      </c>
      <c r="H962" s="320">
        <f>VLieu!P$145</f>
        <v>209255</v>
      </c>
      <c r="I962" s="320"/>
      <c r="J962" s="320">
        <f>TBi!P$371</f>
        <v>6655.7400000000007</v>
      </c>
      <c r="K962" s="320">
        <f t="shared" si="308"/>
        <v>78924077.181506425</v>
      </c>
      <c r="L962" s="320">
        <f t="shared" si="310"/>
        <v>19731019.295376606</v>
      </c>
      <c r="M962" s="321">
        <f t="shared" si="309"/>
        <v>98655096.476883024</v>
      </c>
      <c r="N962" s="321"/>
      <c r="O962" s="320">
        <f>NhanCong!AD$166</f>
        <v>2092723.5576923075</v>
      </c>
    </row>
    <row r="963" spans="1:15" s="345" customFormat="1">
      <c r="A963" s="1043"/>
      <c r="B963" s="1038"/>
      <c r="C963" s="1039"/>
      <c r="D963" s="319" t="s">
        <v>33</v>
      </c>
      <c r="E963" s="301">
        <f>NhanCong!AC$168</f>
        <v>88717691.562500015</v>
      </c>
      <c r="F963" s="301">
        <f>NhanCong!AC$169</f>
        <v>5253938.461538462</v>
      </c>
      <c r="G963" s="320">
        <f>Dcu!R$249</f>
        <v>455409.2724358975</v>
      </c>
      <c r="H963" s="320">
        <f>VLieu!P$145</f>
        <v>209255</v>
      </c>
      <c r="I963" s="320"/>
      <c r="J963" s="320">
        <f>TBi!Q$371</f>
        <v>7234.5</v>
      </c>
      <c r="K963" s="320">
        <f t="shared" si="308"/>
        <v>94643528.796474382</v>
      </c>
      <c r="L963" s="320">
        <f t="shared" si="310"/>
        <v>23660882.199118596</v>
      </c>
      <c r="M963" s="321">
        <f t="shared" si="309"/>
        <v>118304410.99559298</v>
      </c>
      <c r="N963" s="321"/>
      <c r="O963" s="320">
        <f>NhanCong!AD$168</f>
        <v>2511754.8076923075</v>
      </c>
    </row>
    <row r="964" spans="1:15" s="345" customFormat="1">
      <c r="A964" s="298">
        <v>2</v>
      </c>
      <c r="B964" s="316" t="s">
        <v>192</v>
      </c>
      <c r="C964" s="319"/>
      <c r="D964" s="319"/>
      <c r="E964" s="301"/>
      <c r="F964" s="301"/>
      <c r="G964" s="320"/>
      <c r="H964" s="320"/>
      <c r="I964" s="320"/>
      <c r="J964" s="320"/>
      <c r="K964" s="320"/>
      <c r="L964" s="320"/>
      <c r="M964" s="321"/>
      <c r="N964" s="321"/>
      <c r="O964" s="320"/>
    </row>
    <row r="965" spans="1:15" s="345" customFormat="1">
      <c r="A965" s="1043" t="s">
        <v>268</v>
      </c>
      <c r="B965" s="1038" t="str">
        <f>NhanCong!B$173</f>
        <v>Số hóa BĐĐC: Áp dụng theo mức quy định tại Điều 8, Chương I</v>
      </c>
      <c r="C965" s="1039" t="s">
        <v>317</v>
      </c>
      <c r="D965" s="319" t="s">
        <v>18</v>
      </c>
      <c r="E965" s="301">
        <f t="shared" ref="E965:H968" si="311">E490</f>
        <v>9967.3145000000022</v>
      </c>
      <c r="F965" s="301">
        <f t="shared" si="311"/>
        <v>0</v>
      </c>
      <c r="G965" s="301">
        <f t="shared" si="311"/>
        <v>104.53232886989554</v>
      </c>
      <c r="H965" s="301">
        <f t="shared" si="311"/>
        <v>122.33333333333333</v>
      </c>
      <c r="I965" s="301"/>
      <c r="J965" s="301">
        <f>J490</f>
        <v>237.04426666666666</v>
      </c>
      <c r="K965" s="320">
        <f>SUM(E965:J965)</f>
        <v>10431.224428869897</v>
      </c>
      <c r="L965" s="320">
        <f>K965*0.15</f>
        <v>1564.6836643304844</v>
      </c>
      <c r="M965" s="321">
        <f>K965+L965</f>
        <v>11995.908093200382</v>
      </c>
      <c r="N965" s="301"/>
      <c r="O965" s="301">
        <f>O490</f>
        <v>282.19230769230762</v>
      </c>
    </row>
    <row r="966" spans="1:15" s="345" customFormat="1">
      <c r="A966" s="1043"/>
      <c r="B966" s="1038"/>
      <c r="C966" s="1039"/>
      <c r="D966" s="319" t="s">
        <v>20</v>
      </c>
      <c r="E966" s="301">
        <f t="shared" si="311"/>
        <v>11296.28976666667</v>
      </c>
      <c r="F966" s="301">
        <f t="shared" si="311"/>
        <v>0</v>
      </c>
      <c r="G966" s="301">
        <f t="shared" si="311"/>
        <v>119.66200804843304</v>
      </c>
      <c r="H966" s="301">
        <f t="shared" si="311"/>
        <v>122.33333333333333</v>
      </c>
      <c r="I966" s="301"/>
      <c r="J966" s="301">
        <f>J491</f>
        <v>313.12399999999997</v>
      </c>
      <c r="K966" s="320">
        <f>SUM(E966:J966)</f>
        <v>11851.409108048438</v>
      </c>
      <c r="L966" s="320">
        <f>K966*0.15</f>
        <v>1777.7113662072657</v>
      </c>
      <c r="M966" s="321">
        <f>K966+L966</f>
        <v>13629.120474255704</v>
      </c>
      <c r="N966" s="301">
        <f>N640</f>
        <v>0</v>
      </c>
      <c r="O966" s="301">
        <f>O491</f>
        <v>319.8179487179487</v>
      </c>
    </row>
    <row r="967" spans="1:15" s="345" customFormat="1">
      <c r="A967" s="1043"/>
      <c r="B967" s="1038"/>
      <c r="C967" s="1039"/>
      <c r="D967" s="319" t="s">
        <v>35</v>
      </c>
      <c r="E967" s="301">
        <f t="shared" si="311"/>
        <v>12827.666438888891</v>
      </c>
      <c r="F967" s="301">
        <f t="shared" si="311"/>
        <v>0</v>
      </c>
      <c r="G967" s="301">
        <f t="shared" si="311"/>
        <v>137.54253798670464</v>
      </c>
      <c r="H967" s="301">
        <f t="shared" si="311"/>
        <v>122.33333333333333</v>
      </c>
      <c r="I967" s="301"/>
      <c r="J967" s="301">
        <f>J492</f>
        <v>373.02813333333336</v>
      </c>
      <c r="K967" s="320">
        <f>SUM(E967:J967)</f>
        <v>13460.570443542263</v>
      </c>
      <c r="L967" s="320">
        <f>K967*0.15</f>
        <v>2019.0855665313393</v>
      </c>
      <c r="M967" s="321">
        <f>K967+L967</f>
        <v>15479.656010073602</v>
      </c>
      <c r="N967" s="301">
        <f>N641</f>
        <v>0</v>
      </c>
      <c r="O967" s="301">
        <f>O492</f>
        <v>363.17393162393154</v>
      </c>
    </row>
    <row r="968" spans="1:15" s="345" customFormat="1">
      <c r="A968" s="1043"/>
      <c r="B968" s="1038"/>
      <c r="C968" s="1039"/>
      <c r="D968" s="319" t="s">
        <v>33</v>
      </c>
      <c r="E968" s="301">
        <f t="shared" si="311"/>
        <v>14588.17677777778</v>
      </c>
      <c r="F968" s="301">
        <f t="shared" si="311"/>
        <v>0</v>
      </c>
      <c r="G968" s="301">
        <f t="shared" si="311"/>
        <v>158.17391868471032</v>
      </c>
      <c r="H968" s="301">
        <f t="shared" si="311"/>
        <v>122.33333333333333</v>
      </c>
      <c r="I968" s="301"/>
      <c r="J968" s="301">
        <f>J493</f>
        <v>444.80426666666671</v>
      </c>
      <c r="K968" s="320">
        <f>SUM(E968:J968)</f>
        <v>15313.48829646249</v>
      </c>
      <c r="L968" s="320">
        <f>K968*0.15</f>
        <v>2297.0232444693734</v>
      </c>
      <c r="M968" s="321">
        <f>K968+L968</f>
        <v>17610.511540931864</v>
      </c>
      <c r="N968" s="301">
        <f>N642</f>
        <v>0</v>
      </c>
      <c r="O968" s="301">
        <f>O493</f>
        <v>413.01709401709394</v>
      </c>
    </row>
    <row r="969" spans="1:15" s="345" customFormat="1" ht="12.75" customHeight="1">
      <c r="A969" s="1043" t="s">
        <v>34</v>
      </c>
      <c r="B969" s="1038" t="str">
        <f>NhanCong!B$174</f>
        <v>Lập bản vẽ BĐĐC (Công nhóm/100 thửa chỉnh lý)</v>
      </c>
      <c r="C969" s="1040" t="s">
        <v>329</v>
      </c>
      <c r="D969" s="319" t="s">
        <v>18</v>
      </c>
      <c r="E969" s="301">
        <f>NhanCong!AC$174</f>
        <v>1723790.2000000007</v>
      </c>
      <c r="F969" s="301"/>
      <c r="G969" s="320">
        <f>Dcu!R$271</f>
        <v>28773.652892307691</v>
      </c>
      <c r="H969" s="320">
        <f>VLieu!P$159</f>
        <v>626800</v>
      </c>
      <c r="I969" s="320"/>
      <c r="J969" s="320">
        <f>TBi!N$408</f>
        <v>69495.72</v>
      </c>
      <c r="K969" s="320">
        <f t="shared" ref="K969:K974" si="312">SUM(E969:J969)</f>
        <v>2448859.5728923087</v>
      </c>
      <c r="L969" s="320">
        <f t="shared" ref="L969:L976" si="313">K969*0.15</f>
        <v>367328.93593384628</v>
      </c>
      <c r="M969" s="321">
        <f t="shared" ref="M969:M974" si="314">K969+L969</f>
        <v>2816188.5088261552</v>
      </c>
      <c r="N969" s="321"/>
      <c r="O969" s="320">
        <f>NhanCong!AD$174</f>
        <v>42815.384615384617</v>
      </c>
    </row>
    <row r="970" spans="1:15" s="345" customFormat="1">
      <c r="A970" s="1043"/>
      <c r="B970" s="1038"/>
      <c r="C970" s="1039"/>
      <c r="D970" s="319" t="s">
        <v>20</v>
      </c>
      <c r="E970" s="301">
        <f>NhanCong!AC$175</f>
        <v>1896169.2200000004</v>
      </c>
      <c r="F970" s="301"/>
      <c r="G970" s="320">
        <f>Dcu!R$272</f>
        <v>35967.066115384616</v>
      </c>
      <c r="H970" s="320">
        <f>VLieu!P$159</f>
        <v>626800</v>
      </c>
      <c r="I970" s="320"/>
      <c r="J970" s="320">
        <f>TBi!O$408</f>
        <v>72946.02</v>
      </c>
      <c r="K970" s="320">
        <f t="shared" si="312"/>
        <v>2631882.3061153851</v>
      </c>
      <c r="L970" s="320">
        <f t="shared" si="313"/>
        <v>394782.34591730777</v>
      </c>
      <c r="M970" s="321">
        <f t="shared" si="314"/>
        <v>3026664.6520326929</v>
      </c>
      <c r="N970" s="321"/>
      <c r="O970" s="320">
        <f>NhanCong!AD$175</f>
        <v>47096.923076923071</v>
      </c>
    </row>
    <row r="971" spans="1:15" s="345" customFormat="1">
      <c r="A971" s="1043"/>
      <c r="B971" s="1038"/>
      <c r="C971" s="1039"/>
      <c r="D971" s="319" t="s">
        <v>35</v>
      </c>
      <c r="E971" s="301">
        <f>NhanCong!AC$176</f>
        <v>2319281.3600000008</v>
      </c>
      <c r="F971" s="301"/>
      <c r="G971" s="320">
        <f>Dcu!R$273</f>
        <v>47956.088153846154</v>
      </c>
      <c r="H971" s="320">
        <f>VLieu!P$159</f>
        <v>626800</v>
      </c>
      <c r="I971" s="320"/>
      <c r="J971" s="320">
        <f>TBi!P$408</f>
        <v>81560.639999999999</v>
      </c>
      <c r="K971" s="320">
        <f t="shared" si="312"/>
        <v>3075598.088153847</v>
      </c>
      <c r="L971" s="320">
        <f t="shared" si="313"/>
        <v>461339.71322307707</v>
      </c>
      <c r="M971" s="321">
        <f t="shared" si="314"/>
        <v>3536937.8013769239</v>
      </c>
      <c r="N971" s="321"/>
      <c r="O971" s="320">
        <f>NhanCong!AD$176</f>
        <v>57606.153846153844</v>
      </c>
    </row>
    <row r="972" spans="1:15" s="345" customFormat="1">
      <c r="A972" s="1043"/>
      <c r="B972" s="1038"/>
      <c r="C972" s="1039"/>
      <c r="D972" s="319" t="s">
        <v>33</v>
      </c>
      <c r="E972" s="301">
        <f>NhanCong!AC$177</f>
        <v>2491660.3800000008</v>
      </c>
      <c r="F972" s="301"/>
      <c r="G972" s="320">
        <f>Dcu!R$274</f>
        <v>52751.696969230776</v>
      </c>
      <c r="H972" s="320">
        <f>VLieu!P$159</f>
        <v>626800</v>
      </c>
      <c r="I972" s="320"/>
      <c r="J972" s="320">
        <f>TBi!Q$408</f>
        <v>84899.64</v>
      </c>
      <c r="K972" s="320">
        <f t="shared" si="312"/>
        <v>3256111.7169692316</v>
      </c>
      <c r="L972" s="320">
        <f t="shared" si="313"/>
        <v>488416.75754538469</v>
      </c>
      <c r="M972" s="321">
        <f t="shared" si="314"/>
        <v>3744528.4745146162</v>
      </c>
      <c r="N972" s="321"/>
      <c r="O972" s="320">
        <f>NhanCong!AD$177</f>
        <v>61887.692307692312</v>
      </c>
    </row>
    <row r="973" spans="1:15" s="345" customFormat="1" ht="26">
      <c r="A973" s="323" t="s">
        <v>246</v>
      </c>
      <c r="B973" s="324" t="str">
        <f>NhanCong!B$179</f>
        <v>Lập Phiếu đo đạc chỉnh lý thửa đất (Công/100 thửa chỉnh lý)</v>
      </c>
      <c r="C973" s="341" t="s">
        <v>329</v>
      </c>
      <c r="D973" s="341" t="s">
        <v>679</v>
      </c>
      <c r="E973" s="342">
        <f>NhanCong!AC$179</f>
        <v>1031101.5000000002</v>
      </c>
      <c r="F973" s="342"/>
      <c r="G973" s="343">
        <f>Dcu!R$270</f>
        <v>47956.088153846154</v>
      </c>
      <c r="H973" s="320">
        <f>VLieu!P$159</f>
        <v>626800</v>
      </c>
      <c r="I973" s="343"/>
      <c r="J973" s="343"/>
      <c r="K973" s="343">
        <f t="shared" si="312"/>
        <v>1705857.5881538463</v>
      </c>
      <c r="L973" s="320">
        <f t="shared" si="313"/>
        <v>255878.63822307694</v>
      </c>
      <c r="M973" s="344">
        <f t="shared" si="314"/>
        <v>1961736.2263769233</v>
      </c>
      <c r="N973" s="344"/>
      <c r="O973" s="343">
        <f>NhanCong!AD$179</f>
        <v>29192.307692307691</v>
      </c>
    </row>
    <row r="974" spans="1:15" s="345" customFormat="1" ht="26">
      <c r="A974" s="323" t="s">
        <v>271</v>
      </c>
      <c r="B974" s="324" t="str">
        <f>NhanCong!B$180</f>
        <v>Bổ sung sổ mục kê (công nhóm/100 thửa chỉnh lý)</v>
      </c>
      <c r="C974" s="341" t="s">
        <v>329</v>
      </c>
      <c r="D974" s="341" t="s">
        <v>679</v>
      </c>
      <c r="E974" s="342">
        <f>NhanCong!AC$180</f>
        <v>893621.30000000016</v>
      </c>
      <c r="F974" s="342"/>
      <c r="G974" s="343">
        <f>Dcu!R$290</f>
        <v>13800.392222222223</v>
      </c>
      <c r="H974" s="343">
        <f>VLieu!J$170</f>
        <v>120500</v>
      </c>
      <c r="I974" s="343"/>
      <c r="J974" s="343">
        <f>TBi!N$414</f>
        <v>27379.800000000003</v>
      </c>
      <c r="K974" s="343">
        <f t="shared" si="312"/>
        <v>1055301.4922222223</v>
      </c>
      <c r="L974" s="320">
        <f t="shared" si="313"/>
        <v>158295.22383333332</v>
      </c>
      <c r="M974" s="344">
        <f t="shared" si="314"/>
        <v>1213596.7160555555</v>
      </c>
      <c r="N974" s="344"/>
      <c r="O974" s="343">
        <f>NhanCong!AD$180</f>
        <v>25300</v>
      </c>
    </row>
    <row r="975" spans="1:15" s="345" customFormat="1" ht="26">
      <c r="A975" s="323" t="s">
        <v>365</v>
      </c>
      <c r="B975" s="324" t="str">
        <f>NhanCong!B$181</f>
        <v>Biên tập bản đồ và in (công nhóm/mảnh)</v>
      </c>
      <c r="C975" s="341" t="s">
        <v>317</v>
      </c>
      <c r="D975" s="341" t="s">
        <v>679</v>
      </c>
      <c r="E975" s="342">
        <f>NhanCong!AC$181</f>
        <v>95.472361111111127</v>
      </c>
      <c r="F975" s="342"/>
      <c r="G975" s="343">
        <f>Dcu!R$304</f>
        <v>7.1435598290598312</v>
      </c>
      <c r="H975" s="343">
        <f>VLieu!P$181</f>
        <v>23.362500000000001</v>
      </c>
      <c r="I975" s="343"/>
      <c r="J975" s="343">
        <f>TBi!N$447</f>
        <v>2.6279166666666667</v>
      </c>
      <c r="K975" s="343">
        <f>SUM(E975:J975)</f>
        <v>128.60633760683763</v>
      </c>
      <c r="L975" s="320">
        <f t="shared" si="313"/>
        <v>19.290950641025642</v>
      </c>
      <c r="M975" s="344">
        <f>K975+L975</f>
        <v>147.89728824786326</v>
      </c>
      <c r="N975" s="344"/>
      <c r="O975" s="343">
        <f>NhanCong!AD$181</f>
        <v>2.7029914529914527</v>
      </c>
    </row>
    <row r="976" spans="1:15" s="345" customFormat="1" ht="26">
      <c r="A976" s="323" t="s">
        <v>366</v>
      </c>
      <c r="B976" s="324" t="str">
        <f>NhanCong!B$182</f>
        <v>Xác nhận hồ sơ các cấp (công nhóm/mảnh)</v>
      </c>
      <c r="C976" s="341" t="s">
        <v>317</v>
      </c>
      <c r="D976" s="341" t="s">
        <v>679</v>
      </c>
      <c r="E976" s="342">
        <f>NhanCong!AC$182</f>
        <v>190.94472222222225</v>
      </c>
      <c r="F976" s="342"/>
      <c r="G976" s="343">
        <f>Dcu!R$304</f>
        <v>7.1435598290598312</v>
      </c>
      <c r="H976" s="343">
        <f>VLieu!P$181</f>
        <v>23.362500000000001</v>
      </c>
      <c r="I976" s="343"/>
      <c r="J976" s="343">
        <f>TBi!N$447</f>
        <v>2.6279166666666667</v>
      </c>
      <c r="K976" s="343">
        <f>SUM(E976:J976)</f>
        <v>224.07869871794875</v>
      </c>
      <c r="L976" s="320">
        <f t="shared" si="313"/>
        <v>33.611804807692309</v>
      </c>
      <c r="M976" s="344">
        <f>K976+L976</f>
        <v>257.69050352564108</v>
      </c>
      <c r="N976" s="344"/>
      <c r="O976" s="343">
        <f>NhanCong!AD$182</f>
        <v>5.4059829059829054</v>
      </c>
    </row>
    <row r="977" spans="1:15" s="345" customFormat="1" ht="26">
      <c r="A977" s="323" t="s">
        <v>367</v>
      </c>
      <c r="B977" s="324" t="str">
        <f>NhanCong!B$183</f>
        <v>Giao nộp sản phẩm (công nhóm/mảnh)</v>
      </c>
      <c r="C977" s="341" t="s">
        <v>317</v>
      </c>
      <c r="D977" s="341" t="s">
        <v>679</v>
      </c>
      <c r="E977" s="342">
        <f>NhanCong!AC$183</f>
        <v>381.88944444444451</v>
      </c>
      <c r="F977" s="342"/>
      <c r="G977" s="343">
        <f>Dcu!R$304</f>
        <v>7.1435598290598312</v>
      </c>
      <c r="H977" s="343">
        <f>VLieu!P$181</f>
        <v>23.362500000000001</v>
      </c>
      <c r="I977" s="343"/>
      <c r="J977" s="343">
        <f>TBi!N$447</f>
        <v>2.6279166666666667</v>
      </c>
      <c r="K977" s="343">
        <f>SUM(E977:J977)</f>
        <v>415.02342094017104</v>
      </c>
      <c r="L977" s="320">
        <f>K977*0.15</f>
        <v>62.25351314102565</v>
      </c>
      <c r="M977" s="344">
        <f>K977+L977</f>
        <v>477.27693408119671</v>
      </c>
      <c r="N977" s="344"/>
      <c r="O977" s="343">
        <f>NhanCong!AD$183</f>
        <v>10.811965811965811</v>
      </c>
    </row>
    <row r="978" spans="1:15" ht="20.25" customHeight="1">
      <c r="A978" s="298" t="str">
        <f>L_CViec!A57</f>
        <v>V</v>
      </c>
      <c r="B978" s="314" t="str">
        <f>L_CViec!B57</f>
        <v>TRÍCH ĐO ĐỊA CHÍNH THỬA ĐẤT:</v>
      </c>
      <c r="C978" s="300"/>
      <c r="D978" s="300"/>
      <c r="E978" s="301"/>
      <c r="F978" s="301"/>
      <c r="G978" s="301"/>
      <c r="H978" s="301"/>
      <c r="I978" s="301"/>
      <c r="J978" s="301"/>
      <c r="K978" s="301"/>
      <c r="L978" s="301"/>
      <c r="M978" s="315"/>
      <c r="N978" s="315"/>
      <c r="O978" s="301"/>
    </row>
    <row r="979" spans="1:15">
      <c r="A979" s="298" t="s">
        <v>27</v>
      </c>
      <c r="B979" s="316" t="s">
        <v>298</v>
      </c>
      <c r="C979" s="300"/>
      <c r="D979" s="300"/>
      <c r="E979" s="301"/>
      <c r="F979" s="301"/>
      <c r="G979" s="301"/>
      <c r="H979" s="301"/>
      <c r="I979" s="301"/>
      <c r="J979" s="301"/>
      <c r="K979" s="301"/>
      <c r="L979" s="301"/>
      <c r="M979" s="315"/>
      <c r="N979" s="315"/>
      <c r="O979" s="301"/>
    </row>
    <row r="980" spans="1:15">
      <c r="A980" s="300">
        <v>1</v>
      </c>
      <c r="B980" s="299" t="s">
        <v>623</v>
      </c>
      <c r="C980" s="300" t="s">
        <v>49</v>
      </c>
      <c r="D980" s="348"/>
      <c r="E980" s="301">
        <f>NhanCong!I200+NhanCong!I201</f>
        <v>1887420.4800000004</v>
      </c>
      <c r="F980" s="301"/>
      <c r="G980" s="320">
        <f>(G129+G134)*0.02</f>
        <v>1487.4959177025644</v>
      </c>
      <c r="H980" s="320">
        <f>(H129+H134)*0.02</f>
        <v>69020.452799999999</v>
      </c>
      <c r="I980" s="320"/>
      <c r="J980" s="320">
        <f>(J129+J134)*0.02</f>
        <v>1287.0910079999999</v>
      </c>
      <c r="K980" s="343">
        <f>SUM(E980:J980)</f>
        <v>1959215.5197257032</v>
      </c>
      <c r="L980" s="320">
        <f>K980*0.25</f>
        <v>489803.87993142579</v>
      </c>
      <c r="M980" s="321">
        <f>K980+L980</f>
        <v>2449019.3996571288</v>
      </c>
      <c r="N980" s="321"/>
      <c r="O980" s="320">
        <f>NhanCong!J200+NhanCong!J201</f>
        <v>56049.230769230766</v>
      </c>
    </row>
    <row r="981" spans="1:15">
      <c r="A981" s="300">
        <v>2</v>
      </c>
      <c r="B981" s="299" t="s">
        <v>624</v>
      </c>
      <c r="C981" s="300"/>
      <c r="D981" s="300"/>
      <c r="E981" s="301">
        <f>NhanCong!I197+NhanCong!I198</f>
        <v>2831130.7200000007</v>
      </c>
      <c r="F981" s="301"/>
      <c r="G981" s="320">
        <f>(G130+G135)*0.02</f>
        <v>1803.6581947623938</v>
      </c>
      <c r="H981" s="320">
        <f>(H130+H135)*0.02</f>
        <v>69020.452799999999</v>
      </c>
      <c r="I981" s="320"/>
      <c r="J981" s="320">
        <f>(J130+J135)*0.02</f>
        <v>1367.6544000000001</v>
      </c>
      <c r="K981" s="343">
        <f>SUM(E981:J981)</f>
        <v>2903322.4853947628</v>
      </c>
      <c r="L981" s="320">
        <f>K981*0.25</f>
        <v>725830.62134869071</v>
      </c>
      <c r="M981" s="321">
        <f>K981+L981</f>
        <v>3629153.1067434535</v>
      </c>
      <c r="N981" s="321"/>
      <c r="O981" s="320">
        <f>NhanCong!J197+NhanCong!J198</f>
        <v>84073.846153846142</v>
      </c>
    </row>
    <row r="982" spans="1:15">
      <c r="A982" s="300"/>
      <c r="B982" s="299"/>
      <c r="C982" s="300"/>
      <c r="D982" s="300"/>
      <c r="E982" s="301"/>
      <c r="F982" s="301"/>
      <c r="G982" s="320"/>
      <c r="H982" s="320"/>
      <c r="I982" s="320"/>
      <c r="J982" s="320"/>
      <c r="K982" s="320"/>
      <c r="L982" s="320"/>
      <c r="M982" s="321"/>
      <c r="N982" s="321"/>
      <c r="O982" s="320"/>
    </row>
    <row r="983" spans="1:15">
      <c r="A983" s="298" t="s">
        <v>28</v>
      </c>
      <c r="B983" s="316" t="s">
        <v>212</v>
      </c>
      <c r="C983" s="300"/>
      <c r="D983" s="300"/>
      <c r="E983" s="301"/>
      <c r="F983" s="301"/>
      <c r="G983" s="301"/>
      <c r="H983" s="301"/>
      <c r="I983" s="301"/>
      <c r="J983" s="301"/>
      <c r="K983" s="301"/>
      <c r="L983" s="301"/>
      <c r="M983" s="315"/>
      <c r="N983" s="315"/>
      <c r="O983" s="301"/>
    </row>
    <row r="984" spans="1:15">
      <c r="A984" s="300">
        <v>1</v>
      </c>
      <c r="B984" s="299" t="s">
        <v>623</v>
      </c>
      <c r="C984" s="300" t="s">
        <v>49</v>
      </c>
      <c r="D984" s="348"/>
      <c r="E984" s="301">
        <f>NhanCong!M200+NhanCong!M201</f>
        <v>2241311.8200000008</v>
      </c>
      <c r="F984" s="301"/>
      <c r="G984" s="320">
        <f>($E984/$E$980)*G$980</f>
        <v>1766.4014022717956</v>
      </c>
      <c r="H984" s="320">
        <f>($E984/$E$980)*H$980</f>
        <v>81961.787700000015</v>
      </c>
      <c r="I984" s="320"/>
      <c r="J984" s="320">
        <f>($E984/$E$980)*J$980</f>
        <v>1528.4205720000002</v>
      </c>
      <c r="K984" s="343">
        <f>SUM(E984:J984)</f>
        <v>2326568.4296742729</v>
      </c>
      <c r="L984" s="320">
        <f>K984*0.25</f>
        <v>581642.10741856822</v>
      </c>
      <c r="M984" s="321">
        <f>K984+L984</f>
        <v>2908210.5370928412</v>
      </c>
      <c r="N984" s="321"/>
      <c r="O984" s="320">
        <f>NhanCong!N201+NhanCong!N200</f>
        <v>66558.461538461546</v>
      </c>
    </row>
    <row r="985" spans="1:15">
      <c r="A985" s="300">
        <v>2</v>
      </c>
      <c r="B985" s="299" t="s">
        <v>624</v>
      </c>
      <c r="C985" s="300"/>
      <c r="D985" s="300"/>
      <c r="E985" s="301">
        <f>NhanCong!M198+NhanCong!M197</f>
        <v>3361967.7300000004</v>
      </c>
      <c r="F985" s="301"/>
      <c r="G985" s="320">
        <f>($E985/$E$981)*G$981</f>
        <v>2141.8441062803422</v>
      </c>
      <c r="H985" s="320">
        <f>($E985/$E$981)*H$981</f>
        <v>81961.787699999986</v>
      </c>
      <c r="I985" s="320"/>
      <c r="J985" s="320">
        <f>($E985/$E$981)*J$981</f>
        <v>1624.0895999999998</v>
      </c>
      <c r="K985" s="343">
        <f>SUM(E985:J985)</f>
        <v>3447695.451406281</v>
      </c>
      <c r="L985" s="320">
        <f>K985*0.25</f>
        <v>861923.86285157024</v>
      </c>
      <c r="M985" s="321">
        <f>K985+L985</f>
        <v>4309619.3142578509</v>
      </c>
      <c r="N985" s="321"/>
      <c r="O985" s="320">
        <f>NhanCong!N198+NhanCong!N197</f>
        <v>99837.692307692283</v>
      </c>
    </row>
    <row r="986" spans="1:15">
      <c r="A986" s="300"/>
      <c r="B986" s="299"/>
      <c r="C986" s="300"/>
      <c r="D986" s="300"/>
      <c r="E986" s="301"/>
      <c r="F986" s="301"/>
      <c r="G986" s="320"/>
      <c r="H986" s="320"/>
      <c r="I986" s="320"/>
      <c r="J986" s="320"/>
      <c r="K986" s="320"/>
      <c r="L986" s="320"/>
      <c r="M986" s="321"/>
      <c r="N986" s="321"/>
      <c r="O986" s="320"/>
    </row>
    <row r="987" spans="1:15">
      <c r="A987" s="298" t="s">
        <v>29</v>
      </c>
      <c r="B987" s="316" t="s">
        <v>213</v>
      </c>
      <c r="C987" s="300"/>
      <c r="D987" s="300"/>
      <c r="E987" s="301"/>
      <c r="F987" s="301"/>
      <c r="G987" s="301"/>
      <c r="H987" s="301"/>
      <c r="I987" s="301"/>
      <c r="J987" s="301"/>
      <c r="K987" s="301"/>
      <c r="L987" s="301"/>
      <c r="M987" s="315"/>
      <c r="N987" s="315"/>
      <c r="O987" s="301"/>
    </row>
    <row r="988" spans="1:15">
      <c r="A988" s="300">
        <v>1</v>
      </c>
      <c r="B988" s="299" t="s">
        <v>623</v>
      </c>
      <c r="C988" s="300" t="s">
        <v>49</v>
      </c>
      <c r="D988" s="348"/>
      <c r="E988" s="301">
        <f>NhanCong!Q200+NhanCong!Q201</f>
        <v>2383851.3875000007</v>
      </c>
      <c r="F988" s="301"/>
      <c r="G988" s="320">
        <f>($E988/$E$980)*G$980</f>
        <v>1878.7383335566244</v>
      </c>
      <c r="H988" s="320">
        <f>($E988/$E$980)*H$980</f>
        <v>87174.269812500002</v>
      </c>
      <c r="I988" s="320"/>
      <c r="J988" s="320">
        <f>($E988/$E$980)*J$980</f>
        <v>1625.6227575</v>
      </c>
      <c r="K988" s="343">
        <f>SUM(E988:J988)</f>
        <v>2474530.0184035576</v>
      </c>
      <c r="L988" s="320">
        <f>K988*0.25</f>
        <v>618632.5046008894</v>
      </c>
      <c r="M988" s="321">
        <f>K988+L988</f>
        <v>3093162.5230044471</v>
      </c>
      <c r="N988" s="321"/>
      <c r="O988" s="320">
        <f>NhanCong!R200+NhanCong!R201</f>
        <v>70791.346153846156</v>
      </c>
    </row>
    <row r="989" spans="1:15">
      <c r="A989" s="300">
        <v>2</v>
      </c>
      <c r="B989" s="299" t="s">
        <v>624</v>
      </c>
      <c r="C989" s="300"/>
      <c r="D989" s="300"/>
      <c r="E989" s="301">
        <f>NhanCong!Q197+NhanCong!Q198</f>
        <v>3563489.1875000009</v>
      </c>
      <c r="F989" s="301"/>
      <c r="G989" s="320">
        <f>($E989/$E$981)*G$981</f>
        <v>2270.2294986158604</v>
      </c>
      <c r="H989" s="320">
        <f>($E989/$E$981)*H$981</f>
        <v>86874.701874999999</v>
      </c>
      <c r="I989" s="320"/>
      <c r="J989" s="320">
        <f>($E989/$E$981)*J$981</f>
        <v>1721.4400000000003</v>
      </c>
      <c r="K989" s="343">
        <f>SUM(E989:J989)</f>
        <v>3654355.5588736166</v>
      </c>
      <c r="L989" s="320">
        <f>K989*0.25</f>
        <v>913588.88971840416</v>
      </c>
      <c r="M989" s="321">
        <f>K989+L989</f>
        <v>4567944.4485920211</v>
      </c>
      <c r="N989" s="321"/>
      <c r="O989" s="320">
        <f>NhanCong!R198+NhanCong!R197</f>
        <v>105822.11538461538</v>
      </c>
    </row>
    <row r="990" spans="1:15">
      <c r="A990" s="300"/>
      <c r="B990" s="299"/>
      <c r="C990" s="300"/>
      <c r="D990" s="300"/>
      <c r="E990" s="301"/>
      <c r="F990" s="301"/>
      <c r="G990" s="320"/>
      <c r="H990" s="320"/>
      <c r="I990" s="320"/>
      <c r="J990" s="320"/>
      <c r="K990" s="320"/>
      <c r="L990" s="320"/>
      <c r="M990" s="321"/>
      <c r="N990" s="321"/>
      <c r="O990" s="320"/>
    </row>
    <row r="991" spans="1:15">
      <c r="A991" s="298" t="s">
        <v>30</v>
      </c>
      <c r="B991" s="316" t="s">
        <v>214</v>
      </c>
      <c r="C991" s="300"/>
      <c r="D991" s="300"/>
      <c r="E991" s="301"/>
      <c r="F991" s="301"/>
      <c r="G991" s="301"/>
      <c r="H991" s="301"/>
      <c r="I991" s="301"/>
      <c r="J991" s="301"/>
      <c r="K991" s="301"/>
      <c r="L991" s="301"/>
      <c r="M991" s="315"/>
      <c r="N991" s="315"/>
      <c r="O991" s="301"/>
    </row>
    <row r="992" spans="1:15">
      <c r="A992" s="300">
        <v>1</v>
      </c>
      <c r="B992" s="299" t="s">
        <v>210</v>
      </c>
      <c r="C992" s="300" t="s">
        <v>49</v>
      </c>
      <c r="D992" s="348"/>
      <c r="E992" s="301">
        <f>NhanCong!U200+NhanCong!U201</f>
        <v>2902400.5037500006</v>
      </c>
      <c r="F992" s="301"/>
      <c r="G992" s="320">
        <f>($E992/$E$980)*G$980</f>
        <v>2287.4123421962609</v>
      </c>
      <c r="H992" s="320">
        <f>($E992/$E$980)*H$980</f>
        <v>106136.92025624998</v>
      </c>
      <c r="I992" s="320"/>
      <c r="J992" s="320">
        <f>($E992/$E$980)*J$980</f>
        <v>1979.2376047499997</v>
      </c>
      <c r="K992" s="343">
        <f>SUM(E992:J992)</f>
        <v>3012804.0739531969</v>
      </c>
      <c r="L992" s="320">
        <f>K992*0.25</f>
        <v>753201.01848829922</v>
      </c>
      <c r="M992" s="321">
        <f>K992+L992</f>
        <v>3766005.092441496</v>
      </c>
      <c r="N992" s="321"/>
      <c r="O992" s="320">
        <f>NhanCong!V201+NhanCong!V200</f>
        <v>86190.288461538454</v>
      </c>
    </row>
    <row r="993" spans="1:15">
      <c r="A993" s="300">
        <v>2</v>
      </c>
      <c r="B993" s="299" t="s">
        <v>211</v>
      </c>
      <c r="C993" s="300"/>
      <c r="D993" s="300"/>
      <c r="E993" s="301">
        <f>NhanCong!U197+NhanCong!U198</f>
        <v>4364659.8600000013</v>
      </c>
      <c r="F993" s="301"/>
      <c r="G993" s="320">
        <f>($E993/$E$981)*G$981</f>
        <v>2780.6397169253573</v>
      </c>
      <c r="H993" s="320">
        <f>($E993/$E$981)*H$981</f>
        <v>106406.53140000001</v>
      </c>
      <c r="I993" s="320"/>
      <c r="J993" s="320">
        <f>($E993/$E$981)*J$981</f>
        <v>2108.4672000000005</v>
      </c>
      <c r="K993" s="343">
        <f>SUM(E993:J993)</f>
        <v>4475955.498316926</v>
      </c>
      <c r="L993" s="320">
        <f>K993*0.25</f>
        <v>1118988.8745792315</v>
      </c>
      <c r="M993" s="321">
        <f>K993+L993</f>
        <v>5594944.3728961572</v>
      </c>
      <c r="N993" s="321"/>
      <c r="O993" s="320">
        <f>NhanCong!V197+NhanCong!V198</f>
        <v>129613.84615384613</v>
      </c>
    </row>
    <row r="994" spans="1:15">
      <c r="A994" s="300"/>
      <c r="B994" s="299"/>
      <c r="C994" s="300"/>
      <c r="D994" s="300"/>
      <c r="E994" s="301"/>
      <c r="F994" s="301"/>
      <c r="G994" s="320"/>
      <c r="H994" s="320"/>
      <c r="I994" s="320"/>
      <c r="J994" s="320"/>
      <c r="K994" s="320"/>
      <c r="L994" s="320"/>
      <c r="M994" s="321"/>
      <c r="N994" s="321"/>
      <c r="O994" s="320"/>
    </row>
    <row r="995" spans="1:15">
      <c r="A995" s="298" t="s">
        <v>31</v>
      </c>
      <c r="B995" s="316" t="s">
        <v>215</v>
      </c>
      <c r="C995" s="300"/>
      <c r="D995" s="300"/>
      <c r="E995" s="301"/>
      <c r="F995" s="301"/>
      <c r="G995" s="301"/>
      <c r="H995" s="301"/>
      <c r="I995" s="301"/>
      <c r="J995" s="301"/>
      <c r="K995" s="301"/>
      <c r="L995" s="301"/>
      <c r="M995" s="315"/>
      <c r="N995" s="315"/>
      <c r="O995" s="301"/>
    </row>
    <row r="996" spans="1:15">
      <c r="A996" s="300">
        <v>1</v>
      </c>
      <c r="B996" s="299" t="s">
        <v>623</v>
      </c>
      <c r="C996" s="300" t="s">
        <v>49</v>
      </c>
      <c r="D996" s="348"/>
      <c r="E996" s="301">
        <f>NhanCong!Y201+NhanCong!Y200</f>
        <v>3976362.4175000014</v>
      </c>
      <c r="F996" s="301"/>
      <c r="G996" s="320">
        <f>($E996/$E$980)*G$980</f>
        <v>3133.8130141181632</v>
      </c>
      <c r="H996" s="320">
        <f>($E996/$E$980)*H$980</f>
        <v>145410.2768625</v>
      </c>
      <c r="I996" s="320"/>
      <c r="J996" s="320">
        <f>($E996/$E$980)*J$980</f>
        <v>2711.6057955000001</v>
      </c>
      <c r="K996" s="343">
        <f>SUM(E996:J996)</f>
        <v>4127618.1131721195</v>
      </c>
      <c r="L996" s="320">
        <f>K996*0.25</f>
        <v>1031904.5282930299</v>
      </c>
      <c r="M996" s="321">
        <f>K996+L996</f>
        <v>5159522.6414651498</v>
      </c>
      <c r="N996" s="321"/>
      <c r="O996" s="320">
        <f>NhanCong!Z201+NhanCong!Z200</f>
        <v>118082.88461538462</v>
      </c>
    </row>
    <row r="997" spans="1:15">
      <c r="A997" s="300">
        <v>2</v>
      </c>
      <c r="B997" s="299" t="s">
        <v>624</v>
      </c>
      <c r="C997" s="300"/>
      <c r="D997" s="300"/>
      <c r="E997" s="301">
        <f>NhanCong!Y197+NhanCong!Y198</f>
        <v>5991576.9925000006</v>
      </c>
      <c r="F997" s="301"/>
      <c r="G997" s="320">
        <f>($E997/$E$981)*G$981</f>
        <v>3817.1169087072185</v>
      </c>
      <c r="H997" s="320">
        <f>($E997/$E$981)*H$981</f>
        <v>146069.32632499997</v>
      </c>
      <c r="I997" s="320"/>
      <c r="J997" s="320">
        <f>($E997/$E$981)*J$981</f>
        <v>2894.3935999999999</v>
      </c>
      <c r="K997" s="343">
        <f>SUM(E997:J997)</f>
        <v>6144357.8293337086</v>
      </c>
      <c r="L997" s="320">
        <f>K997*0.25</f>
        <v>1536089.4573334272</v>
      </c>
      <c r="M997" s="321">
        <f>K997+L997</f>
        <v>7680447.2866671355</v>
      </c>
      <c r="N997" s="321"/>
      <c r="O997" s="320">
        <f>NhanCong!Z197+NhanCong!Z198</f>
        <v>177927.11538461538</v>
      </c>
    </row>
    <row r="998" spans="1:15">
      <c r="A998" s="300"/>
      <c r="B998" s="299"/>
      <c r="C998" s="300"/>
      <c r="D998" s="300"/>
      <c r="E998" s="301"/>
      <c r="F998" s="301"/>
      <c r="G998" s="320"/>
      <c r="H998" s="320"/>
      <c r="I998" s="320"/>
      <c r="J998" s="320"/>
      <c r="K998" s="320"/>
      <c r="L998" s="320"/>
      <c r="M998" s="321"/>
      <c r="N998" s="321"/>
      <c r="O998" s="320"/>
    </row>
    <row r="999" spans="1:15">
      <c r="A999" s="298" t="s">
        <v>37</v>
      </c>
      <c r="B999" s="316" t="s">
        <v>216</v>
      </c>
      <c r="C999" s="300"/>
      <c r="D999" s="300"/>
      <c r="E999" s="301"/>
      <c r="F999" s="301"/>
      <c r="G999" s="301"/>
      <c r="H999" s="301"/>
      <c r="I999" s="301"/>
      <c r="J999" s="301"/>
      <c r="K999" s="301"/>
      <c r="L999" s="301"/>
      <c r="M999" s="315"/>
      <c r="N999" s="315"/>
      <c r="O999" s="301"/>
    </row>
    <row r="1000" spans="1:15">
      <c r="A1000" s="300">
        <v>1</v>
      </c>
      <c r="B1000" s="299" t="s">
        <v>623</v>
      </c>
      <c r="C1000" s="300" t="s">
        <v>49</v>
      </c>
      <c r="D1000" s="348"/>
      <c r="E1000" s="301">
        <f>NhanCong!AC201+NhanCong!AC200</f>
        <v>6134116.5600000005</v>
      </c>
      <c r="F1000" s="301"/>
      <c r="G1000" s="320">
        <f>($E1000/$E$980)*G$980</f>
        <v>4834.3617325333335</v>
      </c>
      <c r="H1000" s="320">
        <f>($E1000/$E$980)*H$980</f>
        <v>224316.47159999996</v>
      </c>
      <c r="I1000" s="320"/>
      <c r="J1000" s="320">
        <f>($E1000/$E$980)*J$980</f>
        <v>4183.045775999999</v>
      </c>
      <c r="K1000" s="343">
        <f>SUM(E1000:J1000)</f>
        <v>6367450.4391085338</v>
      </c>
      <c r="L1000" s="320">
        <f>K1000*0.25</f>
        <v>1591862.6097771334</v>
      </c>
      <c r="M1000" s="321">
        <f>K1000+L1000</f>
        <v>7959313.0488856677</v>
      </c>
      <c r="N1000" s="321"/>
      <c r="O1000" s="320">
        <f>NhanCong!AD200+NhanCong!AD201</f>
        <v>182160</v>
      </c>
    </row>
    <row r="1001" spans="1:15">
      <c r="A1001" s="300">
        <v>2</v>
      </c>
      <c r="B1001" s="299" t="s">
        <v>624</v>
      </c>
      <c r="C1001" s="300"/>
      <c r="D1001" s="300"/>
      <c r="E1001" s="301">
        <f>NhanCong!AC197+NhanCong!AC198</f>
        <v>9201174.8400000017</v>
      </c>
      <c r="F1001" s="301"/>
      <c r="G1001" s="320">
        <f>($E1001/$E$981)*G$981</f>
        <v>5861.8891329777798</v>
      </c>
      <c r="H1001" s="320">
        <f>($E1001/$E$981)*H$981</f>
        <v>224316.47159999999</v>
      </c>
      <c r="I1001" s="320"/>
      <c r="J1001" s="320">
        <f>($E1001/$E$981)*J$981</f>
        <v>4444.8768</v>
      </c>
      <c r="K1001" s="343">
        <f>SUM(E1001:J1001)</f>
        <v>9435798.0775329806</v>
      </c>
      <c r="L1001" s="320">
        <f>K1001*0.25</f>
        <v>2358949.5193832451</v>
      </c>
      <c r="M1001" s="321">
        <f>K1001+L1001</f>
        <v>11794747.596916225</v>
      </c>
      <c r="N1001" s="321"/>
      <c r="O1001" s="320">
        <f>NhanCong!AD197+NhanCong!AD198</f>
        <v>273239.99999999994</v>
      </c>
    </row>
    <row r="1002" spans="1:15">
      <c r="A1002" s="300"/>
      <c r="B1002" s="299"/>
      <c r="C1002" s="300"/>
      <c r="D1002" s="300"/>
      <c r="E1002" s="301"/>
      <c r="F1002" s="301"/>
      <c r="G1002" s="320"/>
      <c r="H1002" s="320"/>
      <c r="I1002" s="320"/>
      <c r="J1002" s="320"/>
      <c r="K1002" s="320"/>
      <c r="L1002" s="320"/>
      <c r="M1002" s="321"/>
      <c r="N1002" s="321"/>
      <c r="O1002" s="320"/>
    </row>
    <row r="1003" spans="1:15" hidden="1">
      <c r="A1003" s="298" t="s">
        <v>299</v>
      </c>
      <c r="B1003" s="316" t="s">
        <v>344</v>
      </c>
      <c r="C1003" s="300"/>
      <c r="D1003" s="300"/>
      <c r="E1003" s="301"/>
      <c r="F1003" s="301"/>
      <c r="G1003" s="301"/>
      <c r="H1003" s="301"/>
      <c r="I1003" s="301"/>
      <c r="J1003" s="301"/>
      <c r="K1003" s="301"/>
      <c r="L1003" s="301"/>
      <c r="M1003" s="315"/>
      <c r="N1003" s="315"/>
      <c r="O1003" s="301"/>
    </row>
    <row r="1004" spans="1:15" hidden="1">
      <c r="A1004" s="300">
        <v>1</v>
      </c>
      <c r="B1004" s="299" t="s">
        <v>210</v>
      </c>
      <c r="C1004" s="300" t="s">
        <v>49</v>
      </c>
      <c r="D1004" s="349">
        <v>1.2</v>
      </c>
      <c r="E1004" s="301">
        <f>$D1004*E$1000</f>
        <v>7360939.8720000004</v>
      </c>
      <c r="F1004" s="301"/>
      <c r="G1004" s="301">
        <f>$D1004*G$1000</f>
        <v>5801.2340790400003</v>
      </c>
      <c r="H1004" s="301">
        <f>$D1004*H$1000</f>
        <v>269179.76591999992</v>
      </c>
      <c r="I1004" s="301">
        <f>$D1004*I$1000</f>
        <v>0</v>
      </c>
      <c r="J1004" s="301">
        <f>$D1004*J$1000</f>
        <v>5019.6549311999988</v>
      </c>
      <c r="K1004" s="343">
        <f>SUM(E1004:J1004)</f>
        <v>7640940.52693024</v>
      </c>
      <c r="L1004" s="320">
        <f>K1004*0.25</f>
        <v>1910235.13173256</v>
      </c>
      <c r="M1004" s="321">
        <f>K1004+L1004</f>
        <v>9551175.6586627997</v>
      </c>
      <c r="N1004" s="321"/>
      <c r="O1004" s="301">
        <f>$D1004*O$1000</f>
        <v>218592</v>
      </c>
    </row>
    <row r="1005" spans="1:15" hidden="1">
      <c r="A1005" s="300">
        <v>2</v>
      </c>
      <c r="B1005" s="299" t="s">
        <v>211</v>
      </c>
      <c r="C1005" s="300"/>
      <c r="D1005" s="300">
        <v>1.2</v>
      </c>
      <c r="E1005" s="301">
        <f>$D1005*E$1001</f>
        <v>11041409.808000002</v>
      </c>
      <c r="F1005" s="301"/>
      <c r="G1005" s="301">
        <f>$D1005*G$1001</f>
        <v>7034.266959573336</v>
      </c>
      <c r="H1005" s="301">
        <f>$D1005*H$1001</f>
        <v>269179.76591999998</v>
      </c>
      <c r="I1005" s="301">
        <f>$D1005*I$1001</f>
        <v>0</v>
      </c>
      <c r="J1005" s="301">
        <f>$D1005*J$1001</f>
        <v>5333.8521599999995</v>
      </c>
      <c r="K1005" s="343">
        <f>SUM(E1005:J1005)</f>
        <v>11322957.693039576</v>
      </c>
      <c r="L1005" s="320">
        <f>K1005*0.25</f>
        <v>2830739.4232598939</v>
      </c>
      <c r="M1005" s="321">
        <f>K1005+L1005</f>
        <v>14153697.116299469</v>
      </c>
      <c r="N1005" s="321"/>
      <c r="O1005" s="301">
        <f>$D1005*O$1001</f>
        <v>327887.99999999994</v>
      </c>
    </row>
    <row r="1006" spans="1:15" hidden="1">
      <c r="A1006" s="300"/>
      <c r="B1006" s="299"/>
      <c r="C1006" s="300"/>
      <c r="D1006" s="300"/>
      <c r="E1006" s="301"/>
      <c r="F1006" s="301"/>
      <c r="G1006" s="320"/>
      <c r="H1006" s="320"/>
      <c r="I1006" s="320"/>
      <c r="J1006" s="320"/>
      <c r="K1006" s="320"/>
      <c r="L1006" s="320"/>
      <c r="M1006" s="321"/>
      <c r="N1006" s="321"/>
      <c r="O1006" s="320"/>
    </row>
    <row r="1007" spans="1:15" hidden="1">
      <c r="A1007" s="298" t="s">
        <v>300</v>
      </c>
      <c r="B1007" s="316" t="s">
        <v>345</v>
      </c>
      <c r="C1007" s="300"/>
      <c r="D1007" s="300"/>
      <c r="E1007" s="301"/>
      <c r="F1007" s="301"/>
      <c r="G1007" s="301"/>
      <c r="H1007" s="301"/>
      <c r="I1007" s="301"/>
      <c r="J1007" s="301"/>
      <c r="K1007" s="301"/>
      <c r="L1007" s="301"/>
      <c r="M1007" s="315"/>
      <c r="N1007" s="315"/>
      <c r="O1007" s="301"/>
    </row>
    <row r="1008" spans="1:15" hidden="1">
      <c r="A1008" s="300">
        <v>1</v>
      </c>
      <c r="B1008" s="299" t="s">
        <v>210</v>
      </c>
      <c r="C1008" s="300" t="s">
        <v>49</v>
      </c>
      <c r="D1008" s="349">
        <v>1.3</v>
      </c>
      <c r="E1008" s="301">
        <f>$D1008*E$1000</f>
        <v>7974351.5280000009</v>
      </c>
      <c r="F1008" s="301"/>
      <c r="G1008" s="301">
        <f>$D1008*G$1000</f>
        <v>6284.6702522933338</v>
      </c>
      <c r="H1008" s="301">
        <f>$D1008*H$1000</f>
        <v>291611.41307999997</v>
      </c>
      <c r="I1008" s="301">
        <f>$D1008*I$1000</f>
        <v>0</v>
      </c>
      <c r="J1008" s="301">
        <f>$D1008*J$1000</f>
        <v>5437.9595087999987</v>
      </c>
      <c r="K1008" s="343">
        <f>SUM(E1008:J1008)</f>
        <v>8277685.5708410945</v>
      </c>
      <c r="L1008" s="320">
        <f>K1008*0.25</f>
        <v>2069421.3927102736</v>
      </c>
      <c r="M1008" s="321">
        <f>K1008+L1008</f>
        <v>10347106.963551369</v>
      </c>
      <c r="N1008" s="321"/>
      <c r="O1008" s="301">
        <f>$D1008*O$1000</f>
        <v>236808</v>
      </c>
    </row>
    <row r="1009" spans="1:15" hidden="1">
      <c r="A1009" s="300">
        <v>2</v>
      </c>
      <c r="B1009" s="299" t="s">
        <v>211</v>
      </c>
      <c r="C1009" s="300"/>
      <c r="D1009" s="300">
        <v>1.3</v>
      </c>
      <c r="E1009" s="301">
        <f>$D1009*E$1001</f>
        <v>11961527.292000003</v>
      </c>
      <c r="F1009" s="301"/>
      <c r="G1009" s="301">
        <f>$D1009*G$1001</f>
        <v>7620.4558728711136</v>
      </c>
      <c r="H1009" s="301">
        <f>$D1009*H$1001</f>
        <v>291611.41307999997</v>
      </c>
      <c r="I1009" s="301">
        <f>$D1009*I$1001</f>
        <v>0</v>
      </c>
      <c r="J1009" s="301">
        <f>$D1009*J$1001</f>
        <v>5778.3398400000005</v>
      </c>
      <c r="K1009" s="343">
        <f>SUM(E1009:J1009)</f>
        <v>12266537.500792874</v>
      </c>
      <c r="L1009" s="320">
        <f>K1009*0.25</f>
        <v>3066634.3751982185</v>
      </c>
      <c r="M1009" s="321">
        <f>K1009+L1009</f>
        <v>15333171.875991093</v>
      </c>
      <c r="N1009" s="321"/>
      <c r="O1009" s="301">
        <f>$D1009*O$1001</f>
        <v>355211.99999999994</v>
      </c>
    </row>
    <row r="1010" spans="1:15" hidden="1">
      <c r="A1010" s="300"/>
      <c r="B1010" s="299"/>
      <c r="C1010" s="300"/>
      <c r="D1010" s="300"/>
      <c r="E1010" s="301"/>
      <c r="F1010" s="301"/>
      <c r="G1010" s="320"/>
      <c r="H1010" s="320"/>
      <c r="I1010" s="320"/>
      <c r="J1010" s="320"/>
      <c r="K1010" s="320"/>
      <c r="L1010" s="320"/>
      <c r="M1010" s="321"/>
      <c r="N1010" s="321"/>
      <c r="O1010" s="320"/>
    </row>
    <row r="1011" spans="1:15" hidden="1">
      <c r="A1011" s="298" t="s">
        <v>301</v>
      </c>
      <c r="B1011" s="316" t="s">
        <v>346</v>
      </c>
      <c r="C1011" s="300"/>
      <c r="D1011" s="300"/>
      <c r="E1011" s="301"/>
      <c r="F1011" s="301"/>
      <c r="G1011" s="301"/>
      <c r="H1011" s="301"/>
      <c r="I1011" s="301"/>
      <c r="J1011" s="301"/>
      <c r="K1011" s="301"/>
      <c r="L1011" s="301"/>
      <c r="M1011" s="315"/>
      <c r="N1011" s="315"/>
      <c r="O1011" s="301"/>
    </row>
    <row r="1012" spans="1:15" hidden="1">
      <c r="A1012" s="300">
        <v>1</v>
      </c>
      <c r="B1012" s="299" t="s">
        <v>210</v>
      </c>
      <c r="C1012" s="300" t="s">
        <v>49</v>
      </c>
      <c r="D1012" s="349">
        <v>1.4</v>
      </c>
      <c r="E1012" s="301">
        <f>$D1012*E$1000</f>
        <v>8587763.1840000004</v>
      </c>
      <c r="F1012" s="301"/>
      <c r="G1012" s="301">
        <f>$D1012*G$1000</f>
        <v>6768.1064255466663</v>
      </c>
      <c r="H1012" s="301">
        <f>$D1012*H$1000</f>
        <v>314043.0602399999</v>
      </c>
      <c r="I1012" s="301">
        <f>$D1012*I$1000</f>
        <v>0</v>
      </c>
      <c r="J1012" s="301">
        <f>$D1012*J$1000</f>
        <v>5856.2640863999986</v>
      </c>
      <c r="K1012" s="343">
        <f>SUM(E1012:J1012)</f>
        <v>8914430.6147519462</v>
      </c>
      <c r="L1012" s="320">
        <f>K1012*0.25</f>
        <v>2228607.6536879865</v>
      </c>
      <c r="M1012" s="321">
        <f>K1012+L1012</f>
        <v>11143038.268439934</v>
      </c>
      <c r="N1012" s="321"/>
      <c r="O1012" s="301">
        <f>$D1012*O$1000</f>
        <v>255023.99999999997</v>
      </c>
    </row>
    <row r="1013" spans="1:15" hidden="1">
      <c r="A1013" s="300">
        <v>2</v>
      </c>
      <c r="B1013" s="299" t="s">
        <v>211</v>
      </c>
      <c r="C1013" s="300"/>
      <c r="D1013" s="300">
        <v>1.4</v>
      </c>
      <c r="E1013" s="301">
        <f>$D1013*E$1001</f>
        <v>12881644.776000002</v>
      </c>
      <c r="F1013" s="301"/>
      <c r="G1013" s="301">
        <f>$D1013*G$1001</f>
        <v>8206.6447861688921</v>
      </c>
      <c r="H1013" s="301">
        <f>$D1013*H$1001</f>
        <v>314043.06023999996</v>
      </c>
      <c r="I1013" s="301">
        <f>$D1013*I$1001</f>
        <v>0</v>
      </c>
      <c r="J1013" s="301">
        <f>$D1013*J$1001</f>
        <v>6222.8275199999998</v>
      </c>
      <c r="K1013" s="343">
        <f>SUM(E1013:J1013)</f>
        <v>13210117.308546172</v>
      </c>
      <c r="L1013" s="320">
        <f>K1013*0.25</f>
        <v>3302529.3271365431</v>
      </c>
      <c r="M1013" s="321">
        <f>K1013+L1013</f>
        <v>16512646.635682715</v>
      </c>
      <c r="N1013" s="321"/>
      <c r="O1013" s="301">
        <f>$D1013*O$1001</f>
        <v>382535.99999999988</v>
      </c>
    </row>
    <row r="1014" spans="1:15" hidden="1">
      <c r="A1014" s="300"/>
      <c r="B1014" s="299"/>
      <c r="C1014" s="300"/>
      <c r="D1014" s="300"/>
      <c r="E1014" s="301"/>
      <c r="F1014" s="301"/>
      <c r="G1014" s="320"/>
      <c r="H1014" s="320"/>
      <c r="I1014" s="320"/>
      <c r="J1014" s="320"/>
      <c r="K1014" s="320"/>
      <c r="L1014" s="320"/>
      <c r="M1014" s="321"/>
      <c r="N1014" s="321"/>
      <c r="O1014" s="320"/>
    </row>
    <row r="1015" spans="1:15" hidden="1">
      <c r="A1015" s="298" t="s">
        <v>303</v>
      </c>
      <c r="B1015" s="316" t="s">
        <v>347</v>
      </c>
      <c r="C1015" s="300"/>
      <c r="D1015" s="300"/>
      <c r="E1015" s="301"/>
      <c r="F1015" s="301"/>
      <c r="G1015" s="301"/>
      <c r="H1015" s="301"/>
      <c r="I1015" s="301"/>
      <c r="J1015" s="301"/>
      <c r="K1015" s="301"/>
      <c r="L1015" s="301"/>
      <c r="M1015" s="315"/>
      <c r="N1015" s="315"/>
      <c r="O1015" s="301"/>
    </row>
    <row r="1016" spans="1:15" hidden="1">
      <c r="A1016" s="300">
        <v>1</v>
      </c>
      <c r="B1016" s="299" t="s">
        <v>210</v>
      </c>
      <c r="C1016" s="300" t="s">
        <v>49</v>
      </c>
      <c r="D1016" s="349">
        <v>1.6</v>
      </c>
      <c r="E1016" s="301">
        <f>$D1016*E$1000</f>
        <v>9814586.4960000012</v>
      </c>
      <c r="F1016" s="301"/>
      <c r="G1016" s="301">
        <f>$D1016*G$1000</f>
        <v>7734.9787720533341</v>
      </c>
      <c r="H1016" s="301">
        <f>$D1016*H$1000</f>
        <v>358906.35455999995</v>
      </c>
      <c r="I1016" s="301">
        <f>$D1016*I$1000</f>
        <v>0</v>
      </c>
      <c r="J1016" s="301">
        <f>$D1016*J$1000</f>
        <v>6692.8732415999984</v>
      </c>
      <c r="K1016" s="343">
        <f>SUM(E1016:J1016)</f>
        <v>10187920.702573655</v>
      </c>
      <c r="L1016" s="320">
        <f>K1016*0.25</f>
        <v>2546980.1756434138</v>
      </c>
      <c r="M1016" s="321">
        <f>K1016+L1016</f>
        <v>12734900.878217069</v>
      </c>
      <c r="N1016" s="321"/>
      <c r="O1016" s="301">
        <f>$D1016*O$1000</f>
        <v>291456</v>
      </c>
    </row>
    <row r="1017" spans="1:15" hidden="1">
      <c r="A1017" s="300">
        <v>2</v>
      </c>
      <c r="B1017" s="299" t="s">
        <v>211</v>
      </c>
      <c r="C1017" s="300"/>
      <c r="D1017" s="300">
        <v>1.6</v>
      </c>
      <c r="E1017" s="301">
        <f>$D1017*E$1001</f>
        <v>14721879.744000003</v>
      </c>
      <c r="F1017" s="301"/>
      <c r="G1017" s="301">
        <f>$D1017*G$1001</f>
        <v>9379.0226127644473</v>
      </c>
      <c r="H1017" s="301">
        <f>$D1017*H$1001</f>
        <v>358906.35456000001</v>
      </c>
      <c r="I1017" s="301">
        <f>$D1017*I$1001</f>
        <v>0</v>
      </c>
      <c r="J1017" s="301">
        <f>$D1017*J$1001</f>
        <v>7111.8028800000002</v>
      </c>
      <c r="K1017" s="343">
        <f>SUM(E1017:J1017)</f>
        <v>15097276.924052767</v>
      </c>
      <c r="L1017" s="320">
        <f>K1017*0.25</f>
        <v>3774319.2310131919</v>
      </c>
      <c r="M1017" s="321">
        <f>K1017+L1017</f>
        <v>18871596.155065961</v>
      </c>
      <c r="N1017" s="321"/>
      <c r="O1017" s="301">
        <f>$D1017*O$1001</f>
        <v>437183.99999999994</v>
      </c>
    </row>
    <row r="1018" spans="1:15" hidden="1">
      <c r="A1018" s="300"/>
      <c r="B1018" s="299"/>
      <c r="C1018" s="300"/>
      <c r="D1018" s="300"/>
      <c r="E1018" s="301"/>
      <c r="F1018" s="301"/>
      <c r="G1018" s="320"/>
      <c r="H1018" s="320"/>
      <c r="I1018" s="320"/>
      <c r="J1018" s="320"/>
      <c r="K1018" s="320"/>
      <c r="L1018" s="320"/>
      <c r="M1018" s="321"/>
      <c r="N1018" s="321"/>
      <c r="O1018" s="320"/>
    </row>
    <row r="1019" spans="1:15" hidden="1">
      <c r="A1019" s="298" t="s">
        <v>302</v>
      </c>
      <c r="B1019" s="316" t="s">
        <v>348</v>
      </c>
      <c r="C1019" s="300"/>
      <c r="D1019" s="300"/>
      <c r="E1019" s="301"/>
      <c r="F1019" s="301"/>
      <c r="G1019" s="301"/>
      <c r="H1019" s="301"/>
      <c r="I1019" s="301"/>
      <c r="J1019" s="301"/>
      <c r="K1019" s="301"/>
      <c r="L1019" s="301"/>
      <c r="M1019" s="315"/>
      <c r="N1019" s="315"/>
      <c r="O1019" s="301"/>
    </row>
    <row r="1020" spans="1:15" hidden="1">
      <c r="A1020" s="300">
        <v>1</v>
      </c>
      <c r="B1020" s="299" t="s">
        <v>210</v>
      </c>
      <c r="C1020" s="300" t="s">
        <v>49</v>
      </c>
      <c r="D1020" s="349">
        <v>1.8</v>
      </c>
      <c r="E1020" s="301">
        <f>$D1020*E$1000</f>
        <v>11041409.808000002</v>
      </c>
      <c r="F1020" s="301"/>
      <c r="G1020" s="301">
        <f>$D1020*G$1000</f>
        <v>8701.85111856</v>
      </c>
      <c r="H1020" s="301">
        <f>$D1020*H$1000</f>
        <v>403769.64887999994</v>
      </c>
      <c r="I1020" s="301">
        <f>$D1020*I$1000</f>
        <v>0</v>
      </c>
      <c r="J1020" s="301">
        <f>$D1020*J$1000</f>
        <v>7529.4823967999982</v>
      </c>
      <c r="K1020" s="343">
        <f>SUM(E1020:J1020)</f>
        <v>11461410.790395362</v>
      </c>
      <c r="L1020" s="320">
        <f>K1020*0.25</f>
        <v>2865352.6975988406</v>
      </c>
      <c r="M1020" s="321">
        <f>K1020+L1020</f>
        <v>14326763.487994203</v>
      </c>
      <c r="N1020" s="321"/>
      <c r="O1020" s="301">
        <f>$D1020*O$1000</f>
        <v>327888</v>
      </c>
    </row>
    <row r="1021" spans="1:15" hidden="1">
      <c r="A1021" s="300">
        <v>2</v>
      </c>
      <c r="B1021" s="299" t="s">
        <v>211</v>
      </c>
      <c r="C1021" s="300"/>
      <c r="D1021" s="300">
        <v>1.8</v>
      </c>
      <c r="E1021" s="301">
        <f>$D1021*E$1001</f>
        <v>16562114.712000003</v>
      </c>
      <c r="F1021" s="301"/>
      <c r="G1021" s="301">
        <f>$D1021*G$1001</f>
        <v>10551.400439360004</v>
      </c>
      <c r="H1021" s="301">
        <f>$D1021*H$1001</f>
        <v>403769.64887999999</v>
      </c>
      <c r="I1021" s="301">
        <f>$D1021*I$1001</f>
        <v>0</v>
      </c>
      <c r="J1021" s="301">
        <f>$D1021*J$1001</f>
        <v>8000.7782400000006</v>
      </c>
      <c r="K1021" s="343">
        <f>SUM(E1021:J1021)</f>
        <v>16984436.539559361</v>
      </c>
      <c r="L1021" s="320">
        <f>K1021*0.25</f>
        <v>4246109.1348898401</v>
      </c>
      <c r="M1021" s="321">
        <f>K1021+L1021</f>
        <v>21230545.674449202</v>
      </c>
      <c r="N1021" s="321"/>
      <c r="O1021" s="301">
        <f>$D1021*O$1001</f>
        <v>491831.99999999988</v>
      </c>
    </row>
    <row r="1022" spans="1:15" hidden="1">
      <c r="A1022" s="300"/>
      <c r="B1022" s="299"/>
      <c r="C1022" s="300"/>
      <c r="D1022" s="300"/>
      <c r="E1022" s="301"/>
      <c r="F1022" s="301"/>
      <c r="G1022" s="320"/>
      <c r="H1022" s="320"/>
      <c r="I1022" s="320"/>
      <c r="J1022" s="320"/>
      <c r="K1022" s="320"/>
      <c r="L1022" s="320"/>
      <c r="M1022" s="321"/>
      <c r="N1022" s="321"/>
      <c r="O1022" s="320"/>
    </row>
    <row r="1023" spans="1:15" ht="18.75" hidden="1" customHeight="1">
      <c r="A1023" s="300"/>
      <c r="B1023" s="316" t="s">
        <v>219</v>
      </c>
      <c r="C1023" s="300"/>
      <c r="D1023" s="300"/>
      <c r="E1023" s="301"/>
      <c r="F1023" s="301"/>
      <c r="G1023" s="320"/>
      <c r="H1023" s="320"/>
      <c r="I1023" s="320"/>
      <c r="J1023" s="320"/>
      <c r="K1023" s="320"/>
      <c r="L1023" s="320"/>
      <c r="M1023" s="321"/>
      <c r="N1023" s="321"/>
      <c r="O1023" s="320"/>
    </row>
    <row r="1024" spans="1:15" ht="25.5" hidden="1" customHeight="1">
      <c r="A1024" s="300"/>
      <c r="B1024" s="350" t="s">
        <v>304</v>
      </c>
      <c r="C1024" s="300"/>
      <c r="D1024" s="300"/>
      <c r="E1024" s="301"/>
      <c r="F1024" s="301"/>
      <c r="G1024" s="320"/>
      <c r="H1024" s="320"/>
      <c r="I1024" s="320"/>
      <c r="J1024" s="320"/>
      <c r="K1024" s="320"/>
      <c r="L1024" s="320"/>
      <c r="M1024" s="321"/>
      <c r="N1024" s="321"/>
      <c r="O1024" s="320"/>
    </row>
    <row r="1025" spans="1:15" ht="21" hidden="1" customHeight="1">
      <c r="A1025" s="300"/>
      <c r="B1025" s="350" t="s">
        <v>305</v>
      </c>
      <c r="C1025" s="300"/>
      <c r="D1025" s="300"/>
      <c r="E1025" s="301"/>
      <c r="F1025" s="301"/>
      <c r="G1025" s="320"/>
      <c r="H1025" s="320"/>
      <c r="I1025" s="320"/>
      <c r="J1025" s="320"/>
      <c r="K1025" s="320"/>
      <c r="L1025" s="320"/>
      <c r="M1025" s="321"/>
      <c r="N1025" s="321"/>
      <c r="O1025" s="320"/>
    </row>
    <row r="1026" spans="1:15" ht="22.5" hidden="1" customHeight="1">
      <c r="A1026" s="300"/>
      <c r="B1026" s="350" t="s">
        <v>306</v>
      </c>
      <c r="C1026" s="300"/>
      <c r="D1026" s="300"/>
      <c r="E1026" s="301"/>
      <c r="F1026" s="301"/>
      <c r="G1026" s="320"/>
      <c r="H1026" s="320"/>
      <c r="I1026" s="320"/>
      <c r="J1026" s="320"/>
      <c r="K1026" s="320"/>
      <c r="L1026" s="320"/>
      <c r="M1026" s="321"/>
      <c r="N1026" s="321"/>
      <c r="O1026" s="320"/>
    </row>
    <row r="1027" spans="1:15" ht="20.25" hidden="1" customHeight="1">
      <c r="A1027" s="300"/>
      <c r="B1027" s="350" t="s">
        <v>307</v>
      </c>
      <c r="C1027" s="300"/>
      <c r="D1027" s="300"/>
      <c r="E1027" s="301"/>
      <c r="F1027" s="301"/>
      <c r="G1027" s="320"/>
      <c r="H1027" s="320"/>
      <c r="I1027" s="320"/>
      <c r="J1027" s="320"/>
      <c r="K1027" s="320"/>
      <c r="L1027" s="320"/>
      <c r="M1027" s="321"/>
      <c r="N1027" s="321"/>
      <c r="O1027" s="320"/>
    </row>
    <row r="1028" spans="1:15" hidden="1">
      <c r="A1028" s="300"/>
      <c r="B1028" s="299"/>
      <c r="C1028" s="300"/>
      <c r="D1028" s="300"/>
      <c r="E1028" s="301"/>
      <c r="F1028" s="301"/>
      <c r="G1028" s="320"/>
      <c r="H1028" s="320"/>
      <c r="I1028" s="320"/>
      <c r="J1028" s="320"/>
      <c r="K1028" s="320"/>
      <c r="L1028" s="320"/>
      <c r="M1028" s="321"/>
      <c r="N1028" s="321"/>
      <c r="O1028" s="320"/>
    </row>
    <row r="1029" spans="1:15" s="308" customFormat="1" ht="19.5" customHeight="1">
      <c r="A1029" s="298" t="s">
        <v>435</v>
      </c>
      <c r="B1029" s="1027" t="s">
        <v>437</v>
      </c>
      <c r="C1029" s="1028"/>
      <c r="D1029" s="1028"/>
      <c r="E1029" s="1028"/>
      <c r="F1029" s="1028"/>
      <c r="G1029" s="1028"/>
      <c r="H1029" s="1028"/>
      <c r="I1029" s="1028"/>
      <c r="J1029" s="1028"/>
      <c r="K1029" s="1028"/>
      <c r="L1029" s="1028"/>
      <c r="M1029" s="1028"/>
      <c r="N1029" s="1028"/>
      <c r="O1029" s="1028"/>
    </row>
    <row r="1030" spans="1:15" ht="19.5" customHeight="1">
      <c r="A1030" s="300">
        <v>1</v>
      </c>
      <c r="B1030" s="1032" t="s">
        <v>625</v>
      </c>
      <c r="C1030" s="1033"/>
      <c r="D1030" s="1033"/>
      <c r="E1030" s="1033"/>
      <c r="F1030" s="1033"/>
      <c r="G1030" s="1033"/>
      <c r="H1030" s="1033"/>
      <c r="I1030" s="1033"/>
      <c r="J1030" s="1033"/>
      <c r="K1030" s="1033"/>
      <c r="L1030" s="1033"/>
      <c r="M1030" s="1033"/>
      <c r="N1030" s="1033"/>
      <c r="O1030" s="1033"/>
    </row>
    <row r="1031" spans="1:15" ht="19.5" customHeight="1">
      <c r="A1031" s="300">
        <v>2</v>
      </c>
      <c r="B1031" s="1032" t="s">
        <v>626</v>
      </c>
      <c r="C1031" s="1033"/>
      <c r="D1031" s="1033"/>
      <c r="E1031" s="1033"/>
      <c r="F1031" s="1033"/>
      <c r="G1031" s="1033"/>
      <c r="H1031" s="1033"/>
      <c r="I1031" s="1033"/>
      <c r="J1031" s="1033"/>
      <c r="K1031" s="1033"/>
      <c r="L1031" s="1033"/>
      <c r="M1031" s="1033"/>
      <c r="N1031" s="1033"/>
      <c r="O1031" s="1033"/>
    </row>
    <row r="1032" spans="1:15" s="308" customFormat="1" ht="19.5" customHeight="1">
      <c r="A1032" s="298" t="s">
        <v>436</v>
      </c>
      <c r="B1032" s="1027" t="s">
        <v>438</v>
      </c>
      <c r="C1032" s="1028"/>
      <c r="D1032" s="1028"/>
      <c r="E1032" s="1028"/>
      <c r="F1032" s="1028"/>
      <c r="G1032" s="1028"/>
      <c r="H1032" s="1028"/>
      <c r="I1032" s="1028"/>
      <c r="J1032" s="1028"/>
      <c r="K1032" s="1028"/>
      <c r="L1032" s="1028"/>
      <c r="M1032" s="1028"/>
      <c r="N1032" s="1028"/>
      <c r="O1032" s="1028"/>
    </row>
    <row r="1033" spans="1:15" s="308" customFormat="1" ht="38.25" customHeight="1">
      <c r="A1033" s="298" t="s">
        <v>448</v>
      </c>
      <c r="B1033" s="1027" t="s">
        <v>449</v>
      </c>
      <c r="C1033" s="1028"/>
      <c r="D1033" s="1028"/>
      <c r="E1033" s="1028"/>
      <c r="F1033" s="1028"/>
      <c r="G1033" s="1028"/>
      <c r="H1033" s="1028"/>
      <c r="I1033" s="1028"/>
      <c r="J1033" s="1028"/>
      <c r="K1033" s="1028"/>
      <c r="L1033" s="1028"/>
      <c r="M1033" s="1028"/>
      <c r="N1033" s="1028"/>
      <c r="O1033" s="1028"/>
    </row>
    <row r="1034" spans="1:15" s="308" customFormat="1" ht="17.25" customHeight="1">
      <c r="A1034" s="298" t="s">
        <v>450</v>
      </c>
      <c r="B1034" s="1027" t="s">
        <v>627</v>
      </c>
      <c r="C1034" s="1028"/>
      <c r="D1034" s="1028"/>
      <c r="E1034" s="1028"/>
      <c r="F1034" s="1028"/>
      <c r="G1034" s="1028"/>
      <c r="H1034" s="1028"/>
      <c r="I1034" s="1028"/>
      <c r="J1034" s="1028"/>
      <c r="K1034" s="1028"/>
      <c r="L1034" s="1028"/>
      <c r="M1034" s="1028"/>
      <c r="N1034" s="1028"/>
      <c r="O1034" s="1028"/>
    </row>
    <row r="1035" spans="1:15" ht="19.5" customHeight="1">
      <c r="A1035" s="300">
        <v>1</v>
      </c>
      <c r="B1035" s="1032" t="s">
        <v>457</v>
      </c>
      <c r="C1035" s="1033"/>
      <c r="D1035" s="1033"/>
      <c r="E1035" s="1033"/>
      <c r="F1035" s="1033"/>
      <c r="G1035" s="1033"/>
      <c r="H1035" s="1033"/>
      <c r="I1035" s="1033"/>
      <c r="J1035" s="1033"/>
      <c r="K1035" s="1033"/>
      <c r="L1035" s="1033"/>
      <c r="M1035" s="1033"/>
      <c r="N1035" s="1033"/>
      <c r="O1035" s="1033"/>
    </row>
    <row r="1036" spans="1:15" ht="21" customHeight="1">
      <c r="A1036" s="300">
        <v>2</v>
      </c>
      <c r="B1036" s="1032" t="s">
        <v>458</v>
      </c>
      <c r="C1036" s="1033"/>
      <c r="D1036" s="1033"/>
      <c r="E1036" s="1033"/>
      <c r="F1036" s="1033"/>
      <c r="G1036" s="1033"/>
      <c r="H1036" s="1033"/>
      <c r="I1036" s="1033"/>
      <c r="J1036" s="1033"/>
      <c r="K1036" s="1033"/>
      <c r="L1036" s="1033"/>
      <c r="M1036" s="1033"/>
      <c r="N1036" s="1033"/>
      <c r="O1036" s="1033"/>
    </row>
    <row r="1037" spans="1:15" s="308" customFormat="1" ht="12.75" customHeight="1">
      <c r="A1037" s="298" t="s">
        <v>453</v>
      </c>
      <c r="B1037" s="1027" t="s">
        <v>451</v>
      </c>
      <c r="C1037" s="1028"/>
      <c r="D1037" s="1028"/>
      <c r="E1037" s="1028"/>
      <c r="F1037" s="1028"/>
      <c r="G1037" s="1028"/>
      <c r="H1037" s="1028"/>
      <c r="I1037" s="1028"/>
      <c r="J1037" s="1028"/>
      <c r="K1037" s="1028"/>
      <c r="L1037" s="1028"/>
      <c r="M1037" s="1028"/>
      <c r="N1037" s="1028"/>
      <c r="O1037" s="1028"/>
    </row>
    <row r="1038" spans="1:15" ht="28.5" customHeight="1">
      <c r="A1038" s="300">
        <v>1</v>
      </c>
      <c r="B1038" s="1032" t="s">
        <v>628</v>
      </c>
      <c r="C1038" s="1033"/>
      <c r="D1038" s="1033"/>
      <c r="E1038" s="1033"/>
      <c r="F1038" s="1033"/>
      <c r="G1038" s="1033"/>
      <c r="H1038" s="1033"/>
      <c r="I1038" s="1033"/>
      <c r="J1038" s="1033"/>
      <c r="K1038" s="1033"/>
      <c r="L1038" s="1033"/>
      <c r="M1038" s="1033"/>
      <c r="N1038" s="1033"/>
      <c r="O1038" s="1033"/>
    </row>
    <row r="1039" spans="1:15" ht="30.75" customHeight="1">
      <c r="A1039" s="300">
        <v>2</v>
      </c>
      <c r="B1039" s="1032" t="s">
        <v>452</v>
      </c>
      <c r="C1039" s="1033"/>
      <c r="D1039" s="1033"/>
      <c r="E1039" s="1033"/>
      <c r="F1039" s="1033"/>
      <c r="G1039" s="1033"/>
      <c r="H1039" s="1033"/>
      <c r="I1039" s="1033"/>
      <c r="J1039" s="1033"/>
      <c r="K1039" s="1033"/>
      <c r="L1039" s="1033"/>
      <c r="M1039" s="1033"/>
      <c r="N1039" s="1033"/>
      <c r="O1039" s="1033"/>
    </row>
    <row r="1040" spans="1:15" ht="21.75" customHeight="1">
      <c r="A1040" s="300">
        <v>3</v>
      </c>
      <c r="B1040" s="1032" t="s">
        <v>629</v>
      </c>
      <c r="C1040" s="1033"/>
      <c r="D1040" s="1033"/>
      <c r="E1040" s="1033"/>
      <c r="F1040" s="1033"/>
      <c r="G1040" s="1033"/>
      <c r="H1040" s="1033"/>
      <c r="I1040" s="1033"/>
      <c r="J1040" s="1033"/>
      <c r="K1040" s="1033"/>
      <c r="L1040" s="1033"/>
      <c r="M1040" s="1033"/>
      <c r="N1040" s="1033"/>
      <c r="O1040" s="1033"/>
    </row>
    <row r="1041" spans="1:15" s="308" customFormat="1" ht="23.25" customHeight="1">
      <c r="A1041" s="298" t="s">
        <v>459</v>
      </c>
      <c r="B1041" s="1034" t="s">
        <v>460</v>
      </c>
      <c r="C1041" s="1034"/>
      <c r="D1041" s="1034"/>
      <c r="E1041" s="1034"/>
      <c r="F1041" s="1034"/>
      <c r="G1041" s="1034"/>
      <c r="H1041" s="1034"/>
      <c r="I1041" s="1034"/>
      <c r="J1041" s="1034"/>
      <c r="K1041" s="1034"/>
      <c r="L1041" s="1034"/>
      <c r="M1041" s="1034"/>
      <c r="N1041" s="1034"/>
      <c r="O1041" s="1034"/>
    </row>
  </sheetData>
  <mergeCells count="506">
    <mergeCell ref="A956:A959"/>
    <mergeCell ref="B956:B959"/>
    <mergeCell ref="C956:C959"/>
    <mergeCell ref="A924:A927"/>
    <mergeCell ref="B924:B927"/>
    <mergeCell ref="C924:C927"/>
    <mergeCell ref="A942:A945"/>
    <mergeCell ref="B942:B945"/>
    <mergeCell ref="C942:C945"/>
    <mergeCell ref="A952:A955"/>
    <mergeCell ref="B952:B955"/>
    <mergeCell ref="C952:C955"/>
    <mergeCell ref="A929:A932"/>
    <mergeCell ref="B929:B932"/>
    <mergeCell ref="C929:C932"/>
    <mergeCell ref="A933:A936"/>
    <mergeCell ref="B933:B936"/>
    <mergeCell ref="C933:C936"/>
    <mergeCell ref="A938:A941"/>
    <mergeCell ref="B938:B941"/>
    <mergeCell ref="C938:C941"/>
    <mergeCell ref="A899:A902"/>
    <mergeCell ref="B899:B902"/>
    <mergeCell ref="C899:C902"/>
    <mergeCell ref="A909:A912"/>
    <mergeCell ref="B909:B912"/>
    <mergeCell ref="A913:A916"/>
    <mergeCell ref="B913:B916"/>
    <mergeCell ref="A920:A923"/>
    <mergeCell ref="B920:B923"/>
    <mergeCell ref="C920:C923"/>
    <mergeCell ref="A871:A874"/>
    <mergeCell ref="B871:B874"/>
    <mergeCell ref="C871:C874"/>
    <mergeCell ref="C886:C889"/>
    <mergeCell ref="A890:A893"/>
    <mergeCell ref="B890:B893"/>
    <mergeCell ref="C890:C893"/>
    <mergeCell ref="A895:A898"/>
    <mergeCell ref="B895:B898"/>
    <mergeCell ref="C895:C898"/>
    <mergeCell ref="A882:A885"/>
    <mergeCell ref="B882:B885"/>
    <mergeCell ref="C882:C885"/>
    <mergeCell ref="A886:A889"/>
    <mergeCell ref="B886:B889"/>
    <mergeCell ref="A701:A705"/>
    <mergeCell ref="B701:B705"/>
    <mergeCell ref="C701:C705"/>
    <mergeCell ref="B773:B777"/>
    <mergeCell ref="C773:C777"/>
    <mergeCell ref="A779:A783"/>
    <mergeCell ref="B779:B783"/>
    <mergeCell ref="C779:C783"/>
    <mergeCell ref="A784:A788"/>
    <mergeCell ref="B784:B788"/>
    <mergeCell ref="C784:C788"/>
    <mergeCell ref="A773:A777"/>
    <mergeCell ref="A745:A749"/>
    <mergeCell ref="B745:B749"/>
    <mergeCell ref="C745:C749"/>
    <mergeCell ref="A756:A760"/>
    <mergeCell ref="B756:B760"/>
    <mergeCell ref="A761:A765"/>
    <mergeCell ref="B761:B765"/>
    <mergeCell ref="A768:A772"/>
    <mergeCell ref="B768:B772"/>
    <mergeCell ref="C768:C772"/>
    <mergeCell ref="A740:A744"/>
    <mergeCell ref="B740:B744"/>
    <mergeCell ref="A685:A689"/>
    <mergeCell ref="B685:B689"/>
    <mergeCell ref="C685:C689"/>
    <mergeCell ref="A690:A694"/>
    <mergeCell ref="B690:B694"/>
    <mergeCell ref="C690:C694"/>
    <mergeCell ref="A696:A700"/>
    <mergeCell ref="B696:B700"/>
    <mergeCell ref="C696:C700"/>
    <mergeCell ref="A657:A661"/>
    <mergeCell ref="B657:B661"/>
    <mergeCell ref="C657:C661"/>
    <mergeCell ref="A641:A645"/>
    <mergeCell ref="A662:A666"/>
    <mergeCell ref="B662:B666"/>
    <mergeCell ref="C662:C666"/>
    <mergeCell ref="B673:B677"/>
    <mergeCell ref="A678:A682"/>
    <mergeCell ref="B678:B682"/>
    <mergeCell ref="C613:C617"/>
    <mergeCell ref="B641:B645"/>
    <mergeCell ref="C641:C645"/>
    <mergeCell ref="A646:A650"/>
    <mergeCell ref="B646:B650"/>
    <mergeCell ref="C646:C650"/>
    <mergeCell ref="A651:A655"/>
    <mergeCell ref="B651:B655"/>
    <mergeCell ref="C651:C655"/>
    <mergeCell ref="A590:A594"/>
    <mergeCell ref="B590:B594"/>
    <mergeCell ref="A595:A599"/>
    <mergeCell ref="B595:B599"/>
    <mergeCell ref="A629:A633"/>
    <mergeCell ref="B629:B633"/>
    <mergeCell ref="C629:C633"/>
    <mergeCell ref="A635:A638"/>
    <mergeCell ref="B635:B638"/>
    <mergeCell ref="C635:C638"/>
    <mergeCell ref="A618:A622"/>
    <mergeCell ref="B618:B622"/>
    <mergeCell ref="C618:C622"/>
    <mergeCell ref="A624:A628"/>
    <mergeCell ref="B624:B628"/>
    <mergeCell ref="C624:C628"/>
    <mergeCell ref="A602:A606"/>
    <mergeCell ref="B602:B606"/>
    <mergeCell ref="C602:C606"/>
    <mergeCell ref="A607:A611"/>
    <mergeCell ref="B607:B611"/>
    <mergeCell ref="C607:C611"/>
    <mergeCell ref="A613:A617"/>
    <mergeCell ref="B613:B617"/>
    <mergeCell ref="A454:A457"/>
    <mergeCell ref="B454:B457"/>
    <mergeCell ref="C454:C457"/>
    <mergeCell ref="C539:C542"/>
    <mergeCell ref="A543:A546"/>
    <mergeCell ref="B543:B546"/>
    <mergeCell ref="C543:C546"/>
    <mergeCell ref="A548:A551"/>
    <mergeCell ref="B548:B551"/>
    <mergeCell ref="C548:C551"/>
    <mergeCell ref="A459:A462"/>
    <mergeCell ref="B459:B462"/>
    <mergeCell ref="C459:C462"/>
    <mergeCell ref="A539:A542"/>
    <mergeCell ref="B539:B542"/>
    <mergeCell ref="A520:A523"/>
    <mergeCell ref="B520:B523"/>
    <mergeCell ref="A524:A527"/>
    <mergeCell ref="B524:B527"/>
    <mergeCell ref="A530:A533"/>
    <mergeCell ref="B530:B533"/>
    <mergeCell ref="C530:C533"/>
    <mergeCell ref="A534:A537"/>
    <mergeCell ref="B534:B537"/>
    <mergeCell ref="A385:A388"/>
    <mergeCell ref="B385:B388"/>
    <mergeCell ref="C385:C388"/>
    <mergeCell ref="A432:A435"/>
    <mergeCell ref="B432:B435"/>
    <mergeCell ref="C432:C435"/>
    <mergeCell ref="A438:A441"/>
    <mergeCell ref="B438:B441"/>
    <mergeCell ref="C438:C441"/>
    <mergeCell ref="A413:A416"/>
    <mergeCell ref="B413:B416"/>
    <mergeCell ref="C413:C416"/>
    <mergeCell ref="A419:A422"/>
    <mergeCell ref="B419:B422"/>
    <mergeCell ref="C419:C422"/>
    <mergeCell ref="A423:A426"/>
    <mergeCell ref="B423:B426"/>
    <mergeCell ref="C423:C426"/>
    <mergeCell ref="A428:A431"/>
    <mergeCell ref="B428:B431"/>
    <mergeCell ref="C428:C431"/>
    <mergeCell ref="A409:A412"/>
    <mergeCell ref="B409:B412"/>
    <mergeCell ref="C409:C412"/>
    <mergeCell ref="A352:A355"/>
    <mergeCell ref="B352:B355"/>
    <mergeCell ref="C352:C355"/>
    <mergeCell ref="A377:A380"/>
    <mergeCell ref="B377:B380"/>
    <mergeCell ref="C377:C380"/>
    <mergeCell ref="A381:A384"/>
    <mergeCell ref="B381:B384"/>
    <mergeCell ref="C381:C384"/>
    <mergeCell ref="A358:A361"/>
    <mergeCell ref="B358:B361"/>
    <mergeCell ref="C358:C361"/>
    <mergeCell ref="A362:A365"/>
    <mergeCell ref="B362:B365"/>
    <mergeCell ref="C362:C365"/>
    <mergeCell ref="A367:A370"/>
    <mergeCell ref="B367:B370"/>
    <mergeCell ref="C367:C370"/>
    <mergeCell ref="A371:A374"/>
    <mergeCell ref="B371:B374"/>
    <mergeCell ref="C371:C374"/>
    <mergeCell ref="A274:A278"/>
    <mergeCell ref="B274:B278"/>
    <mergeCell ref="C274:C278"/>
    <mergeCell ref="A335:A339"/>
    <mergeCell ref="B335:B339"/>
    <mergeCell ref="C335:C339"/>
    <mergeCell ref="A348:A351"/>
    <mergeCell ref="B348:B351"/>
    <mergeCell ref="C348:C351"/>
    <mergeCell ref="A329:A333"/>
    <mergeCell ref="B329:B333"/>
    <mergeCell ref="C329:C333"/>
    <mergeCell ref="A291:A295"/>
    <mergeCell ref="B291:B295"/>
    <mergeCell ref="C291:C295"/>
    <mergeCell ref="A297:A301"/>
    <mergeCell ref="B297:B301"/>
    <mergeCell ref="C297:C301"/>
    <mergeCell ref="A302:A306"/>
    <mergeCell ref="B302:B306"/>
    <mergeCell ref="C302:C306"/>
    <mergeCell ref="A309:A313"/>
    <mergeCell ref="B309:B313"/>
    <mergeCell ref="C309:C313"/>
    <mergeCell ref="A250:A254"/>
    <mergeCell ref="B250:B254"/>
    <mergeCell ref="C250:C254"/>
    <mergeCell ref="A255:A260"/>
    <mergeCell ref="B255:B260"/>
    <mergeCell ref="C255:C260"/>
    <mergeCell ref="A262:A266"/>
    <mergeCell ref="B262:B266"/>
    <mergeCell ref="C262:C266"/>
    <mergeCell ref="A150:A154"/>
    <mergeCell ref="B150:B154"/>
    <mergeCell ref="C150:C154"/>
    <mergeCell ref="A155:A159"/>
    <mergeCell ref="B155:B159"/>
    <mergeCell ref="C155:C159"/>
    <mergeCell ref="A162:A166"/>
    <mergeCell ref="B162:B166"/>
    <mergeCell ref="C162:C166"/>
    <mergeCell ref="A94:A97"/>
    <mergeCell ref="B94:B97"/>
    <mergeCell ref="C94:C97"/>
    <mergeCell ref="A98:A101"/>
    <mergeCell ref="B98:B101"/>
    <mergeCell ref="C98:C101"/>
    <mergeCell ref="A102:A105"/>
    <mergeCell ref="B102:B105"/>
    <mergeCell ref="C102:C105"/>
    <mergeCell ref="B1034:O1034"/>
    <mergeCell ref="B1035:O1035"/>
    <mergeCell ref="B1036:O1036"/>
    <mergeCell ref="B1037:O1037"/>
    <mergeCell ref="B1038:O1038"/>
    <mergeCell ref="B1039:O1039"/>
    <mergeCell ref="B1040:O1040"/>
    <mergeCell ref="B1041:O1041"/>
    <mergeCell ref="B1029:O1029"/>
    <mergeCell ref="B1030:O1030"/>
    <mergeCell ref="B1031:O1031"/>
    <mergeCell ref="B1032:O1032"/>
    <mergeCell ref="B1033:O1033"/>
    <mergeCell ref="A960:A963"/>
    <mergeCell ref="B960:B963"/>
    <mergeCell ref="C960:C963"/>
    <mergeCell ref="A965:A968"/>
    <mergeCell ref="B965:B968"/>
    <mergeCell ref="C965:C968"/>
    <mergeCell ref="A969:A972"/>
    <mergeCell ref="B969:B972"/>
    <mergeCell ref="C969:C972"/>
    <mergeCell ref="A839:A842"/>
    <mergeCell ref="B839:B842"/>
    <mergeCell ref="A843:A846"/>
    <mergeCell ref="B843:B846"/>
    <mergeCell ref="A849:A852"/>
    <mergeCell ref="B849:B852"/>
    <mergeCell ref="C849:C852"/>
    <mergeCell ref="A853:A856"/>
    <mergeCell ref="B853:B856"/>
    <mergeCell ref="C853:C856"/>
    <mergeCell ref="A858:A861"/>
    <mergeCell ref="B858:B861"/>
    <mergeCell ref="C858:C861"/>
    <mergeCell ref="A862:A865"/>
    <mergeCell ref="B862:B865"/>
    <mergeCell ref="C862:C865"/>
    <mergeCell ref="A867:A870"/>
    <mergeCell ref="B867:B870"/>
    <mergeCell ref="C867:C870"/>
    <mergeCell ref="A828:A832"/>
    <mergeCell ref="B828:B832"/>
    <mergeCell ref="C828:C832"/>
    <mergeCell ref="A790:A794"/>
    <mergeCell ref="B790:B794"/>
    <mergeCell ref="C790:C794"/>
    <mergeCell ref="A801:A805"/>
    <mergeCell ref="B801:B805"/>
    <mergeCell ref="C801:C805"/>
    <mergeCell ref="A807:A811"/>
    <mergeCell ref="B807:B811"/>
    <mergeCell ref="C807:C811"/>
    <mergeCell ref="A812:A816"/>
    <mergeCell ref="B812:B816"/>
    <mergeCell ref="C812:C816"/>
    <mergeCell ref="A817:A821"/>
    <mergeCell ref="B817:B821"/>
    <mergeCell ref="C817:C821"/>
    <mergeCell ref="A823:A827"/>
    <mergeCell ref="B823:B827"/>
    <mergeCell ref="C823:C827"/>
    <mergeCell ref="A795:A799"/>
    <mergeCell ref="B795:B799"/>
    <mergeCell ref="C795:C799"/>
    <mergeCell ref="C740:C744"/>
    <mergeCell ref="A707:A711"/>
    <mergeCell ref="B707:B711"/>
    <mergeCell ref="C707:C711"/>
    <mergeCell ref="A712:A716"/>
    <mergeCell ref="B712:B716"/>
    <mergeCell ref="C712:C716"/>
    <mergeCell ref="B718:B722"/>
    <mergeCell ref="C718:C722"/>
    <mergeCell ref="A724:A728"/>
    <mergeCell ref="B724:B728"/>
    <mergeCell ref="C724:C728"/>
    <mergeCell ref="A729:A733"/>
    <mergeCell ref="B729:B733"/>
    <mergeCell ref="C729:C733"/>
    <mergeCell ref="A734:A738"/>
    <mergeCell ref="B734:B738"/>
    <mergeCell ref="C734:C738"/>
    <mergeCell ref="C534:C537"/>
    <mergeCell ref="A552:A555"/>
    <mergeCell ref="B552:B555"/>
    <mergeCell ref="C552:C555"/>
    <mergeCell ref="A575:A579"/>
    <mergeCell ref="B575:B579"/>
    <mergeCell ref="C575:C579"/>
    <mergeCell ref="A580:A583"/>
    <mergeCell ref="B580:B583"/>
    <mergeCell ref="C580:C583"/>
    <mergeCell ref="A557:A560"/>
    <mergeCell ref="B557:B560"/>
    <mergeCell ref="C557:C560"/>
    <mergeCell ref="A562:A565"/>
    <mergeCell ref="B562:B565"/>
    <mergeCell ref="C562:C565"/>
    <mergeCell ref="A566:A569"/>
    <mergeCell ref="B566:B569"/>
    <mergeCell ref="C566:C569"/>
    <mergeCell ref="A570:A573"/>
    <mergeCell ref="B570:B573"/>
    <mergeCell ref="C570:C573"/>
    <mergeCell ref="A442:A445"/>
    <mergeCell ref="B442:B445"/>
    <mergeCell ref="C442:C445"/>
    <mergeCell ref="A446:A449"/>
    <mergeCell ref="B446:B449"/>
    <mergeCell ref="C446:C449"/>
    <mergeCell ref="A450:A453"/>
    <mergeCell ref="B450:B453"/>
    <mergeCell ref="C450:C453"/>
    <mergeCell ref="A389:A392"/>
    <mergeCell ref="B389:B392"/>
    <mergeCell ref="C389:C392"/>
    <mergeCell ref="A393:A396"/>
    <mergeCell ref="B393:B396"/>
    <mergeCell ref="C393:C396"/>
    <mergeCell ref="A398:A401"/>
    <mergeCell ref="B398:B401"/>
    <mergeCell ref="C398:C401"/>
    <mergeCell ref="A314:A318"/>
    <mergeCell ref="B314:B318"/>
    <mergeCell ref="C314:C318"/>
    <mergeCell ref="A319:A323"/>
    <mergeCell ref="B319:B323"/>
    <mergeCell ref="C319:C323"/>
    <mergeCell ref="A324:A328"/>
    <mergeCell ref="B324:B328"/>
    <mergeCell ref="C324:C328"/>
    <mergeCell ref="A279:A283"/>
    <mergeCell ref="B279:B283"/>
    <mergeCell ref="C279:C283"/>
    <mergeCell ref="A286:A290"/>
    <mergeCell ref="B286:B290"/>
    <mergeCell ref="C286:C290"/>
    <mergeCell ref="A217:A221"/>
    <mergeCell ref="B217:B221"/>
    <mergeCell ref="C217:C221"/>
    <mergeCell ref="A223:A227"/>
    <mergeCell ref="B223:B227"/>
    <mergeCell ref="C223:C227"/>
    <mergeCell ref="A228:A232"/>
    <mergeCell ref="B228:B232"/>
    <mergeCell ref="C228:C232"/>
    <mergeCell ref="A235:A239"/>
    <mergeCell ref="B235:B239"/>
    <mergeCell ref="C235:C239"/>
    <mergeCell ref="A240:A244"/>
    <mergeCell ref="B240:B244"/>
    <mergeCell ref="C240:C244"/>
    <mergeCell ref="A245:A249"/>
    <mergeCell ref="B245:B249"/>
    <mergeCell ref="C245:C249"/>
    <mergeCell ref="A212:A216"/>
    <mergeCell ref="B212:B216"/>
    <mergeCell ref="C212:C216"/>
    <mergeCell ref="A167:A171"/>
    <mergeCell ref="B167:B171"/>
    <mergeCell ref="C167:C171"/>
    <mergeCell ref="A172:A176"/>
    <mergeCell ref="B172:B176"/>
    <mergeCell ref="C172:C176"/>
    <mergeCell ref="A177:A181"/>
    <mergeCell ref="B177:B181"/>
    <mergeCell ref="C177:C181"/>
    <mergeCell ref="A182:A186"/>
    <mergeCell ref="B182:B186"/>
    <mergeCell ref="C182:C186"/>
    <mergeCell ref="A188:A192"/>
    <mergeCell ref="B188:B192"/>
    <mergeCell ref="C188:C192"/>
    <mergeCell ref="A200:A204"/>
    <mergeCell ref="B200:B204"/>
    <mergeCell ref="C200:C204"/>
    <mergeCell ref="A205:A209"/>
    <mergeCell ref="B205:B209"/>
    <mergeCell ref="C205:C209"/>
    <mergeCell ref="A144:A148"/>
    <mergeCell ref="B144:B148"/>
    <mergeCell ref="C144:C148"/>
    <mergeCell ref="A106:A109"/>
    <mergeCell ref="B106:B109"/>
    <mergeCell ref="C106:C109"/>
    <mergeCell ref="A110:A113"/>
    <mergeCell ref="B110:B113"/>
    <mergeCell ref="C110:C113"/>
    <mergeCell ref="A115:A118"/>
    <mergeCell ref="B115:B118"/>
    <mergeCell ref="C115:C118"/>
    <mergeCell ref="A127:A131"/>
    <mergeCell ref="B127:B131"/>
    <mergeCell ref="C127:C131"/>
    <mergeCell ref="A132:A136"/>
    <mergeCell ref="B132:B136"/>
    <mergeCell ref="C132:C136"/>
    <mergeCell ref="A139:A143"/>
    <mergeCell ref="B139:B143"/>
    <mergeCell ref="C139:C143"/>
    <mergeCell ref="A88:A91"/>
    <mergeCell ref="B88:B91"/>
    <mergeCell ref="C88:C91"/>
    <mergeCell ref="A65:A68"/>
    <mergeCell ref="B65:B68"/>
    <mergeCell ref="C65:C68"/>
    <mergeCell ref="A69:A72"/>
    <mergeCell ref="B69:B72"/>
    <mergeCell ref="C69:C72"/>
    <mergeCell ref="A75:A78"/>
    <mergeCell ref="B75:B78"/>
    <mergeCell ref="C75:C78"/>
    <mergeCell ref="A79:A82"/>
    <mergeCell ref="B79:B82"/>
    <mergeCell ref="C79:C82"/>
    <mergeCell ref="A84:A87"/>
    <mergeCell ref="B84:B87"/>
    <mergeCell ref="C84:C87"/>
    <mergeCell ref="A51:A55"/>
    <mergeCell ref="B51:B55"/>
    <mergeCell ref="C51:C55"/>
    <mergeCell ref="A56:A60"/>
    <mergeCell ref="B56:B60"/>
    <mergeCell ref="C56:C60"/>
    <mergeCell ref="A41:A45"/>
    <mergeCell ref="B41:B45"/>
    <mergeCell ref="C41:C45"/>
    <mergeCell ref="A46:A50"/>
    <mergeCell ref="B46:B50"/>
    <mergeCell ref="C46:C50"/>
    <mergeCell ref="A31:A35"/>
    <mergeCell ref="B31:B35"/>
    <mergeCell ref="C31:C35"/>
    <mergeCell ref="A36:A40"/>
    <mergeCell ref="B36:B40"/>
    <mergeCell ref="C36:C40"/>
    <mergeCell ref="A19:A23"/>
    <mergeCell ref="B19:B23"/>
    <mergeCell ref="C20:C23"/>
    <mergeCell ref="A26:A30"/>
    <mergeCell ref="B26:B30"/>
    <mergeCell ref="C26:C30"/>
    <mergeCell ref="A7:A11"/>
    <mergeCell ref="B7:B11"/>
    <mergeCell ref="C8:C11"/>
    <mergeCell ref="A13:A17"/>
    <mergeCell ref="B13:B17"/>
    <mergeCell ref="C14:C17"/>
    <mergeCell ref="I4:J4"/>
    <mergeCell ref="K4:K5"/>
    <mergeCell ref="L4:L5"/>
    <mergeCell ref="M4:M5"/>
    <mergeCell ref="N4:N5"/>
    <mergeCell ref="A1:O1"/>
    <mergeCell ref="A2:O2"/>
    <mergeCell ref="A4:A5"/>
    <mergeCell ref="B4:B5"/>
    <mergeCell ref="C4:C5"/>
    <mergeCell ref="D4:D5"/>
    <mergeCell ref="E4:E5"/>
    <mergeCell ref="F4:F5"/>
    <mergeCell ref="G4:G5"/>
    <mergeCell ref="H4:H5"/>
  </mergeCells>
  <printOptions horizontalCentered="1"/>
  <pageMargins left="0.19685039370078741" right="0.19685039370078741" top="0.39370078740157483" bottom="0.43307086614173229" header="0.27559055118110237" footer="0.23622047244094491"/>
  <pageSetup paperSize="9" firstPageNumber="20" fitToHeight="0" orientation="landscape" useFirstPageNumber="1" horizontalDpi="4294967295" verticalDpi="4294967295" r:id="rId1"/>
  <ignoredErrors>
    <ignoredError sqref="D30:D45 D50:D60 D102:D118" numberStoredAsText="1"/>
    <ignoredError sqref="G122:H122"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E229"/>
  <sheetViews>
    <sheetView showZeros="0" zoomScale="110" zoomScaleNormal="110" workbookViewId="0">
      <pane ySplit="7" topLeftCell="A8" activePane="bottomLeft" state="frozen"/>
      <selection pane="bottomLeft" activeCell="J12" sqref="J12"/>
    </sheetView>
  </sheetViews>
  <sheetFormatPr defaultColWidth="9" defaultRowHeight="13"/>
  <cols>
    <col min="1" max="1" width="3.69140625" style="357" customWidth="1"/>
    <col min="2" max="2" width="19.23046875" style="359" customWidth="1"/>
    <col min="3" max="3" width="5.07421875" style="483" customWidth="1"/>
    <col min="4" max="4" width="5.69140625" style="483" bestFit="1" customWidth="1"/>
    <col min="5" max="5" width="11.69140625" style="483" bestFit="1" customWidth="1"/>
    <col min="6" max="6" width="8" style="357" bestFit="1" customWidth="1"/>
    <col min="7" max="7" width="6.3046875" style="931" bestFit="1" customWidth="1"/>
    <col min="8" max="8" width="8.23046875" style="358" customWidth="1"/>
    <col min="9" max="9" width="7.765625" style="482" bestFit="1" customWidth="1"/>
    <col min="10" max="10" width="6.3046875" style="399" bestFit="1" customWidth="1"/>
    <col min="11" max="11" width="17.84375" style="399" hidden="1" customWidth="1"/>
    <col min="12" max="12" width="8.4609375" style="399" bestFit="1" customWidth="1"/>
    <col min="13" max="13" width="8.69140625" style="359" customWidth="1"/>
    <col min="14" max="14" width="6.3046875" style="359" bestFit="1" customWidth="1"/>
    <col min="15" max="15" width="9.69140625" style="359" hidden="1" customWidth="1"/>
    <col min="16" max="16" width="8.07421875" style="359" bestFit="1" customWidth="1"/>
    <col min="17" max="17" width="8.84375" style="359" bestFit="1" customWidth="1"/>
    <col min="18" max="18" width="6.84375" style="359" customWidth="1"/>
    <col min="19" max="19" width="8" style="359" hidden="1" customWidth="1"/>
    <col min="20" max="20" width="9.53515625" style="359" bestFit="1" customWidth="1"/>
    <col min="21" max="21" width="8.84375" style="359" bestFit="1" customWidth="1"/>
    <col min="22" max="22" width="6.765625" style="359" customWidth="1"/>
    <col min="23" max="23" width="8" style="359" hidden="1" customWidth="1"/>
    <col min="24" max="24" width="5.84375" style="359" bestFit="1" customWidth="1"/>
    <col min="25" max="25" width="7.765625" style="359" bestFit="1" customWidth="1"/>
    <col min="26" max="26" width="6.84375" style="359" customWidth="1"/>
    <col min="27" max="27" width="8" style="359" hidden="1" customWidth="1"/>
    <col min="28" max="28" width="5.69140625" style="359" bestFit="1" customWidth="1"/>
    <col min="29" max="29" width="7.765625" style="359" bestFit="1" customWidth="1"/>
    <col min="30" max="30" width="6.23046875" style="359" bestFit="1" customWidth="1"/>
    <col min="31" max="31" width="8.84375" style="359" hidden="1" customWidth="1"/>
    <col min="32" max="32" width="9" style="359" bestFit="1" customWidth="1"/>
    <col min="33" max="33" width="5.84375" style="359" bestFit="1" customWidth="1"/>
    <col min="34" max="34" width="7.23046875" style="359" bestFit="1" customWidth="1"/>
    <col min="35" max="35" width="11.07421875" style="359" bestFit="1" customWidth="1"/>
    <col min="36" max="37" width="9" style="359" bestFit="1" customWidth="1"/>
    <col min="38" max="16384" width="9" style="359"/>
  </cols>
  <sheetData>
    <row r="1" spans="1:15" s="356" customFormat="1" ht="24" customHeight="1">
      <c r="A1" s="1095" t="s">
        <v>616</v>
      </c>
      <c r="B1" s="1095"/>
      <c r="C1" s="1095"/>
      <c r="D1" s="1095"/>
      <c r="E1" s="1095"/>
      <c r="F1" s="1095"/>
      <c r="G1" s="1095"/>
      <c r="H1" s="1095"/>
      <c r="I1" s="1095"/>
      <c r="J1" s="1095"/>
      <c r="K1" s="355"/>
      <c r="L1" s="355"/>
    </row>
    <row r="2" spans="1:15" s="356" customFormat="1">
      <c r="G2" s="68"/>
    </row>
    <row r="3" spans="1:15">
      <c r="B3" s="357"/>
      <c r="C3" s="1061" t="s">
        <v>583</v>
      </c>
      <c r="D3" s="1061"/>
      <c r="E3" s="1061"/>
      <c r="F3" s="1061"/>
      <c r="G3" s="1061"/>
      <c r="H3" s="1061"/>
      <c r="I3" s="1061"/>
      <c r="J3" s="358">
        <v>1.25</v>
      </c>
      <c r="K3" s="359"/>
      <c r="L3" s="359"/>
    </row>
    <row r="4" spans="1:15">
      <c r="B4" s="357"/>
      <c r="C4" s="1061" t="s">
        <v>580</v>
      </c>
      <c r="D4" s="1061"/>
      <c r="E4" s="1061"/>
      <c r="F4" s="1061"/>
      <c r="G4" s="1061"/>
      <c r="H4" s="1061"/>
      <c r="I4" s="1061"/>
      <c r="J4" s="360">
        <f>L_CBac!K85</f>
        <v>9730.7692307692305</v>
      </c>
      <c r="K4" s="359"/>
      <c r="L4" s="359"/>
    </row>
    <row r="5" spans="1:15">
      <c r="B5" s="357"/>
      <c r="C5" s="1061" t="s">
        <v>581</v>
      </c>
      <c r="D5" s="1061"/>
      <c r="E5" s="1061"/>
      <c r="F5" s="1061"/>
      <c r="G5" s="1061"/>
      <c r="H5" s="1061"/>
      <c r="I5" s="1061"/>
      <c r="J5" s="360">
        <f>L_CBac!K89</f>
        <v>9730.7692307692305</v>
      </c>
      <c r="K5" s="359"/>
      <c r="L5" s="359"/>
    </row>
    <row r="6" spans="1:15" hidden="1">
      <c r="B6" s="357"/>
      <c r="C6" s="1061" t="s">
        <v>69</v>
      </c>
      <c r="D6" s="1061"/>
      <c r="E6" s="1061"/>
      <c r="F6" s="1061"/>
      <c r="G6" s="1061"/>
      <c r="H6" s="1061"/>
      <c r="I6" s="1061"/>
      <c r="J6" s="361">
        <f>0/26</f>
        <v>0</v>
      </c>
      <c r="K6" s="359"/>
      <c r="L6" s="359"/>
    </row>
    <row r="7" spans="1:15">
      <c r="C7" s="1061" t="s">
        <v>582</v>
      </c>
      <c r="D7" s="1061"/>
      <c r="E7" s="1061"/>
      <c r="F7" s="1061"/>
      <c r="G7" s="1061"/>
      <c r="H7" s="1061"/>
      <c r="I7" s="1061"/>
      <c r="J7" s="362">
        <f>L_CBac!K92</f>
        <v>181923.07692307694</v>
      </c>
      <c r="K7" s="359"/>
      <c r="L7" s="359"/>
    </row>
    <row r="8" spans="1:15" s="369" customFormat="1" ht="14" thickBot="1">
      <c r="A8" s="363" t="str">
        <f>L_CViec!A7</f>
        <v>I</v>
      </c>
      <c r="B8" s="364" t="str">
        <f>L_CViec!B7</f>
        <v>LƯỚI ĐỊA CHÍNH:</v>
      </c>
      <c r="C8" s="365" t="s">
        <v>43</v>
      </c>
      <c r="D8" s="365"/>
      <c r="E8" s="365"/>
      <c r="F8" s="363"/>
      <c r="G8" s="907"/>
      <c r="H8" s="367"/>
      <c r="I8" s="367"/>
      <c r="J8" s="368" t="s">
        <v>430</v>
      </c>
    </row>
    <row r="9" spans="1:15" s="369" customFormat="1" ht="13.15" customHeight="1">
      <c r="A9" s="1101" t="s">
        <v>2</v>
      </c>
      <c r="B9" s="1099" t="s">
        <v>74</v>
      </c>
      <c r="C9" s="1071" t="s">
        <v>70</v>
      </c>
      <c r="D9" s="370" t="s">
        <v>76</v>
      </c>
      <c r="E9" s="1099" t="s">
        <v>471</v>
      </c>
      <c r="F9" s="371" t="s">
        <v>73</v>
      </c>
      <c r="G9" s="908" t="s">
        <v>75</v>
      </c>
      <c r="H9" s="371" t="s">
        <v>77</v>
      </c>
      <c r="I9" s="1069" t="s">
        <v>80</v>
      </c>
      <c r="J9" s="372" t="s">
        <v>72</v>
      </c>
      <c r="K9" s="373" t="s">
        <v>78</v>
      </c>
    </row>
    <row r="10" spans="1:15" s="369" customFormat="1" ht="15.65" customHeight="1">
      <c r="A10" s="1102"/>
      <c r="B10" s="1100"/>
      <c r="C10" s="1072"/>
      <c r="D10" s="374" t="s">
        <v>52</v>
      </c>
      <c r="E10" s="1100"/>
      <c r="F10" s="375" t="s">
        <v>56</v>
      </c>
      <c r="G10" s="909" t="s">
        <v>71</v>
      </c>
      <c r="H10" s="376" t="s">
        <v>52</v>
      </c>
      <c r="I10" s="1070"/>
      <c r="J10" s="377">
        <f>L_CBac!L9</f>
        <v>0.1</v>
      </c>
      <c r="K10" s="378" t="s">
        <v>79</v>
      </c>
    </row>
    <row r="11" spans="1:15" s="387" customFormat="1" ht="12.75" customHeight="1">
      <c r="A11" s="1087">
        <v>1</v>
      </c>
      <c r="B11" s="1080" t="str">
        <f>L_CViec!B8</f>
        <v xml:space="preserve">Chọn vị trí điểm, chôn mốc </v>
      </c>
      <c r="C11" s="1073" t="s">
        <v>82</v>
      </c>
      <c r="D11" s="379">
        <f>L_CViec!Q8</f>
        <v>4</v>
      </c>
      <c r="E11" s="380" t="str">
        <f>L_CViec!R8</f>
        <v>3KTV6, 1NV3</v>
      </c>
      <c r="F11" s="381">
        <f>L_CViec!S8</f>
        <v>1272653.2500000002</v>
      </c>
      <c r="G11" s="910">
        <v>1</v>
      </c>
      <c r="H11" s="382">
        <v>1.46</v>
      </c>
      <c r="I11" s="383">
        <f>$F11*H11*$J$3</f>
        <v>2322592.1812500004</v>
      </c>
      <c r="J11" s="384">
        <f>D11*H11*$J$4*$J$3</f>
        <v>71034.615384615376</v>
      </c>
      <c r="K11" s="385">
        <f>$J$6*D11*H11</f>
        <v>0</v>
      </c>
      <c r="L11" s="386"/>
      <c r="O11" s="388"/>
    </row>
    <row r="12" spans="1:15" ht="12.75" customHeight="1">
      <c r="A12" s="1087"/>
      <c r="B12" s="1080"/>
      <c r="C12" s="1073"/>
      <c r="D12" s="379"/>
      <c r="E12" s="389"/>
      <c r="F12" s="381"/>
      <c r="G12" s="910" t="s">
        <v>43</v>
      </c>
      <c r="H12" s="382">
        <v>2.4300000000000002</v>
      </c>
      <c r="I12" s="383">
        <f>H12*$J$7</f>
        <v>442073.07692307699</v>
      </c>
      <c r="J12" s="384">
        <f t="shared" ref="J12:J50" si="0">D12*H12*$J$4*$J$3</f>
        <v>0</v>
      </c>
      <c r="K12" s="390"/>
      <c r="L12" s="386"/>
    </row>
    <row r="13" spans="1:15" ht="12.75" customHeight="1">
      <c r="A13" s="1087"/>
      <c r="B13" s="1080"/>
      <c r="C13" s="1073"/>
      <c r="D13" s="379">
        <f t="shared" ref="D13:E19" si="1">D$11</f>
        <v>4</v>
      </c>
      <c r="E13" s="391" t="str">
        <f t="shared" si="1"/>
        <v>3KTV6, 1NV3</v>
      </c>
      <c r="F13" s="381">
        <f>F$11</f>
        <v>1272653.2500000002</v>
      </c>
      <c r="G13" s="910">
        <v>2</v>
      </c>
      <c r="H13" s="382">
        <v>1.94</v>
      </c>
      <c r="I13" s="383">
        <f>$F13*H13*$J$3</f>
        <v>3086184.1312500001</v>
      </c>
      <c r="J13" s="384">
        <f t="shared" si="0"/>
        <v>94388.461538461532</v>
      </c>
      <c r="K13" s="390">
        <f>$J$6*D13*H13</f>
        <v>0</v>
      </c>
      <c r="L13" s="386"/>
    </row>
    <row r="14" spans="1:15" ht="12.75" customHeight="1">
      <c r="A14" s="1087"/>
      <c r="B14" s="1080"/>
      <c r="C14" s="1073"/>
      <c r="D14" s="379"/>
      <c r="E14" s="389"/>
      <c r="F14" s="381"/>
      <c r="G14" s="910" t="s">
        <v>43</v>
      </c>
      <c r="H14" s="382">
        <v>3.24</v>
      </c>
      <c r="I14" s="383">
        <f>H14*$J$7</f>
        <v>589430.76923076937</v>
      </c>
      <c r="J14" s="384">
        <f t="shared" si="0"/>
        <v>0</v>
      </c>
      <c r="K14" s="390"/>
      <c r="L14" s="386"/>
    </row>
    <row r="15" spans="1:15" ht="12.75" customHeight="1">
      <c r="A15" s="1087"/>
      <c r="B15" s="1080"/>
      <c r="C15" s="1073"/>
      <c r="D15" s="379">
        <f t="shared" si="1"/>
        <v>4</v>
      </c>
      <c r="E15" s="391" t="str">
        <f t="shared" si="1"/>
        <v>3KTV6, 1NV3</v>
      </c>
      <c r="F15" s="381">
        <f>F$11</f>
        <v>1272653.2500000002</v>
      </c>
      <c r="G15" s="910">
        <v>3</v>
      </c>
      <c r="H15" s="382">
        <v>2.5099999999999998</v>
      </c>
      <c r="I15" s="383">
        <f>$F15*H15*$J$3</f>
        <v>3992949.5718750004</v>
      </c>
      <c r="J15" s="384">
        <f t="shared" si="0"/>
        <v>122121.15384615383</v>
      </c>
      <c r="K15" s="390">
        <f>$J$6*D15*H15</f>
        <v>0</v>
      </c>
      <c r="L15" s="386"/>
    </row>
    <row r="16" spans="1:15" ht="12.75" customHeight="1">
      <c r="A16" s="1087"/>
      <c r="B16" s="1080"/>
      <c r="C16" s="1073"/>
      <c r="D16" s="379"/>
      <c r="E16" s="389"/>
      <c r="F16" s="381"/>
      <c r="G16" s="910" t="s">
        <v>43</v>
      </c>
      <c r="H16" s="382">
        <v>4.05</v>
      </c>
      <c r="I16" s="383">
        <f>H16*$J$7</f>
        <v>736788.4615384615</v>
      </c>
      <c r="J16" s="384">
        <f t="shared" si="0"/>
        <v>0</v>
      </c>
      <c r="K16" s="390"/>
      <c r="L16" s="386"/>
    </row>
    <row r="17" spans="1:12" ht="12.75" customHeight="1">
      <c r="A17" s="1087"/>
      <c r="B17" s="1080"/>
      <c r="C17" s="1073"/>
      <c r="D17" s="379">
        <f t="shared" si="1"/>
        <v>4</v>
      </c>
      <c r="E17" s="391" t="str">
        <f t="shared" si="1"/>
        <v>3KTV6, 1NV3</v>
      </c>
      <c r="F17" s="381">
        <f>F$11</f>
        <v>1272653.2500000002</v>
      </c>
      <c r="G17" s="910">
        <v>4</v>
      </c>
      <c r="H17" s="382">
        <v>3.32</v>
      </c>
      <c r="I17" s="383">
        <f>$F17*H17*$J$3</f>
        <v>5281510.9875000007</v>
      </c>
      <c r="J17" s="384">
        <f t="shared" si="0"/>
        <v>161530.76923076922</v>
      </c>
      <c r="K17" s="390">
        <f>$J$6*D17*H17</f>
        <v>0</v>
      </c>
      <c r="L17" s="386"/>
    </row>
    <row r="18" spans="1:12" ht="12.75" customHeight="1">
      <c r="A18" s="1087"/>
      <c r="B18" s="1080"/>
      <c r="C18" s="1073"/>
      <c r="D18" s="379"/>
      <c r="E18" s="389"/>
      <c r="F18" s="381"/>
      <c r="G18" s="910" t="s">
        <v>43</v>
      </c>
      <c r="H18" s="382">
        <v>5.27</v>
      </c>
      <c r="I18" s="383">
        <f>H18*$J$7</f>
        <v>958734.61538461538</v>
      </c>
      <c r="J18" s="384">
        <f t="shared" si="0"/>
        <v>0</v>
      </c>
      <c r="K18" s="390"/>
      <c r="L18" s="386"/>
    </row>
    <row r="19" spans="1:12" ht="12.75" customHeight="1">
      <c r="A19" s="1087"/>
      <c r="B19" s="1080"/>
      <c r="C19" s="1073"/>
      <c r="D19" s="379">
        <f t="shared" si="1"/>
        <v>4</v>
      </c>
      <c r="E19" s="391" t="str">
        <f t="shared" si="1"/>
        <v>3KTV6, 1NV3</v>
      </c>
      <c r="F19" s="381">
        <f>F$11</f>
        <v>1272653.2500000002</v>
      </c>
      <c r="G19" s="910" t="s">
        <v>13</v>
      </c>
      <c r="H19" s="382">
        <v>4.21</v>
      </c>
      <c r="I19" s="383">
        <f>$F19*H19*$J$3</f>
        <v>6697337.7281250013</v>
      </c>
      <c r="J19" s="384">
        <f t="shared" si="0"/>
        <v>204832.69230769231</v>
      </c>
      <c r="K19" s="390">
        <f>$J$6*D19*H19</f>
        <v>0</v>
      </c>
      <c r="L19" s="386"/>
    </row>
    <row r="20" spans="1:12" ht="12.75" customHeight="1">
      <c r="A20" s="1087"/>
      <c r="B20" s="1080"/>
      <c r="C20" s="1073"/>
      <c r="D20" s="379"/>
      <c r="E20" s="389"/>
      <c r="F20" s="381"/>
      <c r="G20" s="910"/>
      <c r="H20" s="382">
        <v>6.89</v>
      </c>
      <c r="I20" s="383">
        <f>H20*$J$7</f>
        <v>1253450</v>
      </c>
      <c r="J20" s="384">
        <f t="shared" si="0"/>
        <v>0</v>
      </c>
      <c r="K20" s="390"/>
      <c r="L20" s="386"/>
    </row>
    <row r="21" spans="1:12" s="387" customFormat="1" ht="26">
      <c r="A21" s="1087">
        <v>2</v>
      </c>
      <c r="B21" s="1080" t="str">
        <f>L_CViec!B9</f>
        <v>Xây tường vây</v>
      </c>
      <c r="C21" s="1073" t="s">
        <v>82</v>
      </c>
      <c r="D21" s="380">
        <f>L_CViec!Q9</f>
        <v>4</v>
      </c>
      <c r="E21" s="380" t="str">
        <f>L_CViec!R9</f>
        <v>2KTV4, 1KTV6, 1NV3</v>
      </c>
      <c r="F21" s="381">
        <f>L_CViec!S9</f>
        <v>1176513.2500000002</v>
      </c>
      <c r="G21" s="910">
        <v>1</v>
      </c>
      <c r="H21" s="392">
        <v>1.35</v>
      </c>
      <c r="I21" s="383">
        <f>$F21*H21*$J$3</f>
        <v>1985366.1093750005</v>
      </c>
      <c r="J21" s="384">
        <f t="shared" si="0"/>
        <v>65682.692307692312</v>
      </c>
      <c r="K21" s="390">
        <f>$J$6*D21*H21</f>
        <v>0</v>
      </c>
      <c r="L21" s="386"/>
    </row>
    <row r="22" spans="1:12">
      <c r="A22" s="1087"/>
      <c r="B22" s="1080"/>
      <c r="C22" s="1073"/>
      <c r="D22" s="379"/>
      <c r="E22" s="389"/>
      <c r="F22" s="381"/>
      <c r="G22" s="910" t="s">
        <v>43</v>
      </c>
      <c r="H22" s="392">
        <v>4.8</v>
      </c>
      <c r="I22" s="383">
        <f>H22*$J$7</f>
        <v>873230.76923076925</v>
      </c>
      <c r="J22" s="384">
        <f t="shared" si="0"/>
        <v>0</v>
      </c>
      <c r="K22" s="390"/>
      <c r="L22" s="386"/>
    </row>
    <row r="23" spans="1:12" ht="26">
      <c r="A23" s="1087"/>
      <c r="B23" s="1080"/>
      <c r="C23" s="1073"/>
      <c r="D23" s="379">
        <f t="shared" ref="D23:E29" si="2">D$21</f>
        <v>4</v>
      </c>
      <c r="E23" s="391" t="str">
        <f t="shared" si="2"/>
        <v>2KTV4, 1KTV6, 1NV3</v>
      </c>
      <c r="F23" s="381">
        <f>F$21</f>
        <v>1176513.2500000002</v>
      </c>
      <c r="G23" s="910">
        <v>2</v>
      </c>
      <c r="H23" s="392">
        <v>1.46</v>
      </c>
      <c r="I23" s="383">
        <f>$F23*H23*$J$3</f>
        <v>2147136.6812500004</v>
      </c>
      <c r="J23" s="384">
        <f t="shared" si="0"/>
        <v>71034.615384615376</v>
      </c>
      <c r="K23" s="390">
        <f>$J$6*D23*H23</f>
        <v>0</v>
      </c>
      <c r="L23" s="386"/>
    </row>
    <row r="24" spans="1:12">
      <c r="A24" s="1087"/>
      <c r="B24" s="1080"/>
      <c r="C24" s="1073"/>
      <c r="D24" s="379"/>
      <c r="E24" s="389"/>
      <c r="F24" s="381"/>
      <c r="G24" s="910" t="s">
        <v>43</v>
      </c>
      <c r="H24" s="392">
        <v>6.3</v>
      </c>
      <c r="I24" s="383">
        <f>H24*$J$7</f>
        <v>1146115.3846153847</v>
      </c>
      <c r="J24" s="384">
        <f t="shared" si="0"/>
        <v>0</v>
      </c>
      <c r="K24" s="390"/>
      <c r="L24" s="386"/>
    </row>
    <row r="25" spans="1:12" ht="26">
      <c r="A25" s="1087"/>
      <c r="B25" s="1080"/>
      <c r="C25" s="1073"/>
      <c r="D25" s="379">
        <f t="shared" si="2"/>
        <v>4</v>
      </c>
      <c r="E25" s="391" t="str">
        <f t="shared" si="2"/>
        <v>2KTV4, 1KTV6, 1NV3</v>
      </c>
      <c r="F25" s="381">
        <f>F$21</f>
        <v>1176513.2500000002</v>
      </c>
      <c r="G25" s="910">
        <v>3</v>
      </c>
      <c r="H25" s="392">
        <v>1.62</v>
      </c>
      <c r="I25" s="383">
        <f>$F25*H25*$J$3</f>
        <v>2382439.3312500007</v>
      </c>
      <c r="J25" s="384">
        <f t="shared" si="0"/>
        <v>78819.230769230766</v>
      </c>
      <c r="K25" s="390">
        <f>$J$6*D25*H25</f>
        <v>0</v>
      </c>
      <c r="L25" s="386"/>
    </row>
    <row r="26" spans="1:12">
      <c r="A26" s="1087"/>
      <c r="B26" s="1080"/>
      <c r="C26" s="1073"/>
      <c r="D26" s="379"/>
      <c r="E26" s="389"/>
      <c r="F26" s="381"/>
      <c r="G26" s="910" t="s">
        <v>43</v>
      </c>
      <c r="H26" s="392">
        <v>8.4</v>
      </c>
      <c r="I26" s="383">
        <f>H26*$J$7</f>
        <v>1528153.8461538462</v>
      </c>
      <c r="J26" s="384">
        <f t="shared" si="0"/>
        <v>0</v>
      </c>
      <c r="K26" s="390"/>
      <c r="L26" s="386"/>
    </row>
    <row r="27" spans="1:12" ht="26">
      <c r="A27" s="1087"/>
      <c r="B27" s="1080"/>
      <c r="C27" s="1073"/>
      <c r="D27" s="379">
        <f t="shared" si="2"/>
        <v>4</v>
      </c>
      <c r="E27" s="391" t="str">
        <f t="shared" si="2"/>
        <v>2KTV4, 1KTV6, 1NV3</v>
      </c>
      <c r="F27" s="381">
        <f>F$21</f>
        <v>1176513.2500000002</v>
      </c>
      <c r="G27" s="910">
        <v>4</v>
      </c>
      <c r="H27" s="392">
        <v>1.89</v>
      </c>
      <c r="I27" s="383">
        <f>$F27*H27*$J$3</f>
        <v>2779512.5531250006</v>
      </c>
      <c r="J27" s="384">
        <f t="shared" si="0"/>
        <v>91955.76923076922</v>
      </c>
      <c r="K27" s="390">
        <f>$J$6*D27*H27</f>
        <v>0</v>
      </c>
      <c r="L27" s="386"/>
    </row>
    <row r="28" spans="1:12">
      <c r="A28" s="1087"/>
      <c r="B28" s="1080"/>
      <c r="C28" s="1073"/>
      <c r="D28" s="379"/>
      <c r="E28" s="389"/>
      <c r="F28" s="381"/>
      <c r="G28" s="910" t="s">
        <v>43</v>
      </c>
      <c r="H28" s="392">
        <v>14.4</v>
      </c>
      <c r="I28" s="383">
        <f>H28*$J$7</f>
        <v>2619692.307692308</v>
      </c>
      <c r="J28" s="384">
        <f t="shared" si="0"/>
        <v>0</v>
      </c>
      <c r="K28" s="390"/>
      <c r="L28" s="386"/>
    </row>
    <row r="29" spans="1:12" ht="26">
      <c r="A29" s="1087"/>
      <c r="B29" s="1080"/>
      <c r="C29" s="1073"/>
      <c r="D29" s="379">
        <f t="shared" si="2"/>
        <v>4</v>
      </c>
      <c r="E29" s="391" t="str">
        <f t="shared" si="2"/>
        <v>2KTV4, 1KTV6, 1NV3</v>
      </c>
      <c r="F29" s="381">
        <f>F$21</f>
        <v>1176513.2500000002</v>
      </c>
      <c r="G29" s="910" t="s">
        <v>13</v>
      </c>
      <c r="H29" s="392">
        <v>2.16</v>
      </c>
      <c r="I29" s="383">
        <f>$F29*H29*$J$3</f>
        <v>3176585.7750000008</v>
      </c>
      <c r="J29" s="384">
        <f t="shared" si="0"/>
        <v>105092.30769230769</v>
      </c>
      <c r="K29" s="390">
        <f>$J$6*D29*H29</f>
        <v>0</v>
      </c>
      <c r="L29" s="386"/>
    </row>
    <row r="30" spans="1:12">
      <c r="A30" s="1087"/>
      <c r="B30" s="1080"/>
      <c r="C30" s="1073"/>
      <c r="D30" s="379"/>
      <c r="E30" s="389"/>
      <c r="F30" s="381"/>
      <c r="G30" s="910"/>
      <c r="H30" s="392">
        <v>16.8</v>
      </c>
      <c r="I30" s="383">
        <f>H30*$J$7</f>
        <v>3056307.6923076925</v>
      </c>
      <c r="J30" s="384">
        <f t="shared" si="0"/>
        <v>0</v>
      </c>
      <c r="K30" s="390"/>
      <c r="L30" s="386"/>
    </row>
    <row r="31" spans="1:12" s="387" customFormat="1" ht="12" customHeight="1">
      <c r="A31" s="1087">
        <v>3</v>
      </c>
      <c r="B31" s="1080" t="str">
        <f>L_CViec!B10</f>
        <v>Tiếp điểm</v>
      </c>
      <c r="C31" s="1073" t="s">
        <v>82</v>
      </c>
      <c r="D31" s="379">
        <f>L_CViec!Q10</f>
        <v>4</v>
      </c>
      <c r="E31" s="380" t="str">
        <f>L_CViec!R10</f>
        <v>3KTV6, 1NV3</v>
      </c>
      <c r="F31" s="381">
        <f>L_CViec!S10</f>
        <v>1272653.2500000002</v>
      </c>
      <c r="G31" s="910">
        <v>1</v>
      </c>
      <c r="H31" s="382">
        <v>0.27</v>
      </c>
      <c r="I31" s="383">
        <f>$F31*H31*$J$3</f>
        <v>429520.47187500005</v>
      </c>
      <c r="J31" s="384">
        <f t="shared" si="0"/>
        <v>13136.538461538461</v>
      </c>
      <c r="K31" s="390">
        <f>$J$6*D31*H31</f>
        <v>0</v>
      </c>
      <c r="L31" s="386"/>
    </row>
    <row r="32" spans="1:12" ht="12" customHeight="1">
      <c r="A32" s="1087"/>
      <c r="B32" s="1080"/>
      <c r="C32" s="1073"/>
      <c r="D32" s="379"/>
      <c r="E32" s="389"/>
      <c r="F32" s="381"/>
      <c r="G32" s="910" t="s">
        <v>43</v>
      </c>
      <c r="H32" s="382">
        <v>0.36</v>
      </c>
      <c r="I32" s="383">
        <f>H32*$J$7</f>
        <v>65492.307692307695</v>
      </c>
      <c r="J32" s="384">
        <f t="shared" si="0"/>
        <v>0</v>
      </c>
      <c r="K32" s="390"/>
      <c r="L32" s="386"/>
    </row>
    <row r="33" spans="1:12" ht="12" customHeight="1">
      <c r="A33" s="1087"/>
      <c r="B33" s="1080"/>
      <c r="C33" s="1073"/>
      <c r="D33" s="379">
        <f t="shared" ref="D33:E39" si="3">D$31</f>
        <v>4</v>
      </c>
      <c r="E33" s="391" t="str">
        <f t="shared" si="3"/>
        <v>3KTV6, 1NV3</v>
      </c>
      <c r="F33" s="381">
        <f>F$31</f>
        <v>1272653.2500000002</v>
      </c>
      <c r="G33" s="910">
        <v>2</v>
      </c>
      <c r="H33" s="382">
        <v>0.34</v>
      </c>
      <c r="I33" s="383">
        <f>$F33*H33*$J$3</f>
        <v>540877.63125000009</v>
      </c>
      <c r="J33" s="384">
        <f t="shared" si="0"/>
        <v>16542.307692307691</v>
      </c>
      <c r="K33" s="390">
        <f>$J$6*D33*H33</f>
        <v>0</v>
      </c>
      <c r="L33" s="386"/>
    </row>
    <row r="34" spans="1:12" ht="12" customHeight="1">
      <c r="A34" s="1087"/>
      <c r="B34" s="1080"/>
      <c r="C34" s="1073"/>
      <c r="D34" s="379"/>
      <c r="E34" s="389"/>
      <c r="F34" s="381"/>
      <c r="G34" s="910" t="s">
        <v>43</v>
      </c>
      <c r="H34" s="382">
        <v>0.36</v>
      </c>
      <c r="I34" s="383">
        <f>H34*$J$7</f>
        <v>65492.307692307695</v>
      </c>
      <c r="J34" s="384">
        <f t="shared" si="0"/>
        <v>0</v>
      </c>
      <c r="K34" s="390"/>
      <c r="L34" s="386"/>
    </row>
    <row r="35" spans="1:12" ht="12" customHeight="1">
      <c r="A35" s="1087"/>
      <c r="B35" s="1080"/>
      <c r="C35" s="1073"/>
      <c r="D35" s="379">
        <f t="shared" si="3"/>
        <v>4</v>
      </c>
      <c r="E35" s="391" t="str">
        <f t="shared" si="3"/>
        <v>3KTV6, 1NV3</v>
      </c>
      <c r="F35" s="381">
        <f>F$31</f>
        <v>1272653.2500000002</v>
      </c>
      <c r="G35" s="910">
        <v>3</v>
      </c>
      <c r="H35" s="382">
        <v>0.41</v>
      </c>
      <c r="I35" s="383">
        <f>$F35*H35*$J$3</f>
        <v>652234.79062500014</v>
      </c>
      <c r="J35" s="384">
        <f t="shared" si="0"/>
        <v>19948.076923076922</v>
      </c>
      <c r="K35" s="390">
        <f>$J$6*D35*H35</f>
        <v>0</v>
      </c>
      <c r="L35" s="386"/>
    </row>
    <row r="36" spans="1:12" ht="12" customHeight="1">
      <c r="A36" s="1087"/>
      <c r="B36" s="1080"/>
      <c r="C36" s="1073"/>
      <c r="D36" s="379"/>
      <c r="E36" s="389"/>
      <c r="F36" s="381"/>
      <c r="G36" s="910" t="s">
        <v>43</v>
      </c>
      <c r="H36" s="382">
        <v>0.54</v>
      </c>
      <c r="I36" s="383">
        <f>H36*$J$7</f>
        <v>98238.461538461546</v>
      </c>
      <c r="J36" s="384">
        <f t="shared" si="0"/>
        <v>0</v>
      </c>
      <c r="K36" s="390"/>
      <c r="L36" s="386"/>
    </row>
    <row r="37" spans="1:12" ht="12" customHeight="1">
      <c r="A37" s="1087"/>
      <c r="B37" s="1080"/>
      <c r="C37" s="1073"/>
      <c r="D37" s="379">
        <f t="shared" si="3"/>
        <v>4</v>
      </c>
      <c r="E37" s="391" t="str">
        <f t="shared" si="3"/>
        <v>3KTV6, 1NV3</v>
      </c>
      <c r="F37" s="381">
        <f>F$31</f>
        <v>1272653.2500000002</v>
      </c>
      <c r="G37" s="910">
        <v>4</v>
      </c>
      <c r="H37" s="382">
        <v>0.51</v>
      </c>
      <c r="I37" s="383">
        <f>$F37*H37*$J$3</f>
        <v>811316.44687500014</v>
      </c>
      <c r="J37" s="384">
        <f t="shared" si="0"/>
        <v>24813.461538461539</v>
      </c>
      <c r="K37" s="390">
        <f>$J$6*D37*H37</f>
        <v>0</v>
      </c>
      <c r="L37" s="386"/>
    </row>
    <row r="38" spans="1:12" ht="12" customHeight="1">
      <c r="A38" s="1087"/>
      <c r="B38" s="1080"/>
      <c r="C38" s="1073"/>
      <c r="D38" s="379"/>
      <c r="E38" s="389"/>
      <c r="F38" s="381"/>
      <c r="G38" s="910" t="s">
        <v>43</v>
      </c>
      <c r="H38" s="382">
        <v>0.68</v>
      </c>
      <c r="I38" s="383">
        <f>H38*$J$7</f>
        <v>123707.69230769233</v>
      </c>
      <c r="J38" s="384">
        <f t="shared" si="0"/>
        <v>0</v>
      </c>
      <c r="K38" s="390"/>
      <c r="L38" s="386"/>
    </row>
    <row r="39" spans="1:12" ht="12" customHeight="1">
      <c r="A39" s="1087"/>
      <c r="B39" s="1080"/>
      <c r="C39" s="1073"/>
      <c r="D39" s="379">
        <f t="shared" si="3"/>
        <v>4</v>
      </c>
      <c r="E39" s="391" t="str">
        <f t="shared" si="3"/>
        <v>3KTV6, 1NV3</v>
      </c>
      <c r="F39" s="381">
        <f>F$31</f>
        <v>1272653.2500000002</v>
      </c>
      <c r="G39" s="910" t="s">
        <v>13</v>
      </c>
      <c r="H39" s="382">
        <v>0.68</v>
      </c>
      <c r="I39" s="383">
        <f>$F39*H39*$J$3</f>
        <v>1081755.2625000002</v>
      </c>
      <c r="J39" s="384">
        <f t="shared" si="0"/>
        <v>33084.615384615383</v>
      </c>
      <c r="K39" s="390">
        <f>$J$6*D39*H39</f>
        <v>0</v>
      </c>
      <c r="L39" s="386"/>
    </row>
    <row r="40" spans="1:12" ht="12" customHeight="1">
      <c r="A40" s="1087"/>
      <c r="B40" s="1080"/>
      <c r="C40" s="1073"/>
      <c r="D40" s="379"/>
      <c r="E40" s="389"/>
      <c r="F40" s="381"/>
      <c r="G40" s="910"/>
      <c r="H40" s="382">
        <v>0.68</v>
      </c>
      <c r="I40" s="383">
        <f>H40*$J$7</f>
        <v>123707.69230769233</v>
      </c>
      <c r="J40" s="384">
        <f t="shared" si="0"/>
        <v>0</v>
      </c>
      <c r="K40" s="390"/>
      <c r="L40" s="386"/>
    </row>
    <row r="41" spans="1:12" s="387" customFormat="1" ht="26">
      <c r="A41" s="1087">
        <v>4</v>
      </c>
      <c r="B41" s="1080" t="str">
        <f>L_CViec!B11</f>
        <v>Đo ngắm</v>
      </c>
      <c r="C41" s="1073" t="s">
        <v>82</v>
      </c>
      <c r="D41" s="391">
        <f>L_CViec!Q11</f>
        <v>5</v>
      </c>
      <c r="E41" s="380" t="str">
        <f>L_CViec!R11</f>
        <v>2KTV6, 1KS2, 1KS3, 1NV3</v>
      </c>
      <c r="F41" s="381">
        <f>L_CViec!S11</f>
        <v>1610345</v>
      </c>
      <c r="G41" s="910">
        <v>1</v>
      </c>
      <c r="H41" s="392">
        <v>0.67</v>
      </c>
      <c r="I41" s="383">
        <f>$F41*H41*$J$3</f>
        <v>1348663.9375000002</v>
      </c>
      <c r="J41" s="384">
        <f t="shared" si="0"/>
        <v>40747.596153846156</v>
      </c>
      <c r="K41" s="390">
        <f>$J$6*D41*H41</f>
        <v>0</v>
      </c>
      <c r="L41" s="386"/>
    </row>
    <row r="42" spans="1:12">
      <c r="A42" s="1087"/>
      <c r="B42" s="1080"/>
      <c r="C42" s="1073"/>
      <c r="D42" s="379"/>
      <c r="E42" s="389"/>
      <c r="F42" s="381"/>
      <c r="G42" s="910" t="s">
        <v>43</v>
      </c>
      <c r="H42" s="392">
        <v>0.45</v>
      </c>
      <c r="I42" s="383">
        <f>H42*$J$7</f>
        <v>81865.384615384624</v>
      </c>
      <c r="J42" s="384">
        <f t="shared" si="0"/>
        <v>0</v>
      </c>
      <c r="K42" s="390"/>
      <c r="L42" s="386"/>
    </row>
    <row r="43" spans="1:12" ht="26">
      <c r="A43" s="1087"/>
      <c r="B43" s="1080"/>
      <c r="C43" s="1073"/>
      <c r="D43" s="379">
        <f t="shared" ref="D43:E49" si="4">D41</f>
        <v>5</v>
      </c>
      <c r="E43" s="391" t="str">
        <f t="shared" si="4"/>
        <v>2KTV6, 1KS2, 1KS3, 1NV3</v>
      </c>
      <c r="F43" s="381">
        <f>F41</f>
        <v>1610345</v>
      </c>
      <c r="G43" s="910">
        <v>2</v>
      </c>
      <c r="H43" s="392">
        <v>0.81</v>
      </c>
      <c r="I43" s="383">
        <f>$F43*H43*$J$3</f>
        <v>1630474.3125000002</v>
      </c>
      <c r="J43" s="384">
        <f t="shared" si="0"/>
        <v>49262.019230769234</v>
      </c>
      <c r="K43" s="390">
        <f>$J$6*D43*H43</f>
        <v>0</v>
      </c>
      <c r="L43" s="386"/>
    </row>
    <row r="44" spans="1:12">
      <c r="A44" s="1087"/>
      <c r="B44" s="1080"/>
      <c r="C44" s="1073"/>
      <c r="D44" s="379"/>
      <c r="E44" s="389"/>
      <c r="F44" s="381"/>
      <c r="G44" s="910" t="s">
        <v>43</v>
      </c>
      <c r="H44" s="392">
        <v>0.63</v>
      </c>
      <c r="I44" s="383">
        <f>H44*$J$7</f>
        <v>114611.53846153847</v>
      </c>
      <c r="J44" s="384">
        <f t="shared" si="0"/>
        <v>0</v>
      </c>
      <c r="K44" s="390"/>
      <c r="L44" s="386"/>
    </row>
    <row r="45" spans="1:12" ht="26">
      <c r="A45" s="1087"/>
      <c r="B45" s="1080"/>
      <c r="C45" s="1073"/>
      <c r="D45" s="379">
        <f t="shared" si="4"/>
        <v>5</v>
      </c>
      <c r="E45" s="391" t="str">
        <f t="shared" si="4"/>
        <v>2KTV6, 1KS2, 1KS3, 1NV3</v>
      </c>
      <c r="F45" s="381">
        <f>F43</f>
        <v>1610345</v>
      </c>
      <c r="G45" s="910">
        <v>3</v>
      </c>
      <c r="H45" s="392">
        <v>0.98</v>
      </c>
      <c r="I45" s="383">
        <f>$F45*H45*$J$3</f>
        <v>1972672.6249999998</v>
      </c>
      <c r="J45" s="384">
        <f t="shared" si="0"/>
        <v>59600.961538461546</v>
      </c>
      <c r="K45" s="390">
        <f>$J$6*D45*H45</f>
        <v>0</v>
      </c>
      <c r="L45" s="386"/>
    </row>
    <row r="46" spans="1:12">
      <c r="A46" s="1087"/>
      <c r="B46" s="1080"/>
      <c r="C46" s="1073"/>
      <c r="D46" s="379"/>
      <c r="E46" s="389"/>
      <c r="F46" s="381"/>
      <c r="G46" s="910" t="s">
        <v>43</v>
      </c>
      <c r="H46" s="392">
        <v>1.26</v>
      </c>
      <c r="I46" s="383">
        <f>H46*$J$7</f>
        <v>229223.07692307694</v>
      </c>
      <c r="J46" s="384">
        <f t="shared" si="0"/>
        <v>0</v>
      </c>
      <c r="K46" s="390"/>
      <c r="L46" s="386"/>
    </row>
    <row r="47" spans="1:12" ht="26">
      <c r="A47" s="1087"/>
      <c r="B47" s="1080"/>
      <c r="C47" s="1073"/>
      <c r="D47" s="379">
        <f t="shared" si="4"/>
        <v>5</v>
      </c>
      <c r="E47" s="391" t="str">
        <f t="shared" si="4"/>
        <v>2KTV6, 1KS2, 1KS3, 1NV3</v>
      </c>
      <c r="F47" s="381">
        <f>F45</f>
        <v>1610345</v>
      </c>
      <c r="G47" s="910">
        <v>4</v>
      </c>
      <c r="H47" s="392">
        <v>1.22</v>
      </c>
      <c r="I47" s="383">
        <f>$F47*H47*$J$3</f>
        <v>2455776.125</v>
      </c>
      <c r="J47" s="384">
        <f t="shared" si="0"/>
        <v>74197.115384615376</v>
      </c>
      <c r="K47" s="390">
        <f>$J$6*D47*H47</f>
        <v>0</v>
      </c>
      <c r="L47" s="386"/>
    </row>
    <row r="48" spans="1:12">
      <c r="A48" s="1087"/>
      <c r="B48" s="1080"/>
      <c r="C48" s="1073"/>
      <c r="D48" s="379"/>
      <c r="E48" s="389"/>
      <c r="F48" s="381"/>
      <c r="G48" s="910" t="s">
        <v>43</v>
      </c>
      <c r="H48" s="392">
        <v>2.25</v>
      </c>
      <c r="I48" s="383">
        <f>H48*$J$7</f>
        <v>409326.92307692312</v>
      </c>
      <c r="J48" s="384">
        <f t="shared" si="0"/>
        <v>0</v>
      </c>
      <c r="K48" s="390"/>
      <c r="L48" s="386"/>
    </row>
    <row r="49" spans="1:31" ht="26">
      <c r="A49" s="1087"/>
      <c r="B49" s="1080"/>
      <c r="C49" s="1073"/>
      <c r="D49" s="379">
        <f t="shared" si="4"/>
        <v>5</v>
      </c>
      <c r="E49" s="391" t="str">
        <f t="shared" si="4"/>
        <v>2KTV6, 1KS2, 1KS3, 1NV3</v>
      </c>
      <c r="F49" s="381">
        <f>F47</f>
        <v>1610345</v>
      </c>
      <c r="G49" s="910" t="s">
        <v>13</v>
      </c>
      <c r="H49" s="392">
        <v>1.9</v>
      </c>
      <c r="I49" s="383">
        <f>$F49*H49*$J$3</f>
        <v>3824569.375</v>
      </c>
      <c r="J49" s="384">
        <f t="shared" si="0"/>
        <v>115552.88461538461</v>
      </c>
      <c r="K49" s="390">
        <f>$J$6*D49*H49</f>
        <v>0</v>
      </c>
      <c r="L49" s="386"/>
    </row>
    <row r="50" spans="1:31">
      <c r="A50" s="1087"/>
      <c r="B50" s="1080"/>
      <c r="C50" s="1073"/>
      <c r="D50" s="379"/>
      <c r="E50" s="389"/>
      <c r="F50" s="381"/>
      <c r="G50" s="910"/>
      <c r="H50" s="392">
        <v>2.8</v>
      </c>
      <c r="I50" s="383">
        <f>H50*$J$7</f>
        <v>509384.61538461538</v>
      </c>
      <c r="J50" s="384">
        <f t="shared" si="0"/>
        <v>0</v>
      </c>
      <c r="K50" s="390"/>
      <c r="L50" s="386"/>
    </row>
    <row r="51" spans="1:31" s="387" customFormat="1" ht="13.5">
      <c r="A51" s="393">
        <v>5</v>
      </c>
      <c r="B51" s="394" t="s">
        <v>522</v>
      </c>
      <c r="C51" s="379" t="s">
        <v>82</v>
      </c>
      <c r="D51" s="379">
        <f>L_CViec!Q12</f>
        <v>2</v>
      </c>
      <c r="E51" s="380" t="str">
        <f>L_CViec!R12</f>
        <v>1KS2, 1KS3</v>
      </c>
      <c r="F51" s="381">
        <f>L_CViec!S12</f>
        <v>681392.25</v>
      </c>
      <c r="G51" s="910" t="s">
        <v>15</v>
      </c>
      <c r="H51" s="382">
        <v>0.8</v>
      </c>
      <c r="I51" s="383">
        <f>$F51*H51</f>
        <v>545113.80000000005</v>
      </c>
      <c r="J51" s="384">
        <f>D51*H51*$J$5</f>
        <v>15569.23076923077</v>
      </c>
      <c r="K51" s="390">
        <f>$J$6*D51*H51</f>
        <v>0</v>
      </c>
      <c r="L51" s="386"/>
    </row>
    <row r="52" spans="1:31" s="387" customFormat="1" ht="13.9" customHeight="1">
      <c r="A52" s="1076" t="s">
        <v>219</v>
      </c>
      <c r="B52" s="1077"/>
      <c r="C52" s="1077"/>
      <c r="D52" s="1077"/>
      <c r="E52" s="1077"/>
      <c r="F52" s="1077"/>
      <c r="G52" s="1077"/>
      <c r="H52" s="1077"/>
      <c r="I52" s="1077"/>
      <c r="J52" s="1078"/>
      <c r="K52" s="395"/>
      <c r="L52" s="396"/>
    </row>
    <row r="53" spans="1:31" s="387" customFormat="1" ht="13.5">
      <c r="A53" s="1079" t="s">
        <v>439</v>
      </c>
      <c r="B53" s="1080"/>
      <c r="C53" s="1080"/>
      <c r="D53" s="1080"/>
      <c r="E53" s="1080"/>
      <c r="F53" s="1080"/>
      <c r="G53" s="1080"/>
      <c r="H53" s="1080"/>
      <c r="I53" s="1080"/>
      <c r="J53" s="1081"/>
      <c r="K53" s="397"/>
      <c r="L53" s="396"/>
    </row>
    <row r="54" spans="1:31" s="387" customFormat="1" ht="27.65" customHeight="1">
      <c r="A54" s="1079" t="s">
        <v>440</v>
      </c>
      <c r="B54" s="1080"/>
      <c r="C54" s="1080"/>
      <c r="D54" s="1080"/>
      <c r="E54" s="1080"/>
      <c r="F54" s="1080"/>
      <c r="G54" s="1080"/>
      <c r="H54" s="1080"/>
      <c r="I54" s="1080"/>
      <c r="J54" s="1081"/>
      <c r="K54" s="398"/>
      <c r="L54" s="386"/>
      <c r="N54" s="1096"/>
      <c r="O54" s="1096"/>
    </row>
    <row r="55" spans="1:31">
      <c r="A55" s="1079" t="s">
        <v>441</v>
      </c>
      <c r="B55" s="1080"/>
      <c r="C55" s="1080"/>
      <c r="D55" s="1080"/>
      <c r="E55" s="1080"/>
      <c r="F55" s="1080"/>
      <c r="G55" s="1080"/>
      <c r="H55" s="1080"/>
      <c r="I55" s="1080"/>
      <c r="J55" s="1081"/>
      <c r="K55" s="398"/>
      <c r="L55" s="386"/>
    </row>
    <row r="56" spans="1:31" ht="32.25" customHeight="1" thickBot="1">
      <c r="A56" s="1092" t="s">
        <v>593</v>
      </c>
      <c r="B56" s="1093"/>
      <c r="C56" s="1093"/>
      <c r="D56" s="1093"/>
      <c r="E56" s="1093"/>
      <c r="F56" s="1093"/>
      <c r="G56" s="1093"/>
      <c r="H56" s="1093"/>
      <c r="I56" s="1093"/>
      <c r="J56" s="1094"/>
    </row>
    <row r="57" spans="1:31" s="369" customFormat="1" ht="14" thickBot="1">
      <c r="A57" s="363" t="str">
        <f>L_CViec!A14</f>
        <v>II</v>
      </c>
      <c r="B57" s="400" t="s">
        <v>614</v>
      </c>
      <c r="C57" s="365"/>
      <c r="D57" s="365"/>
      <c r="E57" s="365"/>
      <c r="F57" s="363"/>
      <c r="G57" s="907"/>
      <c r="H57" s="367"/>
      <c r="I57" s="363"/>
      <c r="J57" s="368" t="s">
        <v>431</v>
      </c>
      <c r="L57" s="363"/>
      <c r="M57" s="363"/>
      <c r="N57" s="363"/>
      <c r="O57" s="363"/>
      <c r="P57" s="363"/>
      <c r="Q57" s="363"/>
      <c r="R57" s="363"/>
      <c r="S57" s="363"/>
      <c r="T57" s="363"/>
      <c r="U57" s="363"/>
      <c r="V57" s="363"/>
    </row>
    <row r="58" spans="1:31" s="369" customFormat="1">
      <c r="A58" s="1090" t="s">
        <v>2</v>
      </c>
      <c r="B58" s="1088" t="s">
        <v>74</v>
      </c>
      <c r="C58" s="1074" t="s">
        <v>70</v>
      </c>
      <c r="D58" s="401" t="s">
        <v>76</v>
      </c>
      <c r="E58" s="1088" t="s">
        <v>471</v>
      </c>
      <c r="F58" s="402" t="s">
        <v>73</v>
      </c>
      <c r="G58" s="911" t="s">
        <v>75</v>
      </c>
      <c r="H58" s="403" t="s">
        <v>77</v>
      </c>
      <c r="I58" s="1055" t="s">
        <v>80</v>
      </c>
      <c r="J58" s="402" t="s">
        <v>72</v>
      </c>
      <c r="K58" s="404" t="s">
        <v>78</v>
      </c>
      <c r="L58" s="403" t="s">
        <v>77</v>
      </c>
      <c r="M58" s="1055" t="s">
        <v>80</v>
      </c>
      <c r="N58" s="402" t="s">
        <v>72</v>
      </c>
      <c r="O58" s="404" t="s">
        <v>78</v>
      </c>
      <c r="P58" s="402" t="s">
        <v>77</v>
      </c>
      <c r="Q58" s="1055" t="s">
        <v>80</v>
      </c>
      <c r="R58" s="402" t="s">
        <v>72</v>
      </c>
      <c r="S58" s="404" t="s">
        <v>78</v>
      </c>
      <c r="T58" s="402" t="s">
        <v>77</v>
      </c>
      <c r="U58" s="1055" t="s">
        <v>80</v>
      </c>
      <c r="V58" s="402" t="s">
        <v>72</v>
      </c>
      <c r="W58" s="404" t="s">
        <v>78</v>
      </c>
      <c r="X58" s="402" t="s">
        <v>77</v>
      </c>
      <c r="Y58" s="1055" t="s">
        <v>80</v>
      </c>
      <c r="Z58" s="402" t="s">
        <v>72</v>
      </c>
      <c r="AA58" s="404" t="s">
        <v>78</v>
      </c>
      <c r="AB58" s="402" t="s">
        <v>77</v>
      </c>
      <c r="AC58" s="1055" t="s">
        <v>80</v>
      </c>
      <c r="AD58" s="402" t="s">
        <v>72</v>
      </c>
      <c r="AE58" s="404" t="s">
        <v>78</v>
      </c>
    </row>
    <row r="59" spans="1:31" s="369" customFormat="1">
      <c r="A59" s="1091"/>
      <c r="B59" s="1089"/>
      <c r="C59" s="1075"/>
      <c r="D59" s="405" t="s">
        <v>52</v>
      </c>
      <c r="E59" s="1089"/>
      <c r="F59" s="406" t="s">
        <v>56</v>
      </c>
      <c r="G59" s="912" t="s">
        <v>71</v>
      </c>
      <c r="H59" s="407" t="s">
        <v>52</v>
      </c>
      <c r="I59" s="1068"/>
      <c r="J59" s="408">
        <f>L_CBac!L9</f>
        <v>0.1</v>
      </c>
      <c r="K59" s="409" t="s">
        <v>79</v>
      </c>
      <c r="L59" s="407" t="s">
        <v>52</v>
      </c>
      <c r="M59" s="1068"/>
      <c r="N59" s="408">
        <f>J59</f>
        <v>0.1</v>
      </c>
      <c r="O59" s="409" t="s">
        <v>79</v>
      </c>
      <c r="P59" s="410" t="s">
        <v>52</v>
      </c>
      <c r="Q59" s="1068"/>
      <c r="R59" s="408">
        <f>N59</f>
        <v>0.1</v>
      </c>
      <c r="S59" s="409" t="s">
        <v>79</v>
      </c>
      <c r="T59" s="410" t="s">
        <v>52</v>
      </c>
      <c r="U59" s="1068"/>
      <c r="V59" s="408">
        <f>R59</f>
        <v>0.1</v>
      </c>
      <c r="W59" s="409" t="s">
        <v>79</v>
      </c>
      <c r="X59" s="410" t="s">
        <v>52</v>
      </c>
      <c r="Y59" s="1068"/>
      <c r="Z59" s="408">
        <f>V59</f>
        <v>0.1</v>
      </c>
      <c r="AA59" s="409" t="s">
        <v>79</v>
      </c>
      <c r="AB59" s="410" t="s">
        <v>52</v>
      </c>
      <c r="AC59" s="1068"/>
      <c r="AD59" s="408">
        <f>Z59</f>
        <v>0.1</v>
      </c>
      <c r="AE59" s="409" t="s">
        <v>79</v>
      </c>
    </row>
    <row r="60" spans="1:31" s="369" customFormat="1" ht="13.15" customHeight="1">
      <c r="A60" s="411">
        <v>1</v>
      </c>
      <c r="B60" s="412" t="s">
        <v>57</v>
      </c>
      <c r="C60" s="413" t="s">
        <v>317</v>
      </c>
      <c r="D60" s="414"/>
      <c r="E60" s="413"/>
      <c r="F60" s="415"/>
      <c r="G60" s="913"/>
      <c r="H60" s="1062" t="s">
        <v>202</v>
      </c>
      <c r="I60" s="1063"/>
      <c r="J60" s="1063"/>
      <c r="K60" s="1064"/>
      <c r="L60" s="1062" t="s">
        <v>203</v>
      </c>
      <c r="M60" s="1063"/>
      <c r="N60" s="1063"/>
      <c r="O60" s="1064"/>
      <c r="P60" s="1062" t="s">
        <v>374</v>
      </c>
      <c r="Q60" s="1063"/>
      <c r="R60" s="1063"/>
      <c r="S60" s="1064"/>
      <c r="T60" s="1062" t="s">
        <v>373</v>
      </c>
      <c r="U60" s="1063"/>
      <c r="V60" s="1063"/>
      <c r="W60" s="1064"/>
      <c r="X60" s="1062" t="s">
        <v>372</v>
      </c>
      <c r="Y60" s="1063"/>
      <c r="Z60" s="1063"/>
      <c r="AA60" s="1064"/>
      <c r="AB60" s="1065" t="s">
        <v>371</v>
      </c>
      <c r="AC60" s="1066"/>
      <c r="AD60" s="1066"/>
      <c r="AE60" s="1067"/>
    </row>
    <row r="61" spans="1:31" s="387" customFormat="1" ht="26">
      <c r="A61" s="1057">
        <v>1.1000000000000001</v>
      </c>
      <c r="B61" s="1097" t="str">
        <f>L_CViec!B16</f>
        <v>Công tác chuẩn bị</v>
      </c>
      <c r="C61" s="1083"/>
      <c r="D61" s="416">
        <f>L_CViec!Q16</f>
        <v>4</v>
      </c>
      <c r="E61" s="417" t="str">
        <f>L_CViec!R16</f>
        <v>1KTV4, 2KTV6, 1KTV10</v>
      </c>
      <c r="F61" s="418">
        <f>L_CViec!S16</f>
        <v>1422872.0000000005</v>
      </c>
      <c r="G61" s="914" t="s">
        <v>622</v>
      </c>
      <c r="H61" s="419">
        <v>0.32</v>
      </c>
      <c r="I61" s="420">
        <f>$F61*H61*$J$3</f>
        <v>569148.80000000016</v>
      </c>
      <c r="J61" s="420">
        <f>$D61*H61*$J$4*$J$3</f>
        <v>15569.23076923077</v>
      </c>
      <c r="K61" s="420">
        <f>$D61*H61*$J$6</f>
        <v>0</v>
      </c>
      <c r="L61" s="421">
        <v>1.02</v>
      </c>
      <c r="M61" s="420">
        <f>$F61*L61*$J$3/6.25</f>
        <v>290265.88800000009</v>
      </c>
      <c r="N61" s="420">
        <f>$D61*L61*$J$4*$J$3/6.25</f>
        <v>7940.3076923076924</v>
      </c>
      <c r="O61" s="420">
        <f>$D61*L61*$J$6/6.25</f>
        <v>0</v>
      </c>
      <c r="P61" s="422">
        <v>2.0299999999999998</v>
      </c>
      <c r="Q61" s="420">
        <f>$F61*P61*$J$3/25</f>
        <v>144421.50800000003</v>
      </c>
      <c r="R61" s="420">
        <f>$D61*P61*$J$4*$J$3/25</f>
        <v>3950.6923076923067</v>
      </c>
      <c r="S61" s="420">
        <f t="shared" ref="S61:S87" si="5">$D61*P61*$J$6/25</f>
        <v>0</v>
      </c>
      <c r="T61" s="422">
        <v>4.5</v>
      </c>
      <c r="U61" s="420">
        <f>$F61*T61*$J$3/100</f>
        <v>80036.550000000017</v>
      </c>
      <c r="V61" s="420">
        <f>$D61*T61*$J$4*$J$3/100</f>
        <v>2189.4230769230767</v>
      </c>
      <c r="W61" s="420">
        <f t="shared" ref="W61:W87" si="6">$D61*T61*$J$6/100</f>
        <v>0</v>
      </c>
      <c r="X61" s="422">
        <v>22.28</v>
      </c>
      <c r="Y61" s="420">
        <f>$F61*X61*$J$3/900</f>
        <v>44029.983555555576</v>
      </c>
      <c r="Z61" s="420">
        <f>$D61*X61*$J$4*$J$3/900</f>
        <v>1204.4529914529915</v>
      </c>
      <c r="AA61" s="420">
        <f t="shared" ref="AA61:AA87" si="7">$D61*X61*$J$6/900</f>
        <v>0</v>
      </c>
      <c r="AB61" s="422">
        <v>40.5</v>
      </c>
      <c r="AC61" s="420">
        <f>$F61*AB61*$J$3/3600</f>
        <v>20009.137500000008</v>
      </c>
      <c r="AD61" s="420">
        <f>$D61*AB61*$J$4*$J$3/3600</f>
        <v>547.35576923076917</v>
      </c>
      <c r="AE61" s="420">
        <f t="shared" ref="AE61:AE87" si="8">$D61*AB61*$J$6/3600</f>
        <v>0</v>
      </c>
    </row>
    <row r="62" spans="1:31" s="387" customFormat="1" ht="13.5">
      <c r="A62" s="1057"/>
      <c r="B62" s="1097"/>
      <c r="C62" s="1083"/>
      <c r="D62" s="423"/>
      <c r="E62" s="417"/>
      <c r="F62" s="418"/>
      <c r="G62" s="914"/>
      <c r="H62" s="424">
        <v>0.2</v>
      </c>
      <c r="I62" s="425">
        <f>H62*$J$7</f>
        <v>36384.61538461539</v>
      </c>
      <c r="J62" s="425"/>
      <c r="K62" s="425">
        <f>$D62*H62*$J$6</f>
        <v>0</v>
      </c>
      <c r="L62" s="426">
        <v>0.62</v>
      </c>
      <c r="M62" s="425">
        <f>L62*$J$7/6.25</f>
        <v>18046.769230769234</v>
      </c>
      <c r="N62" s="425"/>
      <c r="O62" s="425">
        <f>$D62*L62*$J$6</f>
        <v>0</v>
      </c>
      <c r="P62" s="427">
        <v>1.24</v>
      </c>
      <c r="Q62" s="425">
        <f>P62*$J$7/25</f>
        <v>9023.3846153846171</v>
      </c>
      <c r="R62" s="425"/>
      <c r="S62" s="425">
        <f t="shared" si="5"/>
        <v>0</v>
      </c>
      <c r="T62" s="427">
        <v>2.75</v>
      </c>
      <c r="U62" s="425">
        <f>T62*$J$7/100</f>
        <v>5002.8846153846152</v>
      </c>
      <c r="V62" s="425"/>
      <c r="W62" s="425">
        <f t="shared" si="6"/>
        <v>0</v>
      </c>
      <c r="X62" s="427">
        <v>13.62</v>
      </c>
      <c r="Y62" s="425">
        <f>X62*$J$7/900</f>
        <v>2753.102564102564</v>
      </c>
      <c r="Z62" s="425"/>
      <c r="AA62" s="425">
        <f t="shared" si="7"/>
        <v>0</v>
      </c>
      <c r="AB62" s="427">
        <v>24.75</v>
      </c>
      <c r="AC62" s="425">
        <f>AB62*$J$7/3600</f>
        <v>1250.7211538461538</v>
      </c>
      <c r="AD62" s="425"/>
      <c r="AE62" s="425">
        <f t="shared" si="8"/>
        <v>0</v>
      </c>
    </row>
    <row r="63" spans="1:31" ht="26">
      <c r="A63" s="1057">
        <v>1.2</v>
      </c>
      <c r="B63" s="1082" t="str">
        <f>L_CViec!B17</f>
        <v>Lập lưới khống chế đo vẽ</v>
      </c>
      <c r="C63" s="1084"/>
      <c r="D63" s="428">
        <f>L_CViec!Q$17</f>
        <v>5</v>
      </c>
      <c r="E63" s="429" t="str">
        <f>L_CViec!R$17</f>
        <v>2KTV4, 2KTV6, 1KTV10</v>
      </c>
      <c r="F63" s="418">
        <f>L_CViec!S$17</f>
        <v>1718502.5000000005</v>
      </c>
      <c r="G63" s="914">
        <v>1</v>
      </c>
      <c r="H63" s="424">
        <v>1.76</v>
      </c>
      <c r="I63" s="425">
        <f t="shared" ref="I63:I106" si="9">$F63*H63*$J$3</f>
        <v>3780705.5000000009</v>
      </c>
      <c r="J63" s="425">
        <f t="shared" ref="J63:J68" si="10">$D63*H63*$J$4*$J$3</f>
        <v>107038.46153846155</v>
      </c>
      <c r="K63" s="425">
        <f>$D63*H63*$J$6</f>
        <v>0</v>
      </c>
      <c r="L63" s="426">
        <v>2.34</v>
      </c>
      <c r="M63" s="425">
        <f t="shared" ref="M63:M68" si="11">$F63*L63*$J$3/6.25</f>
        <v>804259.17000000016</v>
      </c>
      <c r="N63" s="425">
        <f t="shared" ref="N63:N68" si="12">$D63*L63*$J$4*$J$3/6.25</f>
        <v>22769.999999999996</v>
      </c>
      <c r="O63" s="425">
        <f t="shared" ref="O63:O68" si="13">$D63*L63*$J$6/6.25</f>
        <v>0</v>
      </c>
      <c r="P63" s="427">
        <v>2.81</v>
      </c>
      <c r="Q63" s="425">
        <f t="shared" ref="Q63:Q68" si="14">$F63*P63*$J$3/25</f>
        <v>241449.60125000007</v>
      </c>
      <c r="R63" s="425">
        <f t="shared" ref="R63:R68" si="15">$D63*P63*$J$4*$J$3/25</f>
        <v>6835.8653846153848</v>
      </c>
      <c r="S63" s="425">
        <f t="shared" si="5"/>
        <v>0</v>
      </c>
      <c r="T63" s="427">
        <v>3.73</v>
      </c>
      <c r="U63" s="425">
        <f t="shared" ref="U63:U68" si="16">$F63*T63*$J$3/100</f>
        <v>80125.179062500029</v>
      </c>
      <c r="V63" s="425">
        <f t="shared" ref="V63:V68" si="17">$D63*T63*$J$4*$J$3/100</f>
        <v>2268.4855769230767</v>
      </c>
      <c r="W63" s="425">
        <f t="shared" si="6"/>
        <v>0</v>
      </c>
      <c r="X63" s="427">
        <v>12.33</v>
      </c>
      <c r="Y63" s="425">
        <f t="shared" ref="Y63:Y68" si="18">$F63*X63*$J$3/900</f>
        <v>29429.355312500007</v>
      </c>
      <c r="Z63" s="425">
        <f t="shared" ref="Z63:Z68" si="19">$D63*X63*$J$4*$J$3/900</f>
        <v>833.19711538461524</v>
      </c>
      <c r="AA63" s="425">
        <f t="shared" si="7"/>
        <v>0</v>
      </c>
      <c r="AB63" s="427">
        <v>22.42</v>
      </c>
      <c r="AC63" s="425">
        <f t="shared" ref="AC63:AC68" si="20">$F63*AB63*$J$3/3600</f>
        <v>13378.064600694448</v>
      </c>
      <c r="AD63" s="425">
        <f t="shared" ref="AD63:AD68" si="21">$D63*AB63*$J$4*$J$3/3600</f>
        <v>378.75667735042737</v>
      </c>
      <c r="AE63" s="425">
        <f t="shared" si="8"/>
        <v>0</v>
      </c>
    </row>
    <row r="64" spans="1:31" ht="26">
      <c r="A64" s="1057"/>
      <c r="B64" s="1082"/>
      <c r="C64" s="1084"/>
      <c r="D64" s="428">
        <f>L_CViec!Q$17</f>
        <v>5</v>
      </c>
      <c r="E64" s="429" t="str">
        <f>L_CViec!R$17</f>
        <v>2KTV4, 2KTV6, 1KTV10</v>
      </c>
      <c r="F64" s="418">
        <f>L_CViec!S$17</f>
        <v>1718502.5000000005</v>
      </c>
      <c r="G64" s="914">
        <v>2</v>
      </c>
      <c r="H64" s="424">
        <v>1.97</v>
      </c>
      <c r="I64" s="425">
        <f t="shared" si="9"/>
        <v>4231812.4062500009</v>
      </c>
      <c r="J64" s="425">
        <f t="shared" si="10"/>
        <v>119810.09615384616</v>
      </c>
      <c r="K64" s="425">
        <f t="shared" ref="K64:K117" si="22">$D64*H64*$J$6</f>
        <v>0</v>
      </c>
      <c r="L64" s="426">
        <v>2.81</v>
      </c>
      <c r="M64" s="425">
        <f t="shared" si="11"/>
        <v>965798.40500000026</v>
      </c>
      <c r="N64" s="425">
        <f t="shared" si="12"/>
        <v>27343.461538461539</v>
      </c>
      <c r="O64" s="425">
        <f t="shared" si="13"/>
        <v>0</v>
      </c>
      <c r="P64" s="427">
        <v>3.37</v>
      </c>
      <c r="Q64" s="425">
        <f t="shared" si="14"/>
        <v>289567.67125000007</v>
      </c>
      <c r="R64" s="425">
        <f t="shared" si="15"/>
        <v>8198.173076923078</v>
      </c>
      <c r="S64" s="425">
        <f t="shared" si="5"/>
        <v>0</v>
      </c>
      <c r="T64" s="427">
        <v>4.4800000000000004</v>
      </c>
      <c r="U64" s="425">
        <f t="shared" si="16"/>
        <v>96236.140000000043</v>
      </c>
      <c r="V64" s="425">
        <f t="shared" si="17"/>
        <v>2724.6153846153848</v>
      </c>
      <c r="W64" s="425">
        <f t="shared" si="6"/>
        <v>0</v>
      </c>
      <c r="X64" s="427">
        <v>14.8</v>
      </c>
      <c r="Y64" s="425">
        <f t="shared" si="18"/>
        <v>35324.773611111123</v>
      </c>
      <c r="Z64" s="425">
        <f t="shared" si="19"/>
        <v>1000.1068376068375</v>
      </c>
      <c r="AA64" s="425">
        <f t="shared" si="7"/>
        <v>0</v>
      </c>
      <c r="AB64" s="427">
        <v>26.9</v>
      </c>
      <c r="AC64" s="425">
        <f t="shared" si="20"/>
        <v>16051.290711805557</v>
      </c>
      <c r="AD64" s="425">
        <f t="shared" si="21"/>
        <v>454.44043803418805</v>
      </c>
      <c r="AE64" s="425">
        <f t="shared" si="8"/>
        <v>0</v>
      </c>
    </row>
    <row r="65" spans="1:31" ht="26">
      <c r="A65" s="1057"/>
      <c r="B65" s="1082"/>
      <c r="C65" s="1084"/>
      <c r="D65" s="428">
        <f>L_CViec!Q$17</f>
        <v>5</v>
      </c>
      <c r="E65" s="429" t="str">
        <f>L_CViec!R$17</f>
        <v>2KTV4, 2KTV6, 1KTV10</v>
      </c>
      <c r="F65" s="418">
        <f>L_CViec!S$17</f>
        <v>1718502.5000000005</v>
      </c>
      <c r="G65" s="914">
        <v>3</v>
      </c>
      <c r="H65" s="424">
        <v>2.17</v>
      </c>
      <c r="I65" s="425">
        <f t="shared" si="9"/>
        <v>4661438.0312500009</v>
      </c>
      <c r="J65" s="425">
        <f t="shared" si="10"/>
        <v>131973.55769230769</v>
      </c>
      <c r="K65" s="425">
        <f t="shared" si="22"/>
        <v>0</v>
      </c>
      <c r="L65" s="426">
        <v>3.37</v>
      </c>
      <c r="M65" s="425">
        <f t="shared" si="11"/>
        <v>1158270.6850000003</v>
      </c>
      <c r="N65" s="425">
        <f t="shared" si="12"/>
        <v>32792.692307692312</v>
      </c>
      <c r="O65" s="425">
        <f t="shared" si="13"/>
        <v>0</v>
      </c>
      <c r="P65" s="427">
        <v>4.04</v>
      </c>
      <c r="Q65" s="425">
        <f t="shared" si="14"/>
        <v>347137.50500000006</v>
      </c>
      <c r="R65" s="425">
        <f t="shared" si="15"/>
        <v>9828.076923076922</v>
      </c>
      <c r="S65" s="425">
        <f t="shared" si="5"/>
        <v>0</v>
      </c>
      <c r="T65" s="427">
        <v>5.38</v>
      </c>
      <c r="U65" s="425">
        <f t="shared" si="16"/>
        <v>115569.29312500004</v>
      </c>
      <c r="V65" s="425">
        <f t="shared" si="17"/>
        <v>3271.9711538461538</v>
      </c>
      <c r="W65" s="425">
        <f t="shared" si="6"/>
        <v>0</v>
      </c>
      <c r="X65" s="427">
        <v>17.75</v>
      </c>
      <c r="Y65" s="425">
        <f t="shared" si="18"/>
        <v>42365.860243055562</v>
      </c>
      <c r="Z65" s="425">
        <f t="shared" si="19"/>
        <v>1199.4524572649573</v>
      </c>
      <c r="AA65" s="425">
        <f t="shared" si="7"/>
        <v>0</v>
      </c>
      <c r="AB65" s="427">
        <v>32.28</v>
      </c>
      <c r="AC65" s="425">
        <f t="shared" si="20"/>
        <v>19261.548854166675</v>
      </c>
      <c r="AD65" s="425">
        <f t="shared" si="21"/>
        <v>545.32852564102564</v>
      </c>
      <c r="AE65" s="425">
        <f t="shared" si="8"/>
        <v>0</v>
      </c>
    </row>
    <row r="66" spans="1:31" ht="26">
      <c r="A66" s="1057"/>
      <c r="B66" s="1082"/>
      <c r="C66" s="1084"/>
      <c r="D66" s="428">
        <f>L_CViec!Q$17</f>
        <v>5</v>
      </c>
      <c r="E66" s="429" t="str">
        <f>L_CViec!R$17</f>
        <v>2KTV4, 2KTV6, 1KTV10</v>
      </c>
      <c r="F66" s="418">
        <f>L_CViec!S$17</f>
        <v>1718502.5000000005</v>
      </c>
      <c r="G66" s="914">
        <v>4</v>
      </c>
      <c r="H66" s="424">
        <v>2.4300000000000002</v>
      </c>
      <c r="I66" s="425">
        <f t="shared" si="9"/>
        <v>5219951.3437500019</v>
      </c>
      <c r="J66" s="425">
        <f t="shared" si="10"/>
        <v>147786.05769230769</v>
      </c>
      <c r="K66" s="425">
        <f t="shared" si="22"/>
        <v>0</v>
      </c>
      <c r="L66" s="426">
        <v>4.04</v>
      </c>
      <c r="M66" s="425">
        <f t="shared" si="11"/>
        <v>1388550.0200000003</v>
      </c>
      <c r="N66" s="425">
        <f t="shared" si="12"/>
        <v>39312.307692307688</v>
      </c>
      <c r="O66" s="425">
        <f t="shared" si="13"/>
        <v>0</v>
      </c>
      <c r="P66" s="427">
        <v>4.8499999999999996</v>
      </c>
      <c r="Q66" s="425">
        <f t="shared" si="14"/>
        <v>416736.85625000007</v>
      </c>
      <c r="R66" s="425">
        <f t="shared" si="15"/>
        <v>11798.557692307693</v>
      </c>
      <c r="S66" s="425">
        <f t="shared" si="5"/>
        <v>0</v>
      </c>
      <c r="T66" s="427">
        <v>6.45</v>
      </c>
      <c r="U66" s="425">
        <f t="shared" si="16"/>
        <v>138554.26406250003</v>
      </c>
      <c r="V66" s="425">
        <f t="shared" si="17"/>
        <v>3922.7163461538462</v>
      </c>
      <c r="W66" s="425">
        <f t="shared" si="6"/>
        <v>0</v>
      </c>
      <c r="X66" s="427">
        <v>21.31</v>
      </c>
      <c r="Y66" s="425">
        <f t="shared" si="18"/>
        <v>50862.900381944455</v>
      </c>
      <c r="Z66" s="425">
        <f t="shared" si="19"/>
        <v>1440.0186965811968</v>
      </c>
      <c r="AA66" s="425">
        <f t="shared" si="7"/>
        <v>0</v>
      </c>
      <c r="AB66" s="427">
        <v>38.74</v>
      </c>
      <c r="AC66" s="425">
        <f t="shared" si="20"/>
        <v>23116.245434027787</v>
      </c>
      <c r="AD66" s="425">
        <f t="shared" si="21"/>
        <v>654.46180555555554</v>
      </c>
      <c r="AE66" s="425">
        <f t="shared" si="8"/>
        <v>0</v>
      </c>
    </row>
    <row r="67" spans="1:31" s="387" customFormat="1" ht="26">
      <c r="A67" s="1057"/>
      <c r="B67" s="1082"/>
      <c r="C67" s="1084"/>
      <c r="D67" s="428">
        <f>L_CViec!Q$17</f>
        <v>5</v>
      </c>
      <c r="E67" s="429" t="str">
        <f>L_CViec!R$17</f>
        <v>2KTV4, 2KTV6, 1KTV10</v>
      </c>
      <c r="F67" s="418">
        <f>L_CViec!S$17</f>
        <v>1718502.5000000005</v>
      </c>
      <c r="G67" s="914" t="s">
        <v>13</v>
      </c>
      <c r="H67" s="424"/>
      <c r="I67" s="425">
        <f t="shared" si="9"/>
        <v>0</v>
      </c>
      <c r="J67" s="425">
        <f t="shared" si="10"/>
        <v>0</v>
      </c>
      <c r="K67" s="425">
        <f t="shared" si="22"/>
        <v>0</v>
      </c>
      <c r="L67" s="426">
        <v>4.84</v>
      </c>
      <c r="M67" s="425">
        <f t="shared" si="11"/>
        <v>1663510.4200000006</v>
      </c>
      <c r="N67" s="425">
        <f t="shared" si="12"/>
        <v>47096.923076923078</v>
      </c>
      <c r="O67" s="425">
        <f t="shared" si="13"/>
        <v>0</v>
      </c>
      <c r="P67" s="427">
        <v>5.81</v>
      </c>
      <c r="Q67" s="425">
        <f t="shared" si="14"/>
        <v>499224.97625000012</v>
      </c>
      <c r="R67" s="425">
        <f t="shared" si="15"/>
        <v>14133.942307692305</v>
      </c>
      <c r="S67" s="425">
        <f t="shared" si="5"/>
        <v>0</v>
      </c>
      <c r="T67" s="427">
        <v>7.75</v>
      </c>
      <c r="U67" s="425">
        <f t="shared" si="16"/>
        <v>166479.92968750003</v>
      </c>
      <c r="V67" s="425">
        <f t="shared" si="17"/>
        <v>4713.3413461538466</v>
      </c>
      <c r="W67" s="425">
        <f t="shared" si="6"/>
        <v>0</v>
      </c>
      <c r="X67" s="427"/>
      <c r="Y67" s="425">
        <f t="shared" si="18"/>
        <v>0</v>
      </c>
      <c r="Z67" s="425">
        <f t="shared" si="19"/>
        <v>0</v>
      </c>
      <c r="AA67" s="425">
        <f t="shared" si="7"/>
        <v>0</v>
      </c>
      <c r="AB67" s="427"/>
      <c r="AC67" s="425">
        <f t="shared" si="20"/>
        <v>0</v>
      </c>
      <c r="AD67" s="425">
        <f t="shared" si="21"/>
        <v>0</v>
      </c>
      <c r="AE67" s="425">
        <f t="shared" si="8"/>
        <v>0</v>
      </c>
    </row>
    <row r="68" spans="1:31">
      <c r="A68" s="1057">
        <v>1.3</v>
      </c>
      <c r="B68" s="1082" t="str">
        <f>L_CViec!B18</f>
        <v>Xác định ranh giới thửa đất trên thực địa</v>
      </c>
      <c r="C68" s="1084"/>
      <c r="D68" s="428">
        <f>L_CViec!Q$18</f>
        <v>2</v>
      </c>
      <c r="E68" s="429" t="str">
        <f>L_CViec!R$18</f>
        <v>2KTV6</v>
      </c>
      <c r="F68" s="418">
        <f>L_CViec!S$18</f>
        <v>687401.00000000012</v>
      </c>
      <c r="G68" s="914">
        <v>1</v>
      </c>
      <c r="H68" s="424">
        <v>9.26</v>
      </c>
      <c r="I68" s="425">
        <f t="shared" si="9"/>
        <v>7956666.5750000011</v>
      </c>
      <c r="J68" s="425">
        <f t="shared" si="10"/>
        <v>225267.30769230769</v>
      </c>
      <c r="K68" s="425">
        <f t="shared" si="22"/>
        <v>0</v>
      </c>
      <c r="L68" s="426">
        <v>19.62</v>
      </c>
      <c r="M68" s="425">
        <f t="shared" si="11"/>
        <v>2697361.5240000002</v>
      </c>
      <c r="N68" s="425">
        <f t="shared" si="12"/>
        <v>76367.076923076922</v>
      </c>
      <c r="O68" s="425">
        <f t="shared" si="13"/>
        <v>0</v>
      </c>
      <c r="P68" s="427">
        <v>18</v>
      </c>
      <c r="Q68" s="425">
        <f t="shared" si="14"/>
        <v>618660.9</v>
      </c>
      <c r="R68" s="425">
        <f t="shared" si="15"/>
        <v>17515.384615384613</v>
      </c>
      <c r="S68" s="425">
        <f t="shared" si="5"/>
        <v>0</v>
      </c>
      <c r="T68" s="427">
        <v>30</v>
      </c>
      <c r="U68" s="425">
        <f t="shared" si="16"/>
        <v>257775.37500000003</v>
      </c>
      <c r="V68" s="425">
        <f t="shared" si="17"/>
        <v>7298.0769230769238</v>
      </c>
      <c r="W68" s="425">
        <f t="shared" si="6"/>
        <v>0</v>
      </c>
      <c r="X68" s="427">
        <v>82.5</v>
      </c>
      <c r="Y68" s="425">
        <f t="shared" si="18"/>
        <v>78764.697916666686</v>
      </c>
      <c r="Z68" s="425">
        <f t="shared" si="19"/>
        <v>2229.9679487179487</v>
      </c>
      <c r="AA68" s="425">
        <f t="shared" si="7"/>
        <v>0</v>
      </c>
      <c r="AB68" s="427">
        <v>187.5</v>
      </c>
      <c r="AC68" s="425">
        <f t="shared" si="20"/>
        <v>44752.669270833343</v>
      </c>
      <c r="AD68" s="425">
        <f t="shared" si="21"/>
        <v>1267.0272435897436</v>
      </c>
      <c r="AE68" s="425">
        <f t="shared" si="8"/>
        <v>0</v>
      </c>
    </row>
    <row r="69" spans="1:31">
      <c r="A69" s="1057"/>
      <c r="B69" s="1082"/>
      <c r="C69" s="1084"/>
      <c r="D69" s="428"/>
      <c r="E69" s="429"/>
      <c r="F69" s="418"/>
      <c r="G69" s="914"/>
      <c r="H69" s="424">
        <v>9.26</v>
      </c>
      <c r="I69" s="425">
        <f>H69*$J$7</f>
        <v>1684607.6923076925</v>
      </c>
      <c r="J69" s="425"/>
      <c r="K69" s="425">
        <f t="shared" si="22"/>
        <v>0</v>
      </c>
      <c r="L69" s="426">
        <v>19.62</v>
      </c>
      <c r="M69" s="425">
        <f>L69*$J$7/6.25</f>
        <v>571092.92307692312</v>
      </c>
      <c r="N69" s="425"/>
      <c r="O69" s="425">
        <f>$D69*L69*$J$6</f>
        <v>0</v>
      </c>
      <c r="P69" s="427">
        <v>18</v>
      </c>
      <c r="Q69" s="425">
        <f>P69*$J$7/25</f>
        <v>130984.6153846154</v>
      </c>
      <c r="R69" s="425"/>
      <c r="S69" s="425">
        <f t="shared" si="5"/>
        <v>0</v>
      </c>
      <c r="T69" s="427">
        <v>30</v>
      </c>
      <c r="U69" s="425">
        <f>T69*$J$7/100</f>
        <v>54576.923076923078</v>
      </c>
      <c r="V69" s="425"/>
      <c r="W69" s="425">
        <f t="shared" si="6"/>
        <v>0</v>
      </c>
      <c r="X69" s="427">
        <v>82.5</v>
      </c>
      <c r="Y69" s="425">
        <f>X69*$J$7/900</f>
        <v>16676.282051282054</v>
      </c>
      <c r="Z69" s="425"/>
      <c r="AA69" s="425">
        <f t="shared" si="7"/>
        <v>0</v>
      </c>
      <c r="AB69" s="427">
        <v>187.5</v>
      </c>
      <c r="AC69" s="425">
        <f>AB69*$J$7/3600</f>
        <v>9475.1602564102577</v>
      </c>
      <c r="AD69" s="425"/>
      <c r="AE69" s="425">
        <f t="shared" si="8"/>
        <v>0</v>
      </c>
    </row>
    <row r="70" spans="1:31">
      <c r="A70" s="1057"/>
      <c r="B70" s="1082"/>
      <c r="C70" s="1084"/>
      <c r="D70" s="428">
        <f>L_CViec!Q$18</f>
        <v>2</v>
      </c>
      <c r="E70" s="429" t="str">
        <f>L_CViec!R$18</f>
        <v>2KTV6</v>
      </c>
      <c r="F70" s="418">
        <f>L_CViec!S$18</f>
        <v>687401.00000000012</v>
      </c>
      <c r="G70" s="914">
        <v>2</v>
      </c>
      <c r="H70" s="424">
        <v>11.11</v>
      </c>
      <c r="I70" s="425">
        <f t="shared" si="9"/>
        <v>9546281.3875000011</v>
      </c>
      <c r="J70" s="425">
        <f>$D70*H70*$J$4*$J$3</f>
        <v>270272.11538461538</v>
      </c>
      <c r="K70" s="425">
        <f t="shared" si="22"/>
        <v>0</v>
      </c>
      <c r="L70" s="426">
        <v>23.54</v>
      </c>
      <c r="M70" s="425">
        <f>$F70*L70*$J$3/6.25</f>
        <v>3236283.9080000008</v>
      </c>
      <c r="N70" s="425">
        <f>$D70*L70*$J$4*$J$3/6.25</f>
        <v>91624.923076923078</v>
      </c>
      <c r="O70" s="425">
        <f t="shared" ref="O70:O107" si="23">$D70*L70*$J$6/6.25</f>
        <v>0</v>
      </c>
      <c r="P70" s="427">
        <v>21.6</v>
      </c>
      <c r="Q70" s="425">
        <f>$F70*P70*$J$3/25</f>
        <v>742393.08000000019</v>
      </c>
      <c r="R70" s="425">
        <f>$D70*P70*$J$4*$J$3/25</f>
        <v>21018.461538461539</v>
      </c>
      <c r="S70" s="425">
        <f t="shared" si="5"/>
        <v>0</v>
      </c>
      <c r="T70" s="427">
        <v>36</v>
      </c>
      <c r="U70" s="425">
        <f>$F70*T70*$J$3/100</f>
        <v>309330.45</v>
      </c>
      <c r="V70" s="425">
        <f>$D70*T70*$J$4*$J$3/100</f>
        <v>8757.6923076923067</v>
      </c>
      <c r="W70" s="425">
        <f t="shared" si="6"/>
        <v>0</v>
      </c>
      <c r="X70" s="427">
        <v>99</v>
      </c>
      <c r="Y70" s="425">
        <f>$F70*X70*$J$3/900</f>
        <v>94517.637500000012</v>
      </c>
      <c r="Z70" s="425">
        <f>$D70*X70*$J$4*$J$3/900</f>
        <v>2675.9615384615386</v>
      </c>
      <c r="AA70" s="425">
        <f t="shared" si="7"/>
        <v>0</v>
      </c>
      <c r="AB70" s="427">
        <v>225</v>
      </c>
      <c r="AC70" s="425">
        <f>$F70*AB70*$J$3/3600</f>
        <v>53703.203125000007</v>
      </c>
      <c r="AD70" s="425">
        <f>$D70*AB70*$J$4*$J$3/3600</f>
        <v>1520.4326923076922</v>
      </c>
      <c r="AE70" s="425">
        <f t="shared" si="8"/>
        <v>0</v>
      </c>
    </row>
    <row r="71" spans="1:31">
      <c r="A71" s="1057"/>
      <c r="B71" s="1082"/>
      <c r="C71" s="1084"/>
      <c r="D71" s="428"/>
      <c r="E71" s="429"/>
      <c r="F71" s="418"/>
      <c r="G71" s="914"/>
      <c r="H71" s="424">
        <v>11.11</v>
      </c>
      <c r="I71" s="425">
        <f>H71*$J$7</f>
        <v>2021165.3846153847</v>
      </c>
      <c r="J71" s="425"/>
      <c r="K71" s="425">
        <f t="shared" si="22"/>
        <v>0</v>
      </c>
      <c r="L71" s="426">
        <v>23.54</v>
      </c>
      <c r="M71" s="425">
        <f>L71*$J$7/6.25</f>
        <v>685195.07692307699</v>
      </c>
      <c r="N71" s="425"/>
      <c r="O71" s="425">
        <f t="shared" si="23"/>
        <v>0</v>
      </c>
      <c r="P71" s="427">
        <v>21.6</v>
      </c>
      <c r="Q71" s="425">
        <f>P71*$J$7/25</f>
        <v>157181.53846153847</v>
      </c>
      <c r="R71" s="425"/>
      <c r="S71" s="425">
        <f t="shared" si="5"/>
        <v>0</v>
      </c>
      <c r="T71" s="427">
        <v>36</v>
      </c>
      <c r="U71" s="425">
        <f>T71*$J$7/100</f>
        <v>65492.307692307702</v>
      </c>
      <c r="V71" s="425"/>
      <c r="W71" s="425">
        <f t="shared" si="6"/>
        <v>0</v>
      </c>
      <c r="X71" s="427">
        <v>99</v>
      </c>
      <c r="Y71" s="425">
        <f>X71*$J$7/900</f>
        <v>20011.538461538461</v>
      </c>
      <c r="Z71" s="425"/>
      <c r="AA71" s="425">
        <f t="shared" si="7"/>
        <v>0</v>
      </c>
      <c r="AB71" s="427">
        <v>225</v>
      </c>
      <c r="AC71" s="425">
        <f>AB71*$J$7/3600</f>
        <v>11370.192307692309</v>
      </c>
      <c r="AD71" s="425"/>
      <c r="AE71" s="425">
        <f t="shared" si="8"/>
        <v>0</v>
      </c>
    </row>
    <row r="72" spans="1:31">
      <c r="A72" s="1057"/>
      <c r="B72" s="1082"/>
      <c r="C72" s="1084"/>
      <c r="D72" s="428">
        <f>L_CViec!Q$18</f>
        <v>2</v>
      </c>
      <c r="E72" s="429" t="str">
        <f>L_CViec!R$18</f>
        <v>2KTV6</v>
      </c>
      <c r="F72" s="418">
        <f>L_CViec!S$18</f>
        <v>687401.00000000012</v>
      </c>
      <c r="G72" s="914">
        <v>3</v>
      </c>
      <c r="H72" s="424">
        <v>12.91</v>
      </c>
      <c r="I72" s="425">
        <f t="shared" si="9"/>
        <v>11092933.637500003</v>
      </c>
      <c r="J72" s="425">
        <f>$D72*H72*$J$4*$J$3</f>
        <v>314060.57692307694</v>
      </c>
      <c r="K72" s="425">
        <f t="shared" si="22"/>
        <v>0</v>
      </c>
      <c r="L72" s="426">
        <v>28.25</v>
      </c>
      <c r="M72" s="425">
        <f>$F72*L72*$J$3/6.25</f>
        <v>3883815.6500000004</v>
      </c>
      <c r="N72" s="425">
        <f>$D72*L72*$J$4*$J$3/6.25</f>
        <v>109957.6923076923</v>
      </c>
      <c r="O72" s="425">
        <f t="shared" si="23"/>
        <v>0</v>
      </c>
      <c r="P72" s="427">
        <v>33.44</v>
      </c>
      <c r="Q72" s="425">
        <f>$F72*P72*$J$3/25</f>
        <v>1149334.4720000001</v>
      </c>
      <c r="R72" s="425">
        <f>$D72*P72*$J$4*$J$3/25</f>
        <v>32539.692307692305</v>
      </c>
      <c r="S72" s="425">
        <f t="shared" si="5"/>
        <v>0</v>
      </c>
      <c r="T72" s="427">
        <v>43.2</v>
      </c>
      <c r="U72" s="425">
        <f>$F72*T72*$J$3/100</f>
        <v>371196.5400000001</v>
      </c>
      <c r="V72" s="425">
        <f>$D72*T72*$J$4*$J$3/100</f>
        <v>10509.23076923077</v>
      </c>
      <c r="W72" s="425">
        <f t="shared" si="6"/>
        <v>0</v>
      </c>
      <c r="X72" s="427">
        <v>118.8</v>
      </c>
      <c r="Y72" s="425">
        <f>$F72*X72*$J$3/900</f>
        <v>113421.16500000002</v>
      </c>
      <c r="Z72" s="425">
        <f>$D72*X72*$J$4*$J$3/900</f>
        <v>3211.1538461538457</v>
      </c>
      <c r="AA72" s="425">
        <f t="shared" si="7"/>
        <v>0</v>
      </c>
      <c r="AB72" s="427">
        <v>270</v>
      </c>
      <c r="AC72" s="425">
        <f>$F72*AB72*$J$3/3600</f>
        <v>64443.843750000007</v>
      </c>
      <c r="AD72" s="425">
        <f>$D72*AB72*$J$4*$J$3/3600</f>
        <v>1824.5192307692305</v>
      </c>
      <c r="AE72" s="425">
        <f t="shared" si="8"/>
        <v>0</v>
      </c>
    </row>
    <row r="73" spans="1:31">
      <c r="A73" s="1057"/>
      <c r="B73" s="1082"/>
      <c r="C73" s="1084"/>
      <c r="D73" s="428"/>
      <c r="E73" s="429"/>
      <c r="F73" s="418"/>
      <c r="G73" s="914"/>
      <c r="H73" s="424">
        <v>12.91</v>
      </c>
      <c r="I73" s="425">
        <f>H73*$J$7</f>
        <v>2348626.9230769235</v>
      </c>
      <c r="J73" s="425"/>
      <c r="K73" s="425">
        <f t="shared" si="22"/>
        <v>0</v>
      </c>
      <c r="L73" s="426">
        <v>28.25</v>
      </c>
      <c r="M73" s="425">
        <f>L73*$J$7/6.25</f>
        <v>822292.30769230763</v>
      </c>
      <c r="N73" s="425"/>
      <c r="O73" s="425">
        <f t="shared" si="23"/>
        <v>0</v>
      </c>
      <c r="P73" s="427">
        <v>33.44</v>
      </c>
      <c r="Q73" s="425">
        <f>P73*$J$7/25</f>
        <v>243340.30769230769</v>
      </c>
      <c r="R73" s="425"/>
      <c r="S73" s="425">
        <f t="shared" si="5"/>
        <v>0</v>
      </c>
      <c r="T73" s="427">
        <v>43.2</v>
      </c>
      <c r="U73" s="425">
        <f>T73*$J$7/100</f>
        <v>78590.769230769234</v>
      </c>
      <c r="V73" s="425"/>
      <c r="W73" s="425">
        <f t="shared" si="6"/>
        <v>0</v>
      </c>
      <c r="X73" s="427">
        <v>118.8</v>
      </c>
      <c r="Y73" s="425">
        <f>X73*$J$7/900</f>
        <v>24013.846153846156</v>
      </c>
      <c r="Z73" s="425"/>
      <c r="AA73" s="425">
        <f t="shared" si="7"/>
        <v>0</v>
      </c>
      <c r="AB73" s="427">
        <v>270</v>
      </c>
      <c r="AC73" s="425">
        <f>AB73*$J$7/3600</f>
        <v>13644.230769230771</v>
      </c>
      <c r="AD73" s="425"/>
      <c r="AE73" s="425">
        <f t="shared" si="8"/>
        <v>0</v>
      </c>
    </row>
    <row r="74" spans="1:31">
      <c r="A74" s="1057"/>
      <c r="B74" s="1082"/>
      <c r="C74" s="1084"/>
      <c r="D74" s="428">
        <f>L_CViec!Q$18</f>
        <v>2</v>
      </c>
      <c r="E74" s="429" t="str">
        <f>L_CViec!R$18</f>
        <v>2KTV6</v>
      </c>
      <c r="F74" s="418">
        <f>L_CViec!S$18</f>
        <v>687401.00000000012</v>
      </c>
      <c r="G74" s="914">
        <v>4</v>
      </c>
      <c r="H74" s="424">
        <v>14.67</v>
      </c>
      <c r="I74" s="425">
        <f t="shared" si="9"/>
        <v>12605215.837500002</v>
      </c>
      <c r="J74" s="425">
        <f>$D74*H74*$J$4*$J$3</f>
        <v>356875.96153846156</v>
      </c>
      <c r="K74" s="425">
        <f t="shared" si="22"/>
        <v>0</v>
      </c>
      <c r="L74" s="426">
        <v>33.9</v>
      </c>
      <c r="M74" s="425">
        <f>$F74*L74*$J$3/6.25</f>
        <v>4660578.78</v>
      </c>
      <c r="N74" s="425">
        <f>$D74*L74*$J$4*$J$3/6.25</f>
        <v>131949.23076923075</v>
      </c>
      <c r="O74" s="425">
        <f t="shared" si="23"/>
        <v>0</v>
      </c>
      <c r="P74" s="427">
        <v>52.3</v>
      </c>
      <c r="Q74" s="425">
        <f>$F74*P74*$J$3/25</f>
        <v>1797553.6150000002</v>
      </c>
      <c r="R74" s="425">
        <f>$D74*P74*$J$4*$J$3/25</f>
        <v>50891.923076923078</v>
      </c>
      <c r="S74" s="425">
        <f t="shared" si="5"/>
        <v>0</v>
      </c>
      <c r="T74" s="427">
        <v>58.32</v>
      </c>
      <c r="U74" s="425">
        <f>$F74*T74*$J$3/100</f>
        <v>501115.32900000009</v>
      </c>
      <c r="V74" s="425">
        <f>$D74*T74*$J$4*$J$3/100</f>
        <v>14187.461538461537</v>
      </c>
      <c r="W74" s="425">
        <f t="shared" si="6"/>
        <v>0</v>
      </c>
      <c r="X74" s="427">
        <v>142.56</v>
      </c>
      <c r="Y74" s="425">
        <f>$F74*X74*$J$3/900</f>
        <v>136105.39800000002</v>
      </c>
      <c r="Z74" s="425">
        <f>$D74*X74*$J$4*$J$3/900</f>
        <v>3853.3846153846157</v>
      </c>
      <c r="AA74" s="425">
        <f t="shared" si="7"/>
        <v>0</v>
      </c>
      <c r="AB74" s="427">
        <v>324</v>
      </c>
      <c r="AC74" s="425">
        <f>$F74*AB74*$J$3/3600</f>
        <v>77332.612500000017</v>
      </c>
      <c r="AD74" s="425">
        <f>$D74*AB74*$J$4*$J$3/3600</f>
        <v>2189.4230769230767</v>
      </c>
      <c r="AE74" s="425">
        <f t="shared" si="8"/>
        <v>0</v>
      </c>
    </row>
    <row r="75" spans="1:31">
      <c r="A75" s="1057"/>
      <c r="B75" s="1082"/>
      <c r="C75" s="1084"/>
      <c r="D75" s="428"/>
      <c r="E75" s="429"/>
      <c r="F75" s="418"/>
      <c r="G75" s="914"/>
      <c r="H75" s="424">
        <v>14.67</v>
      </c>
      <c r="I75" s="425">
        <f>H75*$J$7</f>
        <v>2668811.5384615385</v>
      </c>
      <c r="J75" s="425"/>
      <c r="K75" s="425">
        <f t="shared" si="22"/>
        <v>0</v>
      </c>
      <c r="L75" s="426">
        <v>33.9</v>
      </c>
      <c r="M75" s="425">
        <f>L75*$J$7/6.25</f>
        <v>986750.76923076925</v>
      </c>
      <c r="N75" s="425"/>
      <c r="O75" s="425">
        <f t="shared" si="23"/>
        <v>0</v>
      </c>
      <c r="P75" s="427">
        <v>52.3</v>
      </c>
      <c r="Q75" s="425">
        <f>P75*$J$7/25</f>
        <v>380583.07692307694</v>
      </c>
      <c r="R75" s="425"/>
      <c r="S75" s="425">
        <f t="shared" si="5"/>
        <v>0</v>
      </c>
      <c r="T75" s="427">
        <v>58.32</v>
      </c>
      <c r="U75" s="425">
        <f>T75*$J$7/100</f>
        <v>106097.53846153848</v>
      </c>
      <c r="V75" s="425"/>
      <c r="W75" s="425">
        <f t="shared" si="6"/>
        <v>0</v>
      </c>
      <c r="X75" s="427">
        <v>142.56</v>
      </c>
      <c r="Y75" s="425">
        <f>X75*$J$7/900</f>
        <v>28816.615384615387</v>
      </c>
      <c r="Z75" s="425"/>
      <c r="AA75" s="425">
        <f t="shared" si="7"/>
        <v>0</v>
      </c>
      <c r="AB75" s="427">
        <v>324</v>
      </c>
      <c r="AC75" s="425">
        <f>AB75*$J$7/3600</f>
        <v>16373.076923076924</v>
      </c>
      <c r="AD75" s="425"/>
      <c r="AE75" s="425">
        <f t="shared" si="8"/>
        <v>0</v>
      </c>
    </row>
    <row r="76" spans="1:31">
      <c r="A76" s="1057"/>
      <c r="B76" s="1082"/>
      <c r="C76" s="1084"/>
      <c r="D76" s="428">
        <f>L_CViec!Q$18</f>
        <v>2</v>
      </c>
      <c r="E76" s="429" t="str">
        <f>L_CViec!R$18</f>
        <v>2KTV6</v>
      </c>
      <c r="F76" s="418">
        <f>L_CViec!S$18</f>
        <v>687401.00000000012</v>
      </c>
      <c r="G76" s="914">
        <v>5</v>
      </c>
      <c r="H76" s="424"/>
      <c r="I76" s="425">
        <f t="shared" si="9"/>
        <v>0</v>
      </c>
      <c r="J76" s="425">
        <f>$D76*H76*$J$4*$J$3</f>
        <v>0</v>
      </c>
      <c r="K76" s="425">
        <f t="shared" si="22"/>
        <v>0</v>
      </c>
      <c r="L76" s="426">
        <v>40.68</v>
      </c>
      <c r="M76" s="425">
        <f>$F76*L76*$J$3/6.25</f>
        <v>5592694.5360000003</v>
      </c>
      <c r="N76" s="425">
        <f>$D76*L76*$J$4*$J$3/6.25</f>
        <v>158339.07692307691</v>
      </c>
      <c r="O76" s="425">
        <f t="shared" si="23"/>
        <v>0</v>
      </c>
      <c r="P76" s="427">
        <v>70.61</v>
      </c>
      <c r="Q76" s="425">
        <f>$F76*P76*$J$3/25</f>
        <v>2426869.2305000005</v>
      </c>
      <c r="R76" s="425">
        <f>$D76*P76*$J$4*$J$3/25</f>
        <v>68708.961538461546</v>
      </c>
      <c r="S76" s="425">
        <f t="shared" si="5"/>
        <v>0</v>
      </c>
      <c r="T76" s="427">
        <v>78.73</v>
      </c>
      <c r="U76" s="425">
        <f>$F76*T76*$J$3/100</f>
        <v>676488.5091250001</v>
      </c>
      <c r="V76" s="425">
        <f>$D76*T76*$J$4*$J$3/100</f>
        <v>19152.586538461539</v>
      </c>
      <c r="W76" s="425">
        <f t="shared" si="6"/>
        <v>0</v>
      </c>
      <c r="X76" s="427"/>
      <c r="Y76" s="425">
        <f>$F76*X76*$J$3/900</f>
        <v>0</v>
      </c>
      <c r="Z76" s="425">
        <f>$D76*X76*$J$4*$J$3/900</f>
        <v>0</v>
      </c>
      <c r="AA76" s="425">
        <f t="shared" si="7"/>
        <v>0</v>
      </c>
      <c r="AB76" s="427"/>
      <c r="AC76" s="425">
        <f>$F76*AB76*$J$3/3600</f>
        <v>0</v>
      </c>
      <c r="AD76" s="425">
        <f>$D76*AB76*$J$4*$J$3/3600</f>
        <v>0</v>
      </c>
      <c r="AE76" s="425">
        <f t="shared" si="8"/>
        <v>0</v>
      </c>
    </row>
    <row r="77" spans="1:31" s="387" customFormat="1" ht="13.5">
      <c r="A77" s="1057"/>
      <c r="B77" s="1082"/>
      <c r="C77" s="1084"/>
      <c r="D77" s="428"/>
      <c r="E77" s="429"/>
      <c r="F77" s="418"/>
      <c r="G77" s="914"/>
      <c r="H77" s="424"/>
      <c r="I77" s="425">
        <f>H77*$J$7</f>
        <v>0</v>
      </c>
      <c r="J77" s="425"/>
      <c r="K77" s="425">
        <f t="shared" si="22"/>
        <v>0</v>
      </c>
      <c r="L77" s="426">
        <v>40.68</v>
      </c>
      <c r="M77" s="425">
        <f>L77*$J$7/6.25</f>
        <v>1184100.9230769232</v>
      </c>
      <c r="N77" s="425"/>
      <c r="O77" s="425">
        <f t="shared" si="23"/>
        <v>0</v>
      </c>
      <c r="P77" s="427">
        <v>70.61</v>
      </c>
      <c r="Q77" s="425">
        <f>P77*$J$7/25</f>
        <v>513823.5384615385</v>
      </c>
      <c r="R77" s="425"/>
      <c r="S77" s="425">
        <f t="shared" si="5"/>
        <v>0</v>
      </c>
      <c r="T77" s="427">
        <v>78.73</v>
      </c>
      <c r="U77" s="425">
        <f>T77*$J$7/100</f>
        <v>143228.03846153847</v>
      </c>
      <c r="V77" s="425"/>
      <c r="W77" s="425">
        <f t="shared" si="6"/>
        <v>0</v>
      </c>
      <c r="X77" s="427"/>
      <c r="Y77" s="425">
        <f>X77*$J$7/900</f>
        <v>0</v>
      </c>
      <c r="Z77" s="425"/>
      <c r="AA77" s="425">
        <f t="shared" si="7"/>
        <v>0</v>
      </c>
      <c r="AB77" s="427"/>
      <c r="AC77" s="425">
        <f>AB77*$J$7/3600</f>
        <v>0</v>
      </c>
      <c r="AD77" s="425"/>
      <c r="AE77" s="425">
        <f t="shared" si="8"/>
        <v>0</v>
      </c>
    </row>
    <row r="78" spans="1:31" ht="26">
      <c r="A78" s="1057">
        <v>1.4</v>
      </c>
      <c r="B78" s="1082" t="str">
        <f>L_CViec!B19</f>
        <v>Đo đạc ranh giới thửa đất và các đối tượng địa lý có liên quan</v>
      </c>
      <c r="C78" s="1084"/>
      <c r="D78" s="428">
        <f>L_CViec!Q$17</f>
        <v>5</v>
      </c>
      <c r="E78" s="429" t="str">
        <f>L_CViec!R$17</f>
        <v>2KTV4, 2KTV6, 1KTV10</v>
      </c>
      <c r="F78" s="418">
        <f>L_CViec!S$19</f>
        <v>1718502.5000000005</v>
      </c>
      <c r="G78" s="914" t="s">
        <v>18</v>
      </c>
      <c r="H78" s="424">
        <v>5.96</v>
      </c>
      <c r="I78" s="425">
        <f t="shared" si="9"/>
        <v>12802843.625000004</v>
      </c>
      <c r="J78" s="425">
        <f>$D78*H78*$J$4*$J$3</f>
        <v>362471.15384615381</v>
      </c>
      <c r="K78" s="425">
        <f t="shared" si="22"/>
        <v>0</v>
      </c>
      <c r="L78" s="426">
        <v>7.75</v>
      </c>
      <c r="M78" s="425">
        <f>$F78*L78*$J$3/6.25</f>
        <v>2663678.8750000005</v>
      </c>
      <c r="N78" s="425">
        <f>$D78*L78*$J$4*$J$3/6.25</f>
        <v>75413.461538461546</v>
      </c>
      <c r="O78" s="425">
        <f t="shared" si="23"/>
        <v>0</v>
      </c>
      <c r="P78" s="427">
        <v>12.35</v>
      </c>
      <c r="Q78" s="425">
        <f>$F78*P78*$J$3/25</f>
        <v>1061175.2937500002</v>
      </c>
      <c r="R78" s="425">
        <f>$D78*P78*$J$4*$J$3/25</f>
        <v>30043.75</v>
      </c>
      <c r="S78" s="425">
        <f t="shared" si="5"/>
        <v>0</v>
      </c>
      <c r="T78" s="427">
        <v>23.75</v>
      </c>
      <c r="U78" s="425">
        <f>$F78*T78*$J$3/100</f>
        <v>510180.42968750006</v>
      </c>
      <c r="V78" s="425">
        <f>$D78*T78*$J$4*$J$3/100</f>
        <v>14444.110576923074</v>
      </c>
      <c r="W78" s="425">
        <f t="shared" si="6"/>
        <v>0</v>
      </c>
      <c r="X78" s="427">
        <v>76.98</v>
      </c>
      <c r="Y78" s="425">
        <f>$F78*X78*$J$3/900</f>
        <v>183736.55895833339</v>
      </c>
      <c r="Z78" s="425">
        <f>$D78*X78*$J$4*$J$3/900</f>
        <v>5201.9070512820508</v>
      </c>
      <c r="AA78" s="425">
        <f t="shared" si="7"/>
        <v>0</v>
      </c>
      <c r="AB78" s="427">
        <v>139.94999999999999</v>
      </c>
      <c r="AC78" s="425">
        <f>$F78*AB78*$J$3/3600</f>
        <v>83508.48085937502</v>
      </c>
      <c r="AD78" s="425">
        <f>$D78*AB78*$J$4*$J$3/3600</f>
        <v>2364.2728365384614</v>
      </c>
      <c r="AE78" s="425">
        <f t="shared" si="8"/>
        <v>0</v>
      </c>
    </row>
    <row r="79" spans="1:31">
      <c r="A79" s="1057"/>
      <c r="B79" s="1082"/>
      <c r="C79" s="1084"/>
      <c r="D79" s="417"/>
      <c r="E79" s="429"/>
      <c r="F79" s="418"/>
      <c r="G79" s="914"/>
      <c r="H79" s="424">
        <v>2.98</v>
      </c>
      <c r="I79" s="425">
        <f>H79*$J$7</f>
        <v>542130.76923076925</v>
      </c>
      <c r="J79" s="425"/>
      <c r="K79" s="425">
        <f t="shared" si="22"/>
        <v>0</v>
      </c>
      <c r="L79" s="426">
        <v>3.72</v>
      </c>
      <c r="M79" s="425">
        <f>L79*$J$7/6.25</f>
        <v>108280.6153846154</v>
      </c>
      <c r="N79" s="425"/>
      <c r="O79" s="425">
        <f t="shared" si="23"/>
        <v>0</v>
      </c>
      <c r="P79" s="427">
        <v>4.9400000000000004</v>
      </c>
      <c r="Q79" s="425">
        <f>P79*$J$7/25</f>
        <v>35948.000000000007</v>
      </c>
      <c r="R79" s="425"/>
      <c r="S79" s="425">
        <f t="shared" si="5"/>
        <v>0</v>
      </c>
      <c r="T79" s="427">
        <v>9.5</v>
      </c>
      <c r="U79" s="425">
        <f>T79*$J$7/100</f>
        <v>17282.692307692309</v>
      </c>
      <c r="V79" s="425"/>
      <c r="W79" s="425">
        <f t="shared" si="6"/>
        <v>0</v>
      </c>
      <c r="X79" s="427">
        <v>30.8</v>
      </c>
      <c r="Y79" s="425">
        <f>X79*$J$7/900</f>
        <v>6225.8119658119667</v>
      </c>
      <c r="Z79" s="425"/>
      <c r="AA79" s="425">
        <f t="shared" si="7"/>
        <v>0</v>
      </c>
      <c r="AB79" s="427">
        <v>56</v>
      </c>
      <c r="AC79" s="425">
        <f>AB79*$J$7/3600</f>
        <v>2829.9145299145298</v>
      </c>
      <c r="AD79" s="425"/>
      <c r="AE79" s="425">
        <f t="shared" si="8"/>
        <v>0</v>
      </c>
    </row>
    <row r="80" spans="1:31" ht="26">
      <c r="A80" s="1057"/>
      <c r="B80" s="1082"/>
      <c r="C80" s="1084"/>
      <c r="D80" s="428">
        <f>L_CViec!Q$17</f>
        <v>5</v>
      </c>
      <c r="E80" s="429" t="str">
        <f>L_CViec!R$17</f>
        <v>2KTV4, 2KTV6, 1KTV10</v>
      </c>
      <c r="F80" s="418">
        <f>L_CViec!S$19</f>
        <v>1718502.5000000005</v>
      </c>
      <c r="G80" s="914" t="s">
        <v>20</v>
      </c>
      <c r="H80" s="424">
        <v>7.16</v>
      </c>
      <c r="I80" s="425">
        <f t="shared" si="9"/>
        <v>15380597.375000006</v>
      </c>
      <c r="J80" s="425">
        <f>$D80*H80*$J$4*$J$3</f>
        <v>435451.92307692306</v>
      </c>
      <c r="K80" s="425">
        <f t="shared" si="22"/>
        <v>0</v>
      </c>
      <c r="L80" s="426">
        <v>9.3000000000000007</v>
      </c>
      <c r="M80" s="425">
        <f>$F80*L80*$J$3/6.25</f>
        <v>3196414.6500000013</v>
      </c>
      <c r="N80" s="425">
        <f>$D80*L80*$J$4*$J$3/6.25</f>
        <v>90496.153846153844</v>
      </c>
      <c r="O80" s="425">
        <f t="shared" si="23"/>
        <v>0</v>
      </c>
      <c r="P80" s="427">
        <v>14.81</v>
      </c>
      <c r="Q80" s="425">
        <f>$F80*P80*$J$3/25</f>
        <v>1272551.1012500003</v>
      </c>
      <c r="R80" s="425">
        <f>$D80*P80*$J$4*$J$3/25</f>
        <v>36028.173076923078</v>
      </c>
      <c r="S80" s="425">
        <f t="shared" si="5"/>
        <v>0</v>
      </c>
      <c r="T80" s="427">
        <v>27.99</v>
      </c>
      <c r="U80" s="425">
        <f>$F80*T80*$J$3/100</f>
        <v>601261.06218750018</v>
      </c>
      <c r="V80" s="425">
        <f>$D80*T80*$J$4*$J$3/100</f>
        <v>17022.764423076922</v>
      </c>
      <c r="W80" s="425">
        <f t="shared" si="6"/>
        <v>0</v>
      </c>
      <c r="X80" s="427">
        <v>92.37</v>
      </c>
      <c r="Y80" s="425">
        <f>$F80*X80*$J$3/900</f>
        <v>220469.54989583339</v>
      </c>
      <c r="Z80" s="425">
        <f>$D80*X80*$J$4*$J$3/900</f>
        <v>6241.8830128205127</v>
      </c>
      <c r="AA80" s="425">
        <f t="shared" si="7"/>
        <v>0</v>
      </c>
      <c r="AB80" s="427">
        <v>167.94</v>
      </c>
      <c r="AC80" s="425">
        <f>$F80*AB80*$J$3/3600</f>
        <v>100210.17703125003</v>
      </c>
      <c r="AD80" s="425">
        <f>$D80*AB80*$J$4*$J$3/3600</f>
        <v>2837.1274038461538</v>
      </c>
      <c r="AE80" s="425">
        <f t="shared" si="8"/>
        <v>0</v>
      </c>
    </row>
    <row r="81" spans="1:31">
      <c r="A81" s="1057"/>
      <c r="B81" s="1082"/>
      <c r="C81" s="1084"/>
      <c r="D81" s="417"/>
      <c r="E81" s="429"/>
      <c r="F81" s="418"/>
      <c r="G81" s="914"/>
      <c r="H81" s="424">
        <v>3.57</v>
      </c>
      <c r="I81" s="425">
        <f>H81*$J$7</f>
        <v>649465.38461538462</v>
      </c>
      <c r="J81" s="425"/>
      <c r="K81" s="425">
        <f t="shared" si="22"/>
        <v>0</v>
      </c>
      <c r="L81" s="426">
        <v>4.6500000000000004</v>
      </c>
      <c r="M81" s="425">
        <f>L81*$J$7/6.25</f>
        <v>135350.76923076925</v>
      </c>
      <c r="N81" s="425"/>
      <c r="O81" s="425">
        <f t="shared" si="23"/>
        <v>0</v>
      </c>
      <c r="P81" s="427">
        <v>5.93</v>
      </c>
      <c r="Q81" s="425">
        <f>P81*$J$7/25</f>
        <v>43152.153846153851</v>
      </c>
      <c r="R81" s="425"/>
      <c r="S81" s="425">
        <f t="shared" si="5"/>
        <v>0</v>
      </c>
      <c r="T81" s="427">
        <v>11.2</v>
      </c>
      <c r="U81" s="425">
        <f>T81*$J$7/100</f>
        <v>20375.384615384613</v>
      </c>
      <c r="V81" s="425"/>
      <c r="W81" s="425">
        <f t="shared" si="6"/>
        <v>0</v>
      </c>
      <c r="X81" s="427">
        <v>36.96</v>
      </c>
      <c r="Y81" s="425">
        <f>X81*$J$7/900</f>
        <v>7470.9743589743603</v>
      </c>
      <c r="Z81" s="425"/>
      <c r="AA81" s="425">
        <f t="shared" si="7"/>
        <v>0</v>
      </c>
      <c r="AB81" s="427">
        <v>67.2</v>
      </c>
      <c r="AC81" s="425">
        <f>AB81*$J$7/3600</f>
        <v>3395.897435897436</v>
      </c>
      <c r="AD81" s="425"/>
      <c r="AE81" s="425">
        <f t="shared" si="8"/>
        <v>0</v>
      </c>
    </row>
    <row r="82" spans="1:31" ht="26">
      <c r="A82" s="1057"/>
      <c r="B82" s="1082"/>
      <c r="C82" s="1084"/>
      <c r="D82" s="428">
        <f>L_CViec!Q$17</f>
        <v>5</v>
      </c>
      <c r="E82" s="429" t="str">
        <f>L_CViec!R$17</f>
        <v>2KTV4, 2KTV6, 1KTV10</v>
      </c>
      <c r="F82" s="418">
        <f>L_CViec!S$19</f>
        <v>1718502.5000000005</v>
      </c>
      <c r="G82" s="914" t="s">
        <v>35</v>
      </c>
      <c r="H82" s="424">
        <v>8.59</v>
      </c>
      <c r="I82" s="425">
        <f>$F82*H82*$J$3</f>
        <v>18452420.593750004</v>
      </c>
      <c r="J82" s="425">
        <f>$D82*H82*$J$4*$J$3</f>
        <v>522420.67307692312</v>
      </c>
      <c r="K82" s="425">
        <f t="shared" si="22"/>
        <v>0</v>
      </c>
      <c r="L82" s="426">
        <v>11.16</v>
      </c>
      <c r="M82" s="425">
        <f>$F82*L82*$J$3/6.25</f>
        <v>3835697.580000001</v>
      </c>
      <c r="N82" s="425">
        <f>$D82*L82*$J$4*$J$3/6.25</f>
        <v>108595.3846153846</v>
      </c>
      <c r="O82" s="425">
        <f t="shared" si="23"/>
        <v>0</v>
      </c>
      <c r="P82" s="427">
        <v>17.78</v>
      </c>
      <c r="Q82" s="425">
        <f>$F82*P82*$J$3/25</f>
        <v>1527748.7225000006</v>
      </c>
      <c r="R82" s="425">
        <f>$D82*P82*$J$4*$J$3/25</f>
        <v>43253.269230769227</v>
      </c>
      <c r="S82" s="425">
        <f t="shared" si="5"/>
        <v>0</v>
      </c>
      <c r="T82" s="427">
        <v>33.08</v>
      </c>
      <c r="U82" s="425">
        <f>$F82*T82*$J$3/100</f>
        <v>710600.78375000018</v>
      </c>
      <c r="V82" s="425">
        <f>$D82*T82*$J$4*$J$3/100</f>
        <v>20118.365384615379</v>
      </c>
      <c r="W82" s="425">
        <f t="shared" si="6"/>
        <v>0</v>
      </c>
      <c r="X82" s="427">
        <v>110.84</v>
      </c>
      <c r="Y82" s="425">
        <f>$F82*X82*$J$3/900</f>
        <v>264553.91263888893</v>
      </c>
      <c r="Z82" s="425">
        <f>$D82*X82*$J$4*$J$3/900</f>
        <v>7489.9893162393164</v>
      </c>
      <c r="AA82" s="425">
        <f t="shared" si="7"/>
        <v>0</v>
      </c>
      <c r="AB82" s="427">
        <v>201.53</v>
      </c>
      <c r="AC82" s="425">
        <f>$F82*AB82*$J$3/3600</f>
        <v>120253.40584201392</v>
      </c>
      <c r="AD82" s="425">
        <f>$D82*AB82*$J$4*$J$3/3600</f>
        <v>3404.5866720085469</v>
      </c>
      <c r="AE82" s="425">
        <f t="shared" si="8"/>
        <v>0</v>
      </c>
    </row>
    <row r="83" spans="1:31">
      <c r="A83" s="1057"/>
      <c r="B83" s="1082"/>
      <c r="C83" s="1084"/>
      <c r="D83" s="417"/>
      <c r="E83" s="429"/>
      <c r="F83" s="418"/>
      <c r="G83" s="914"/>
      <c r="H83" s="424">
        <v>4.29</v>
      </c>
      <c r="I83" s="425">
        <f>H83*$J$7</f>
        <v>780450.00000000012</v>
      </c>
      <c r="J83" s="425"/>
      <c r="K83" s="425">
        <f t="shared" si="22"/>
        <v>0</v>
      </c>
      <c r="L83" s="426">
        <v>5.58</v>
      </c>
      <c r="M83" s="425">
        <f>L83*$J$7/6.25</f>
        <v>162420.92307692309</v>
      </c>
      <c r="N83" s="425"/>
      <c r="O83" s="425">
        <f t="shared" si="23"/>
        <v>0</v>
      </c>
      <c r="P83" s="427">
        <v>7.12</v>
      </c>
      <c r="Q83" s="425">
        <f>P83*$J$7/25</f>
        <v>51811.692307692312</v>
      </c>
      <c r="R83" s="425"/>
      <c r="S83" s="425">
        <f t="shared" si="5"/>
        <v>0</v>
      </c>
      <c r="T83" s="427">
        <v>13.23</v>
      </c>
      <c r="U83" s="425">
        <f>T83*$J$7/100</f>
        <v>24068.423076923078</v>
      </c>
      <c r="V83" s="425"/>
      <c r="W83" s="425">
        <f t="shared" si="6"/>
        <v>0</v>
      </c>
      <c r="X83" s="427">
        <v>44.35</v>
      </c>
      <c r="Y83" s="425">
        <f>X83*$J$7/900</f>
        <v>8964.764957264957</v>
      </c>
      <c r="Z83" s="425"/>
      <c r="AA83" s="425">
        <f t="shared" si="7"/>
        <v>0</v>
      </c>
      <c r="AB83" s="427">
        <v>80.64</v>
      </c>
      <c r="AC83" s="425">
        <f>AB83*$J$7/3600</f>
        <v>4075.0769230769233</v>
      </c>
      <c r="AD83" s="425"/>
      <c r="AE83" s="425">
        <f t="shared" si="8"/>
        <v>0</v>
      </c>
    </row>
    <row r="84" spans="1:31" ht="26">
      <c r="A84" s="1057"/>
      <c r="B84" s="1082"/>
      <c r="C84" s="1084"/>
      <c r="D84" s="428">
        <f>L_CViec!Q$17</f>
        <v>5</v>
      </c>
      <c r="E84" s="429" t="str">
        <f>L_CViec!R$17</f>
        <v>2KTV4, 2KTV6, 1KTV10</v>
      </c>
      <c r="F84" s="418">
        <f>L_CViec!S$19</f>
        <v>1718502.5000000005</v>
      </c>
      <c r="G84" s="914" t="s">
        <v>33</v>
      </c>
      <c r="H84" s="424">
        <v>10.31</v>
      </c>
      <c r="I84" s="425">
        <f t="shared" si="9"/>
        <v>22147200.968750007</v>
      </c>
      <c r="J84" s="425">
        <f>$D84*H84*$J$4*$J$3</f>
        <v>627026.44230769237</v>
      </c>
      <c r="K84" s="425">
        <f t="shared" si="22"/>
        <v>0</v>
      </c>
      <c r="L84" s="426">
        <v>13.39</v>
      </c>
      <c r="M84" s="425">
        <f>$F84*L84*$J$3/6.25</f>
        <v>4602149.6950000022</v>
      </c>
      <c r="N84" s="425">
        <f>$D84*L84*$J$4*$J$3/6.25</f>
        <v>130295</v>
      </c>
      <c r="O84" s="425">
        <f t="shared" si="23"/>
        <v>0</v>
      </c>
      <c r="P84" s="427">
        <v>22.76</v>
      </c>
      <c r="Q84" s="425">
        <f>$F84*P84*$J$3/25</f>
        <v>1955655.8450000007</v>
      </c>
      <c r="R84" s="425">
        <f>$D84*P84*$J$4*$J$3/25</f>
        <v>55368.076923076922</v>
      </c>
      <c r="S84" s="425">
        <f t="shared" si="5"/>
        <v>0</v>
      </c>
      <c r="T84" s="427">
        <v>43</v>
      </c>
      <c r="U84" s="425">
        <f>$F84*T84*$J$3/100</f>
        <v>923695.09375000012</v>
      </c>
      <c r="V84" s="425">
        <f>$D84*T84*$J$4*$J$3/100</f>
        <v>26151.442307692305</v>
      </c>
      <c r="W84" s="425">
        <f t="shared" si="6"/>
        <v>0</v>
      </c>
      <c r="X84" s="427">
        <v>133.01</v>
      </c>
      <c r="Y84" s="425">
        <f>$F84*X84*$J$3/900</f>
        <v>317469.46878472227</v>
      </c>
      <c r="Z84" s="425">
        <f>$D84*X84*$J$4*$J$3/900</f>
        <v>8988.1223290598282</v>
      </c>
      <c r="AA84" s="425">
        <f t="shared" si="7"/>
        <v>0</v>
      </c>
      <c r="AB84" s="427">
        <v>241.83</v>
      </c>
      <c r="AC84" s="425">
        <f>$F84*AB84*$J$3/3600</f>
        <v>144300.50679687504</v>
      </c>
      <c r="AD84" s="425">
        <f>$D84*AB84*$J$4*$J$3/3600</f>
        <v>4085.4026442307695</v>
      </c>
      <c r="AE84" s="425">
        <f t="shared" si="8"/>
        <v>0</v>
      </c>
    </row>
    <row r="85" spans="1:31">
      <c r="A85" s="1057"/>
      <c r="B85" s="1082"/>
      <c r="C85" s="1084"/>
      <c r="D85" s="417"/>
      <c r="E85" s="429"/>
      <c r="F85" s="418"/>
      <c r="G85" s="914"/>
      <c r="H85" s="424">
        <v>5.15</v>
      </c>
      <c r="I85" s="425">
        <f>H85*$J$7</f>
        <v>936903.84615384624</v>
      </c>
      <c r="J85" s="425"/>
      <c r="K85" s="425">
        <f t="shared" si="22"/>
        <v>0</v>
      </c>
      <c r="L85" s="426">
        <v>6.7</v>
      </c>
      <c r="M85" s="425">
        <f>L85*$J$7/6.25</f>
        <v>195021.53846153847</v>
      </c>
      <c r="N85" s="425"/>
      <c r="O85" s="425">
        <f t="shared" si="23"/>
        <v>0</v>
      </c>
      <c r="P85" s="427">
        <v>11.39</v>
      </c>
      <c r="Q85" s="425">
        <f>P85*$J$7/25</f>
        <v>82884.153846153858</v>
      </c>
      <c r="R85" s="425"/>
      <c r="S85" s="425">
        <f t="shared" si="5"/>
        <v>0</v>
      </c>
      <c r="T85" s="427">
        <v>21.5</v>
      </c>
      <c r="U85" s="425">
        <f>T85*$J$7/100</f>
        <v>39113.461538461539</v>
      </c>
      <c r="V85" s="425"/>
      <c r="W85" s="425">
        <f t="shared" si="6"/>
        <v>0</v>
      </c>
      <c r="X85" s="427">
        <v>53.22</v>
      </c>
      <c r="Y85" s="425">
        <f>X85*$J$7/900</f>
        <v>10757.717948717949</v>
      </c>
      <c r="Z85" s="425"/>
      <c r="AA85" s="425">
        <f t="shared" si="7"/>
        <v>0</v>
      </c>
      <c r="AB85" s="427">
        <v>96.77</v>
      </c>
      <c r="AC85" s="425">
        <f>AB85*$J$7/3600</f>
        <v>4890.1933760683769</v>
      </c>
      <c r="AD85" s="425"/>
      <c r="AE85" s="425">
        <f t="shared" si="8"/>
        <v>0</v>
      </c>
    </row>
    <row r="86" spans="1:31" s="387" customFormat="1" ht="26">
      <c r="A86" s="1057"/>
      <c r="B86" s="1082"/>
      <c r="C86" s="1084"/>
      <c r="D86" s="428">
        <f>L_CViec!Q$17</f>
        <v>5</v>
      </c>
      <c r="E86" s="429" t="str">
        <f>L_CViec!R$17</f>
        <v>2KTV4, 2KTV6, 1KTV10</v>
      </c>
      <c r="F86" s="418">
        <f>L_CViec!S$19</f>
        <v>1718502.5000000005</v>
      </c>
      <c r="G86" s="914" t="s">
        <v>13</v>
      </c>
      <c r="H86" s="424"/>
      <c r="I86" s="425">
        <f t="shared" si="9"/>
        <v>0</v>
      </c>
      <c r="J86" s="425">
        <f>$D86*H86*$J$4*$J$3</f>
        <v>0</v>
      </c>
      <c r="K86" s="425">
        <f t="shared" si="22"/>
        <v>0</v>
      </c>
      <c r="L86" s="426">
        <v>16.07</v>
      </c>
      <c r="M86" s="425">
        <f>$F86*L86*$J$3/6.25</f>
        <v>5523267.0350000011</v>
      </c>
      <c r="N86" s="425">
        <f>$D86*L86*$J$4*$J$3/6.25</f>
        <v>156373.46153846153</v>
      </c>
      <c r="O86" s="425">
        <f t="shared" si="23"/>
        <v>0</v>
      </c>
      <c r="P86" s="427">
        <v>27.32</v>
      </c>
      <c r="Q86" s="425">
        <f>$F86*P86*$J$3/25</f>
        <v>2347474.4150000005</v>
      </c>
      <c r="R86" s="425">
        <f>$D86*P86*$J$4*$J$3/25</f>
        <v>66461.153846153844</v>
      </c>
      <c r="S86" s="425">
        <f t="shared" si="5"/>
        <v>0</v>
      </c>
      <c r="T86" s="427">
        <v>55.9</v>
      </c>
      <c r="U86" s="425">
        <f>$F86*T86*$J$3/100</f>
        <v>1200803.6218750002</v>
      </c>
      <c r="V86" s="425">
        <f>$D86*T86*$J$4*$J$3/100</f>
        <v>33996.875</v>
      </c>
      <c r="W86" s="425">
        <f t="shared" si="6"/>
        <v>0</v>
      </c>
      <c r="X86" s="427"/>
      <c r="Y86" s="425">
        <f>$F86*X86*$J$3/900</f>
        <v>0</v>
      </c>
      <c r="Z86" s="425">
        <f>$D86*X86*$J$4*$J$3/900</f>
        <v>0</v>
      </c>
      <c r="AA86" s="425">
        <f t="shared" si="7"/>
        <v>0</v>
      </c>
      <c r="AB86" s="427"/>
      <c r="AC86" s="425">
        <f>$F86*AB86*$J$3/3600</f>
        <v>0</v>
      </c>
      <c r="AD86" s="425">
        <f>$D86*AB86*$J$4*$J$3/3600</f>
        <v>0</v>
      </c>
      <c r="AE86" s="425">
        <f t="shared" si="8"/>
        <v>0</v>
      </c>
    </row>
    <row r="87" spans="1:31">
      <c r="A87" s="1057"/>
      <c r="B87" s="1082"/>
      <c r="C87" s="1084"/>
      <c r="D87" s="417"/>
      <c r="E87" s="429"/>
      <c r="F87" s="418"/>
      <c r="G87" s="914"/>
      <c r="H87" s="424"/>
      <c r="I87" s="425">
        <f>H87*$J$7</f>
        <v>0</v>
      </c>
      <c r="J87" s="425"/>
      <c r="K87" s="425">
        <f t="shared" si="22"/>
        <v>0</v>
      </c>
      <c r="L87" s="426">
        <v>8.0399999999999991</v>
      </c>
      <c r="M87" s="425">
        <f>L87*$J$7/6.25</f>
        <v>234025.84615384616</v>
      </c>
      <c r="N87" s="425"/>
      <c r="O87" s="425">
        <f t="shared" si="23"/>
        <v>0</v>
      </c>
      <c r="P87" s="427">
        <v>13.66</v>
      </c>
      <c r="Q87" s="425">
        <f>P87*$J$7/25</f>
        <v>99402.769230769234</v>
      </c>
      <c r="R87" s="425"/>
      <c r="S87" s="425">
        <f t="shared" si="5"/>
        <v>0</v>
      </c>
      <c r="T87" s="427">
        <v>27.95</v>
      </c>
      <c r="U87" s="425">
        <f>T87*$J$7/100</f>
        <v>50847.5</v>
      </c>
      <c r="V87" s="425"/>
      <c r="W87" s="425">
        <f t="shared" si="6"/>
        <v>0</v>
      </c>
      <c r="X87" s="427"/>
      <c r="Y87" s="425">
        <f>X87*$J$7/900</f>
        <v>0</v>
      </c>
      <c r="Z87" s="425"/>
      <c r="AA87" s="425">
        <f t="shared" si="7"/>
        <v>0</v>
      </c>
      <c r="AB87" s="427"/>
      <c r="AC87" s="425">
        <f>AB87*$J$7/3600</f>
        <v>0</v>
      </c>
      <c r="AD87" s="425"/>
      <c r="AE87" s="425">
        <f t="shared" si="8"/>
        <v>0</v>
      </c>
    </row>
    <row r="88" spans="1:31">
      <c r="A88" s="1057">
        <v>1.5</v>
      </c>
      <c r="B88" s="1082" t="str">
        <f>L_CViec!B20</f>
        <v>Đối soát, kiểm tra</v>
      </c>
      <c r="C88" s="1084"/>
      <c r="D88" s="428">
        <f>L_CViec!Q$20</f>
        <v>1</v>
      </c>
      <c r="E88" s="429" t="str">
        <f>L_CViec!R$18</f>
        <v>2KTV6</v>
      </c>
      <c r="F88" s="418">
        <f>L_CViec!S$20</f>
        <v>343700.50000000006</v>
      </c>
      <c r="G88" s="914" t="s">
        <v>18</v>
      </c>
      <c r="H88" s="424">
        <v>0.9</v>
      </c>
      <c r="I88" s="425">
        <f>$F88*H88*$J$3</f>
        <v>386663.06250000012</v>
      </c>
      <c r="J88" s="425">
        <f>$D88*H88*$J$4*$J$3</f>
        <v>10947.115384615387</v>
      </c>
      <c r="K88" s="425">
        <f t="shared" si="22"/>
        <v>0</v>
      </c>
      <c r="L88" s="426">
        <v>2.27</v>
      </c>
      <c r="M88" s="425">
        <f>$F88*L88*$J$3/6.25</f>
        <v>156040.02700000003</v>
      </c>
      <c r="N88" s="425">
        <f>$D88*L88*$J$4*$J$3/6.25</f>
        <v>4417.7692307692305</v>
      </c>
      <c r="O88" s="425">
        <f t="shared" si="23"/>
        <v>0</v>
      </c>
      <c r="P88" s="427">
        <v>5.73</v>
      </c>
      <c r="Q88" s="425">
        <f>$F88*P88*$J$3/25</f>
        <v>98470.193250000026</v>
      </c>
      <c r="R88" s="425">
        <f>$D88*P88*$J$4*$J$3/25</f>
        <v>2787.8653846153848</v>
      </c>
      <c r="S88" s="425">
        <f t="shared" ref="S88:S107" si="24">$D88*P88*$J$6/25</f>
        <v>0</v>
      </c>
      <c r="T88" s="427">
        <v>9.73</v>
      </c>
      <c r="U88" s="425">
        <f>$F88*T88*$J$3/100</f>
        <v>41802.573312500004</v>
      </c>
      <c r="V88" s="425">
        <f>$D88*T88*$J$4*$J$3/100</f>
        <v>1183.5048076923076</v>
      </c>
      <c r="W88" s="425">
        <f t="shared" ref="W88:W107" si="25">$D88*T88*$J$6/100</f>
        <v>0</v>
      </c>
      <c r="X88" s="427">
        <v>26.29</v>
      </c>
      <c r="Y88" s="425">
        <f>$F88*X88*$J$3/900</f>
        <v>12549.841868055559</v>
      </c>
      <c r="Z88" s="425">
        <f>$D88*X88*$J$4*$J$3/900</f>
        <v>355.30822649572644</v>
      </c>
      <c r="AA88" s="425">
        <f t="shared" ref="AA88:AA107" si="26">$D88*X88*$J$6/900</f>
        <v>0</v>
      </c>
      <c r="AB88" s="427">
        <v>59.74</v>
      </c>
      <c r="AC88" s="425">
        <f>$F88*AB88*$J$3/3600</f>
        <v>7129.3985659722239</v>
      </c>
      <c r="AD88" s="425">
        <f>$D88*AB88*$J$4*$J$3/3600</f>
        <v>201.84588675213678</v>
      </c>
      <c r="AE88" s="425">
        <f t="shared" ref="AE88:AE107" si="27">$D88*AB88*$J$6/3600</f>
        <v>0</v>
      </c>
    </row>
    <row r="89" spans="1:31">
      <c r="A89" s="1057"/>
      <c r="B89" s="1082"/>
      <c r="C89" s="1084"/>
      <c r="D89" s="417"/>
      <c r="E89" s="429"/>
      <c r="F89" s="418"/>
      <c r="G89" s="914"/>
      <c r="H89" s="424">
        <v>0.59</v>
      </c>
      <c r="I89" s="425">
        <f>H89*$J$7</f>
        <v>107334.61538461539</v>
      </c>
      <c r="J89" s="425"/>
      <c r="K89" s="425">
        <f t="shared" si="22"/>
        <v>0</v>
      </c>
      <c r="L89" s="426">
        <v>1.48</v>
      </c>
      <c r="M89" s="425">
        <f>L89*$J$7/6.25</f>
        <v>43079.384615384617</v>
      </c>
      <c r="N89" s="425"/>
      <c r="O89" s="425">
        <f t="shared" si="23"/>
        <v>0</v>
      </c>
      <c r="P89" s="427">
        <v>2.2999999999999998</v>
      </c>
      <c r="Q89" s="425">
        <f>P89*$J$7/25</f>
        <v>16736.923076923078</v>
      </c>
      <c r="R89" s="425"/>
      <c r="S89" s="425">
        <f t="shared" si="24"/>
        <v>0</v>
      </c>
      <c r="T89" s="427">
        <v>3.89</v>
      </c>
      <c r="U89" s="425">
        <f>T89*$J$7/100</f>
        <v>7076.8076923076924</v>
      </c>
      <c r="V89" s="425"/>
      <c r="W89" s="425">
        <f t="shared" si="25"/>
        <v>0</v>
      </c>
      <c r="X89" s="427">
        <v>10.52</v>
      </c>
      <c r="Y89" s="425">
        <f>X89*$J$7/900</f>
        <v>2126.4786324786323</v>
      </c>
      <c r="Z89" s="425"/>
      <c r="AA89" s="425">
        <f t="shared" si="26"/>
        <v>0</v>
      </c>
      <c r="AB89" s="427">
        <v>23.91</v>
      </c>
      <c r="AC89" s="425">
        <f>AB89*$J$7/3600</f>
        <v>1208.272435897436</v>
      </c>
      <c r="AD89" s="425"/>
      <c r="AE89" s="425">
        <f t="shared" si="27"/>
        <v>0</v>
      </c>
    </row>
    <row r="90" spans="1:31">
      <c r="A90" s="1057"/>
      <c r="B90" s="1082"/>
      <c r="C90" s="1084"/>
      <c r="D90" s="428">
        <f>L_CViec!Q$20</f>
        <v>1</v>
      </c>
      <c r="E90" s="429" t="str">
        <f>L_CViec!R$18</f>
        <v>2KTV6</v>
      </c>
      <c r="F90" s="418">
        <f>L_CViec!S$20</f>
        <v>343700.50000000006</v>
      </c>
      <c r="G90" s="914" t="s">
        <v>20</v>
      </c>
      <c r="H90" s="424">
        <v>1.1000000000000001</v>
      </c>
      <c r="I90" s="425">
        <f t="shared" si="9"/>
        <v>472588.18750000012</v>
      </c>
      <c r="J90" s="425">
        <f>$D90*H90*$J$4*$J$3</f>
        <v>13379.807692307693</v>
      </c>
      <c r="K90" s="425">
        <f t="shared" si="22"/>
        <v>0</v>
      </c>
      <c r="L90" s="426">
        <v>2.84</v>
      </c>
      <c r="M90" s="425">
        <f>$F90*L90*$J$3/6.25</f>
        <v>195221.88400000002</v>
      </c>
      <c r="N90" s="425">
        <f>$D90*L90*$J$4*$J$3/6.25</f>
        <v>5527.0769230769229</v>
      </c>
      <c r="O90" s="425">
        <f t="shared" si="23"/>
        <v>0</v>
      </c>
      <c r="P90" s="427">
        <v>6.89</v>
      </c>
      <c r="Q90" s="425">
        <f>$F90*P90*$J$3/25</f>
        <v>118404.82225000001</v>
      </c>
      <c r="R90" s="425">
        <f>$D90*P90*$J$4*$J$3/25</f>
        <v>3352.25</v>
      </c>
      <c r="S90" s="425">
        <f t="shared" si="24"/>
        <v>0</v>
      </c>
      <c r="T90" s="427">
        <v>11.47</v>
      </c>
      <c r="U90" s="425">
        <f>$F90*T90*$J$3/100</f>
        <v>49278.05918750001</v>
      </c>
      <c r="V90" s="425">
        <f>$D90*T90*$J$4*$J$3/100</f>
        <v>1395.1490384615383</v>
      </c>
      <c r="W90" s="425">
        <f t="shared" si="25"/>
        <v>0</v>
      </c>
      <c r="X90" s="427">
        <v>31.55</v>
      </c>
      <c r="Y90" s="425">
        <f>$F90*X90*$J$3/900</f>
        <v>15060.764965277782</v>
      </c>
      <c r="Z90" s="425">
        <f>$D90*X90*$J$4*$J$3/900</f>
        <v>426.39690170940173</v>
      </c>
      <c r="AA90" s="425">
        <f t="shared" si="26"/>
        <v>0</v>
      </c>
      <c r="AB90" s="427">
        <v>71.69</v>
      </c>
      <c r="AC90" s="425">
        <f>$F90*AB90*$J$3/3600</f>
        <v>8555.5169600694444</v>
      </c>
      <c r="AD90" s="425">
        <f>$D90*AB90*$J$4*$J$3/3600</f>
        <v>242.22182158119656</v>
      </c>
      <c r="AE90" s="425">
        <f t="shared" si="27"/>
        <v>0</v>
      </c>
    </row>
    <row r="91" spans="1:31">
      <c r="A91" s="1057"/>
      <c r="B91" s="1082"/>
      <c r="C91" s="1084"/>
      <c r="D91" s="417"/>
      <c r="E91" s="429"/>
      <c r="F91" s="418"/>
      <c r="G91" s="914"/>
      <c r="H91" s="424">
        <v>0.71</v>
      </c>
      <c r="I91" s="425">
        <f>H91*$J$7</f>
        <v>129165.38461538462</v>
      </c>
      <c r="J91" s="425"/>
      <c r="K91" s="425">
        <f t="shared" si="22"/>
        <v>0</v>
      </c>
      <c r="L91" s="426">
        <v>1.85</v>
      </c>
      <c r="M91" s="425">
        <f>L91*$J$7/6.25</f>
        <v>53849.23076923078</v>
      </c>
      <c r="N91" s="425"/>
      <c r="O91" s="425">
        <f t="shared" si="23"/>
        <v>0</v>
      </c>
      <c r="P91" s="427">
        <v>2.75</v>
      </c>
      <c r="Q91" s="425">
        <f>P91*$J$7/25</f>
        <v>20011.538461538461</v>
      </c>
      <c r="R91" s="425"/>
      <c r="S91" s="425">
        <f t="shared" si="24"/>
        <v>0</v>
      </c>
      <c r="T91" s="427">
        <v>4.59</v>
      </c>
      <c r="U91" s="425">
        <f>T91*$J$7/100</f>
        <v>8350.2692307692305</v>
      </c>
      <c r="V91" s="425"/>
      <c r="W91" s="425">
        <f t="shared" si="25"/>
        <v>0</v>
      </c>
      <c r="X91" s="427">
        <v>12.63</v>
      </c>
      <c r="Y91" s="425">
        <f>X91*$J$7/900</f>
        <v>2552.9871794871801</v>
      </c>
      <c r="Z91" s="425"/>
      <c r="AA91" s="425">
        <f t="shared" si="26"/>
        <v>0</v>
      </c>
      <c r="AB91" s="427">
        <v>28.69</v>
      </c>
      <c r="AC91" s="425">
        <f>AB91*$J$7/3600</f>
        <v>1449.825854700855</v>
      </c>
      <c r="AD91" s="425"/>
      <c r="AE91" s="425">
        <f t="shared" si="27"/>
        <v>0</v>
      </c>
    </row>
    <row r="92" spans="1:31">
      <c r="A92" s="1057"/>
      <c r="B92" s="1082"/>
      <c r="C92" s="1084"/>
      <c r="D92" s="428">
        <f>L_CViec!Q$20</f>
        <v>1</v>
      </c>
      <c r="E92" s="429" t="str">
        <f>L_CViec!R$18</f>
        <v>2KTV6</v>
      </c>
      <c r="F92" s="418">
        <f>L_CViec!S$20</f>
        <v>343700.50000000006</v>
      </c>
      <c r="G92" s="914" t="s">
        <v>35</v>
      </c>
      <c r="H92" s="424">
        <v>1.35</v>
      </c>
      <c r="I92" s="425">
        <f t="shared" si="9"/>
        <v>579994.59375000012</v>
      </c>
      <c r="J92" s="425">
        <f>$D92*H92*$J$4*$J$3</f>
        <v>16420.673076923078</v>
      </c>
      <c r="K92" s="425">
        <f t="shared" si="22"/>
        <v>0</v>
      </c>
      <c r="L92" s="426">
        <v>3.85</v>
      </c>
      <c r="M92" s="425">
        <f>$F92*L92*$J$3/6.25</f>
        <v>264649.38500000007</v>
      </c>
      <c r="N92" s="425">
        <f>$D92*L92*$J$4*$J$3/6.25</f>
        <v>7492.6923076923076</v>
      </c>
      <c r="O92" s="425">
        <f t="shared" si="23"/>
        <v>0</v>
      </c>
      <c r="P92" s="427">
        <v>8.26</v>
      </c>
      <c r="Q92" s="425">
        <f>$F92*P92*$J$3/25</f>
        <v>141948.30650000004</v>
      </c>
      <c r="R92" s="425">
        <f>$D92*P92*$J$4*$J$3/25</f>
        <v>4018.8076923076924</v>
      </c>
      <c r="S92" s="425">
        <f t="shared" si="24"/>
        <v>0</v>
      </c>
      <c r="T92" s="427">
        <v>13.55</v>
      </c>
      <c r="U92" s="425">
        <f>$F92*T92*$J$3/100</f>
        <v>58214.272187500021</v>
      </c>
      <c r="V92" s="425">
        <f>$D92*T92*$J$4*$J$3/100</f>
        <v>1648.1490384615388</v>
      </c>
      <c r="W92" s="425">
        <f t="shared" si="25"/>
        <v>0</v>
      </c>
      <c r="X92" s="427">
        <v>37.85</v>
      </c>
      <c r="Y92" s="425">
        <f>$F92*X92*$J$3/900</f>
        <v>18068.14434027778</v>
      </c>
      <c r="Z92" s="425">
        <f>$D92*X92*$J$4*$J$3/900</f>
        <v>511.54113247863251</v>
      </c>
      <c r="AA92" s="425">
        <f t="shared" si="26"/>
        <v>0</v>
      </c>
      <c r="AB92" s="427">
        <v>86.03</v>
      </c>
      <c r="AC92" s="425">
        <f>$F92*AB92*$J$3/3600</f>
        <v>10266.859032986113</v>
      </c>
      <c r="AD92" s="425">
        <f>$D92*AB92*$J$4*$J$3/3600</f>
        <v>290.67294337606836</v>
      </c>
      <c r="AE92" s="425">
        <f t="shared" si="27"/>
        <v>0</v>
      </c>
    </row>
    <row r="93" spans="1:31">
      <c r="A93" s="1057"/>
      <c r="B93" s="1082"/>
      <c r="C93" s="1084"/>
      <c r="D93" s="417"/>
      <c r="E93" s="429"/>
      <c r="F93" s="418"/>
      <c r="G93" s="914"/>
      <c r="H93" s="424">
        <v>0.88</v>
      </c>
      <c r="I93" s="425">
        <f>H93*$J$7</f>
        <v>160092.30769230772</v>
      </c>
      <c r="J93" s="425"/>
      <c r="K93" s="425">
        <f t="shared" si="22"/>
        <v>0</v>
      </c>
      <c r="L93" s="426">
        <v>2.5</v>
      </c>
      <c r="M93" s="425">
        <f>L93*$J$7/6.25</f>
        <v>72769.23076923078</v>
      </c>
      <c r="N93" s="425"/>
      <c r="O93" s="425">
        <f t="shared" si="23"/>
        <v>0</v>
      </c>
      <c r="P93" s="427">
        <v>3.3</v>
      </c>
      <c r="Q93" s="425">
        <f>P93*$J$7/25</f>
        <v>24013.846153846156</v>
      </c>
      <c r="R93" s="425"/>
      <c r="S93" s="425">
        <f t="shared" si="24"/>
        <v>0</v>
      </c>
      <c r="T93" s="427">
        <v>5.42</v>
      </c>
      <c r="U93" s="425">
        <f>T93*$J$7/100</f>
        <v>9860.2307692307695</v>
      </c>
      <c r="V93" s="425"/>
      <c r="W93" s="425">
        <f t="shared" si="25"/>
        <v>0</v>
      </c>
      <c r="X93" s="427">
        <v>15.15</v>
      </c>
      <c r="Y93" s="425">
        <f>X93*$J$7/900</f>
        <v>3062.3717948717949</v>
      </c>
      <c r="Z93" s="425"/>
      <c r="AA93" s="425">
        <f t="shared" si="26"/>
        <v>0</v>
      </c>
      <c r="AB93" s="427">
        <v>34.43</v>
      </c>
      <c r="AC93" s="425">
        <f>AB93*$J$7/3600</f>
        <v>1739.8920940170942</v>
      </c>
      <c r="AD93" s="425"/>
      <c r="AE93" s="425">
        <f t="shared" si="27"/>
        <v>0</v>
      </c>
    </row>
    <row r="94" spans="1:31">
      <c r="A94" s="1057"/>
      <c r="B94" s="1082"/>
      <c r="C94" s="1084"/>
      <c r="D94" s="428">
        <f>L_CViec!Q$20</f>
        <v>1</v>
      </c>
      <c r="E94" s="429" t="str">
        <f>L_CViec!R$18</f>
        <v>2KTV6</v>
      </c>
      <c r="F94" s="418">
        <f>L_CViec!S$20</f>
        <v>343700.50000000006</v>
      </c>
      <c r="G94" s="914" t="s">
        <v>33</v>
      </c>
      <c r="H94" s="424">
        <v>1.71</v>
      </c>
      <c r="I94" s="425">
        <f t="shared" si="9"/>
        <v>734659.81875000009</v>
      </c>
      <c r="J94" s="425">
        <f>$D94*H94*$J$4*$J$3</f>
        <v>20799.519230769227</v>
      </c>
      <c r="K94" s="425">
        <f t="shared" si="22"/>
        <v>0</v>
      </c>
      <c r="L94" s="426">
        <v>5.22</v>
      </c>
      <c r="M94" s="425">
        <f>$F94*L94*$J$3/6.25</f>
        <v>358823.32200000004</v>
      </c>
      <c r="N94" s="425">
        <f>$D94*L94*$J$4*$J$3/6.25</f>
        <v>10158.923076923076</v>
      </c>
      <c r="O94" s="425">
        <f t="shared" si="23"/>
        <v>0</v>
      </c>
      <c r="P94" s="427">
        <v>12.47</v>
      </c>
      <c r="Q94" s="425">
        <f>$F94*P94*$J$3/25</f>
        <v>214297.26175000003</v>
      </c>
      <c r="R94" s="425">
        <f>$D94*P94*$J$4*$J$3/25</f>
        <v>6067.1346153846152</v>
      </c>
      <c r="S94" s="425">
        <f t="shared" si="24"/>
        <v>0</v>
      </c>
      <c r="T94" s="427">
        <v>20.77</v>
      </c>
      <c r="U94" s="425">
        <f>$F94*T94*$J$3/100</f>
        <v>89233.242312500006</v>
      </c>
      <c r="V94" s="425">
        <f>$D94*T94*$J$4*$J$3/100</f>
        <v>2526.3509615384614</v>
      </c>
      <c r="W94" s="425">
        <f t="shared" si="25"/>
        <v>0</v>
      </c>
      <c r="X94" s="427">
        <v>45.42</v>
      </c>
      <c r="Y94" s="425">
        <f>$F94*X94*$J$3/900</f>
        <v>21681.773208333336</v>
      </c>
      <c r="Z94" s="425">
        <f>$D94*X94*$J$4*$J$3/900</f>
        <v>613.84935897435889</v>
      </c>
      <c r="AA94" s="425">
        <f t="shared" si="26"/>
        <v>0</v>
      </c>
      <c r="AB94" s="427">
        <v>103.23</v>
      </c>
      <c r="AC94" s="425">
        <f>$F94*AB94*$J$3/3600</f>
        <v>12319.514796875003</v>
      </c>
      <c r="AD94" s="425">
        <f>$D94*AB94*$J$4*$J$3/3600</f>
        <v>348.78725961538464</v>
      </c>
      <c r="AE94" s="425">
        <f t="shared" si="27"/>
        <v>0</v>
      </c>
    </row>
    <row r="95" spans="1:31">
      <c r="A95" s="1057"/>
      <c r="B95" s="1082"/>
      <c r="C95" s="1084"/>
      <c r="D95" s="417"/>
      <c r="E95" s="429"/>
      <c r="F95" s="418"/>
      <c r="G95" s="914"/>
      <c r="H95" s="424">
        <v>1.06</v>
      </c>
      <c r="I95" s="425">
        <f>H95*$J$7</f>
        <v>192838.46153846156</v>
      </c>
      <c r="J95" s="425"/>
      <c r="K95" s="425">
        <f t="shared" si="22"/>
        <v>0</v>
      </c>
      <c r="L95" s="426">
        <v>3.39</v>
      </c>
      <c r="M95" s="425">
        <f>L95*$J$7/6.25</f>
        <v>98675.076923076937</v>
      </c>
      <c r="N95" s="425"/>
      <c r="O95" s="425">
        <f t="shared" si="23"/>
        <v>0</v>
      </c>
      <c r="P95" s="427">
        <v>8.1</v>
      </c>
      <c r="Q95" s="425">
        <f>P95*$J$7/25</f>
        <v>58943.076923076922</v>
      </c>
      <c r="R95" s="425"/>
      <c r="S95" s="425">
        <f t="shared" si="24"/>
        <v>0</v>
      </c>
      <c r="T95" s="427">
        <v>13.5</v>
      </c>
      <c r="U95" s="425">
        <f>T95*$J$7/100</f>
        <v>24559.615384615387</v>
      </c>
      <c r="V95" s="425"/>
      <c r="W95" s="425">
        <f t="shared" si="25"/>
        <v>0</v>
      </c>
      <c r="X95" s="427">
        <v>18.170000000000002</v>
      </c>
      <c r="Y95" s="425">
        <f>X95*$J$7/900</f>
        <v>3672.8247863247871</v>
      </c>
      <c r="Z95" s="425"/>
      <c r="AA95" s="425">
        <f t="shared" si="26"/>
        <v>0</v>
      </c>
      <c r="AB95" s="427">
        <v>41.31</v>
      </c>
      <c r="AC95" s="425">
        <f>AB95*$J$7/3600</f>
        <v>2087.5673076923081</v>
      </c>
      <c r="AD95" s="425"/>
      <c r="AE95" s="425">
        <f t="shared" si="27"/>
        <v>0</v>
      </c>
    </row>
    <row r="96" spans="1:31">
      <c r="A96" s="1057"/>
      <c r="B96" s="1082"/>
      <c r="C96" s="1084"/>
      <c r="D96" s="428">
        <f>L_CViec!Q$20</f>
        <v>1</v>
      </c>
      <c r="E96" s="429" t="str">
        <f>L_CViec!R$18</f>
        <v>2KTV6</v>
      </c>
      <c r="F96" s="418">
        <f>L_CViec!S$20</f>
        <v>343700.50000000006</v>
      </c>
      <c r="G96" s="914" t="s">
        <v>13</v>
      </c>
      <c r="H96" s="424"/>
      <c r="I96" s="425">
        <f t="shared" si="9"/>
        <v>0</v>
      </c>
      <c r="J96" s="425">
        <f>$D96*H96*$J$4*$J$3</f>
        <v>0</v>
      </c>
      <c r="K96" s="425">
        <f t="shared" si="22"/>
        <v>0</v>
      </c>
      <c r="L96" s="426">
        <v>6.59</v>
      </c>
      <c r="M96" s="425">
        <f>$F96*L96*$J$3/6.25</f>
        <v>452997.25900000008</v>
      </c>
      <c r="N96" s="425">
        <f>$D96*L96*$J$4*$J$3/6.25</f>
        <v>12825.153846153846</v>
      </c>
      <c r="O96" s="425">
        <f t="shared" si="23"/>
        <v>0</v>
      </c>
      <c r="P96" s="427">
        <v>14.96</v>
      </c>
      <c r="Q96" s="425">
        <f>$F96*P96*$J$3/25</f>
        <v>257087.97400000005</v>
      </c>
      <c r="R96" s="425">
        <f>$D96*P96*$J$4*$J$3/25</f>
        <v>7278.6153846153848</v>
      </c>
      <c r="S96" s="425">
        <f t="shared" si="24"/>
        <v>0</v>
      </c>
      <c r="T96" s="427">
        <v>33.24</v>
      </c>
      <c r="U96" s="425">
        <f>$F96*T96*$J$3/100</f>
        <v>142807.55775000004</v>
      </c>
      <c r="V96" s="425">
        <f>$D96*T96*$J$4*$J$3/100</f>
        <v>4043.1346153846157</v>
      </c>
      <c r="W96" s="425">
        <f t="shared" si="25"/>
        <v>0</v>
      </c>
      <c r="X96" s="427"/>
      <c r="Y96" s="425">
        <f>$F96*X96*$J$3/900</f>
        <v>0</v>
      </c>
      <c r="Z96" s="425">
        <f>$D96*X96*$J$4*$J$3/900</f>
        <v>0</v>
      </c>
      <c r="AA96" s="425">
        <f t="shared" si="26"/>
        <v>0</v>
      </c>
      <c r="AB96" s="427"/>
      <c r="AC96" s="425">
        <f>$F96*AB96*$J$3/3600</f>
        <v>0</v>
      </c>
      <c r="AD96" s="425">
        <f>$D96*AB96*$J$4*$J$3/3600</f>
        <v>0</v>
      </c>
      <c r="AE96" s="425">
        <f t="shared" si="27"/>
        <v>0</v>
      </c>
    </row>
    <row r="97" spans="1:31" s="387" customFormat="1" ht="13.5">
      <c r="A97" s="1057"/>
      <c r="B97" s="1082"/>
      <c r="C97" s="1084"/>
      <c r="D97" s="417"/>
      <c r="E97" s="429"/>
      <c r="F97" s="418"/>
      <c r="G97" s="914"/>
      <c r="H97" s="424"/>
      <c r="I97" s="425">
        <f>H97*$J$7</f>
        <v>0</v>
      </c>
      <c r="J97" s="425"/>
      <c r="K97" s="425">
        <f t="shared" si="22"/>
        <v>0</v>
      </c>
      <c r="L97" s="426">
        <v>4.28</v>
      </c>
      <c r="M97" s="425">
        <f>L97*$J$7/6.25</f>
        <v>124580.92307692309</v>
      </c>
      <c r="N97" s="425"/>
      <c r="O97" s="425">
        <f t="shared" si="23"/>
        <v>0</v>
      </c>
      <c r="P97" s="427">
        <v>9.7200000000000006</v>
      </c>
      <c r="Q97" s="425">
        <f>P97*$J$7/25</f>
        <v>70731.692307692312</v>
      </c>
      <c r="R97" s="425"/>
      <c r="S97" s="425">
        <f t="shared" si="24"/>
        <v>0</v>
      </c>
      <c r="T97" s="427">
        <v>21.6</v>
      </c>
      <c r="U97" s="425">
        <f>T97*$J$7/100</f>
        <v>39295.384615384617</v>
      </c>
      <c r="V97" s="425"/>
      <c r="W97" s="425">
        <f t="shared" si="25"/>
        <v>0</v>
      </c>
      <c r="X97" s="427"/>
      <c r="Y97" s="425">
        <f>X97*$J$7/900</f>
        <v>0</v>
      </c>
      <c r="Z97" s="425"/>
      <c r="AA97" s="425">
        <f t="shared" si="26"/>
        <v>0</v>
      </c>
      <c r="AB97" s="427"/>
      <c r="AC97" s="425">
        <f>AB97*$J$7/3600</f>
        <v>0</v>
      </c>
      <c r="AD97" s="425"/>
      <c r="AE97" s="425">
        <f t="shared" si="27"/>
        <v>0</v>
      </c>
    </row>
    <row r="98" spans="1:31">
      <c r="A98" s="1057">
        <v>1.6</v>
      </c>
      <c r="B98" s="1082" t="str">
        <f>L_CViec!B21</f>
        <v>Giao nhận Phiếu kết quả đo đạc hiện trạng thửa đất</v>
      </c>
      <c r="C98" s="1084"/>
      <c r="D98" s="428">
        <f>L_CViec!Q$20</f>
        <v>1</v>
      </c>
      <c r="E98" s="429" t="str">
        <f>L_CViec!R$20</f>
        <v>1KTV6</v>
      </c>
      <c r="F98" s="418">
        <f>L_CViec!S$21</f>
        <v>343700.50000000006</v>
      </c>
      <c r="G98" s="914" t="s">
        <v>18</v>
      </c>
      <c r="H98" s="424">
        <v>4.12</v>
      </c>
      <c r="I98" s="425">
        <f t="shared" si="9"/>
        <v>1770057.5750000004</v>
      </c>
      <c r="J98" s="425">
        <f>$D98*H98*$J$4*$J$3</f>
        <v>50113.461538461546</v>
      </c>
      <c r="K98" s="425">
        <f t="shared" si="22"/>
        <v>0</v>
      </c>
      <c r="L98" s="426">
        <v>7.01</v>
      </c>
      <c r="M98" s="425">
        <f>$F98*L98*$J$3/6.25</f>
        <v>481868.10100000008</v>
      </c>
      <c r="N98" s="425">
        <f>$D98*L98*$J$4*$J$3/6.25</f>
        <v>13642.538461538461</v>
      </c>
      <c r="O98" s="425">
        <f t="shared" si="23"/>
        <v>0</v>
      </c>
      <c r="P98" s="427">
        <v>8.51</v>
      </c>
      <c r="Q98" s="425">
        <f>$F98*P98*$J$3/25</f>
        <v>146244.56275000001</v>
      </c>
      <c r="R98" s="425">
        <f>$D98*P98*$J$4*$J$3/25</f>
        <v>4140.4423076923076</v>
      </c>
      <c r="S98" s="425">
        <f t="shared" si="24"/>
        <v>0</v>
      </c>
      <c r="T98" s="427">
        <v>14.19</v>
      </c>
      <c r="U98" s="425">
        <f>$F98*T98*$J$3/100</f>
        <v>60963.876187500005</v>
      </c>
      <c r="V98" s="425">
        <f>$D98*T98*$J$4*$J$3/100</f>
        <v>1725.9951923076922</v>
      </c>
      <c r="W98" s="425">
        <f t="shared" si="25"/>
        <v>0</v>
      </c>
      <c r="X98" s="427">
        <v>46.01</v>
      </c>
      <c r="Y98" s="425">
        <f>$F98*X98*$J$3/900</f>
        <v>21963.416673611111</v>
      </c>
      <c r="Z98" s="425">
        <f>$D98*X98*$J$4*$J$3/900</f>
        <v>621.82318376068361</v>
      </c>
      <c r="AA98" s="425">
        <f t="shared" si="26"/>
        <v>0</v>
      </c>
      <c r="AB98" s="427">
        <v>83.65</v>
      </c>
      <c r="AC98" s="425">
        <f>$F98*AB98*$J$3/3600</f>
        <v>9982.8287586805582</v>
      </c>
      <c r="AD98" s="425">
        <f>$D98*AB98*$J$4*$J$3/3600</f>
        <v>282.63154380341882</v>
      </c>
      <c r="AE98" s="425">
        <f t="shared" si="27"/>
        <v>0</v>
      </c>
    </row>
    <row r="99" spans="1:31">
      <c r="A99" s="1057"/>
      <c r="B99" s="1082"/>
      <c r="C99" s="1084"/>
      <c r="D99" s="417"/>
      <c r="E99" s="429"/>
      <c r="F99" s="418"/>
      <c r="G99" s="914"/>
      <c r="H99" s="424">
        <v>4.12</v>
      </c>
      <c r="I99" s="425">
        <f>H99*$J$7</f>
        <v>749523.07692307699</v>
      </c>
      <c r="J99" s="425"/>
      <c r="K99" s="425">
        <f t="shared" si="22"/>
        <v>0</v>
      </c>
      <c r="L99" s="426">
        <v>7.01</v>
      </c>
      <c r="M99" s="425">
        <f>L99*$J$7/6.25</f>
        <v>204044.92307692309</v>
      </c>
      <c r="N99" s="425"/>
      <c r="O99" s="425">
        <f t="shared" si="23"/>
        <v>0</v>
      </c>
      <c r="P99" s="427">
        <v>8.51</v>
      </c>
      <c r="Q99" s="425">
        <f>P99*$J$7/25</f>
        <v>61926.61538461539</v>
      </c>
      <c r="R99" s="425"/>
      <c r="S99" s="425">
        <f t="shared" si="24"/>
        <v>0</v>
      </c>
      <c r="T99" s="427">
        <v>14.19</v>
      </c>
      <c r="U99" s="425">
        <f>T99*$J$7/100</f>
        <v>25814.884615384613</v>
      </c>
      <c r="V99" s="425"/>
      <c r="W99" s="425">
        <f t="shared" si="25"/>
        <v>0</v>
      </c>
      <c r="X99" s="427">
        <v>46.01</v>
      </c>
      <c r="Y99" s="425">
        <f>X99*$J$7/900</f>
        <v>9300.3119658119667</v>
      </c>
      <c r="Z99" s="425"/>
      <c r="AA99" s="425">
        <f t="shared" si="26"/>
        <v>0</v>
      </c>
      <c r="AB99" s="427">
        <v>83.65</v>
      </c>
      <c r="AC99" s="425">
        <f>AB99*$J$7/3600</f>
        <v>4227.1848290598291</v>
      </c>
      <c r="AD99" s="425"/>
      <c r="AE99" s="425">
        <f t="shared" si="27"/>
        <v>0</v>
      </c>
    </row>
    <row r="100" spans="1:31">
      <c r="A100" s="1057"/>
      <c r="B100" s="1082"/>
      <c r="C100" s="1084"/>
      <c r="D100" s="428">
        <f>L_CViec!Q$20</f>
        <v>1</v>
      </c>
      <c r="E100" s="429" t="str">
        <f>L_CViec!R$20</f>
        <v>1KTV6</v>
      </c>
      <c r="F100" s="418">
        <f>L_CViec!S$21</f>
        <v>343700.50000000006</v>
      </c>
      <c r="G100" s="914" t="s">
        <v>20</v>
      </c>
      <c r="H100" s="424">
        <v>4.95</v>
      </c>
      <c r="I100" s="425">
        <f t="shared" si="9"/>
        <v>2126646.8437500005</v>
      </c>
      <c r="J100" s="425">
        <f>$D100*H100*$J$4*$J$3</f>
        <v>60209.134615384617</v>
      </c>
      <c r="K100" s="425">
        <f t="shared" si="22"/>
        <v>0</v>
      </c>
      <c r="L100" s="426">
        <v>8.42</v>
      </c>
      <c r="M100" s="425">
        <f>$F100*L100*$J$3/6.25</f>
        <v>578791.64200000011</v>
      </c>
      <c r="N100" s="425">
        <f>$D100*L100*$J$4*$J$3/6.25</f>
        <v>16386.615384615387</v>
      </c>
      <c r="O100" s="425">
        <f t="shared" si="23"/>
        <v>0</v>
      </c>
      <c r="P100" s="427">
        <v>10.039999999999999</v>
      </c>
      <c r="Q100" s="425">
        <f>$F100*P100*$J$3/25</f>
        <v>172537.65100000001</v>
      </c>
      <c r="R100" s="425">
        <f>$D100*P100*$J$4*$J$3/25</f>
        <v>4884.8461538461534</v>
      </c>
      <c r="S100" s="425">
        <f t="shared" si="24"/>
        <v>0</v>
      </c>
      <c r="T100" s="427">
        <v>16.73</v>
      </c>
      <c r="U100" s="425">
        <f>$F100*T100*$J$3/100</f>
        <v>71876.367062500023</v>
      </c>
      <c r="V100" s="425">
        <f>$D100*T100*$J$4*$J$3/100</f>
        <v>2034.9471153846152</v>
      </c>
      <c r="W100" s="425">
        <f t="shared" si="25"/>
        <v>0</v>
      </c>
      <c r="X100" s="427">
        <v>55.21</v>
      </c>
      <c r="Y100" s="425">
        <f>$F100*X100*$J$3/900</f>
        <v>26355.145284722228</v>
      </c>
      <c r="Z100" s="425">
        <f>$D100*X100*$J$4*$J$3/900</f>
        <v>746.16079059829053</v>
      </c>
      <c r="AA100" s="425">
        <f t="shared" si="26"/>
        <v>0</v>
      </c>
      <c r="AB100" s="427">
        <v>100.38</v>
      </c>
      <c r="AC100" s="425">
        <f>$F100*AB100*$J$3/3600</f>
        <v>11979.394510416669</v>
      </c>
      <c r="AD100" s="425">
        <f>$D100*AB100*$J$4*$J$3/3600</f>
        <v>339.15785256410248</v>
      </c>
      <c r="AE100" s="425">
        <f t="shared" si="27"/>
        <v>0</v>
      </c>
    </row>
    <row r="101" spans="1:31">
      <c r="A101" s="1057"/>
      <c r="B101" s="1082"/>
      <c r="C101" s="1084"/>
      <c r="D101" s="417"/>
      <c r="E101" s="429"/>
      <c r="F101" s="418"/>
      <c r="G101" s="914"/>
      <c r="H101" s="424">
        <v>4.95</v>
      </c>
      <c r="I101" s="425">
        <f>H101*$J$7</f>
        <v>900519.23076923087</v>
      </c>
      <c r="J101" s="425"/>
      <c r="K101" s="425">
        <f t="shared" si="22"/>
        <v>0</v>
      </c>
      <c r="L101" s="426">
        <v>8.42</v>
      </c>
      <c r="M101" s="425">
        <f>L101*$J$7/6.25</f>
        <v>245086.76923076925</v>
      </c>
      <c r="N101" s="425"/>
      <c r="O101" s="425">
        <f t="shared" si="23"/>
        <v>0</v>
      </c>
      <c r="P101" s="427">
        <v>10.039999999999999</v>
      </c>
      <c r="Q101" s="425">
        <f>P101*$J$7/25</f>
        <v>73060.307692307688</v>
      </c>
      <c r="R101" s="425"/>
      <c r="S101" s="425">
        <f t="shared" si="24"/>
        <v>0</v>
      </c>
      <c r="T101" s="427">
        <v>16.73</v>
      </c>
      <c r="U101" s="425">
        <f>T101*$J$7/100</f>
        <v>30435.73076923077</v>
      </c>
      <c r="V101" s="425"/>
      <c r="W101" s="425">
        <f t="shared" si="25"/>
        <v>0</v>
      </c>
      <c r="X101" s="427">
        <v>55.21</v>
      </c>
      <c r="Y101" s="425">
        <f>X101*$J$7/900</f>
        <v>11159.970085470086</v>
      </c>
      <c r="Z101" s="425"/>
      <c r="AA101" s="425">
        <f t="shared" si="26"/>
        <v>0</v>
      </c>
      <c r="AB101" s="427">
        <v>100.38</v>
      </c>
      <c r="AC101" s="425">
        <f>AB101*$J$7/3600</f>
        <v>5072.6217948717958</v>
      </c>
      <c r="AD101" s="425"/>
      <c r="AE101" s="425">
        <f t="shared" si="27"/>
        <v>0</v>
      </c>
    </row>
    <row r="102" spans="1:31">
      <c r="A102" s="1057"/>
      <c r="B102" s="1082"/>
      <c r="C102" s="1084"/>
      <c r="D102" s="428">
        <f>L_CViec!Q$20</f>
        <v>1</v>
      </c>
      <c r="E102" s="429" t="str">
        <f>L_CViec!R$20</f>
        <v>1KTV6</v>
      </c>
      <c r="F102" s="418">
        <f>L_CViec!S$21</f>
        <v>343700.50000000006</v>
      </c>
      <c r="G102" s="914" t="s">
        <v>35</v>
      </c>
      <c r="H102" s="424">
        <v>5.94</v>
      </c>
      <c r="I102" s="425">
        <f t="shared" si="9"/>
        <v>2551976.2125000004</v>
      </c>
      <c r="J102" s="425">
        <f>$D102*H102*$J$4*$J$3</f>
        <v>72250.961538461546</v>
      </c>
      <c r="K102" s="425">
        <f t="shared" si="22"/>
        <v>0</v>
      </c>
      <c r="L102" s="426">
        <v>10.1</v>
      </c>
      <c r="M102" s="425">
        <f>$F102*L102*$J$3/6.25</f>
        <v>694275.01</v>
      </c>
      <c r="N102" s="425">
        <f>$D102*L102*$J$4*$J$3/6.25</f>
        <v>19656.153846153844</v>
      </c>
      <c r="O102" s="425">
        <f t="shared" si="23"/>
        <v>0</v>
      </c>
      <c r="P102" s="427">
        <v>12.04</v>
      </c>
      <c r="Q102" s="425">
        <f>$F102*P102*$J$3/25</f>
        <v>206907.701</v>
      </c>
      <c r="R102" s="425">
        <f>$D102*P102*$J$4*$J$3/25</f>
        <v>5857.9230769230762</v>
      </c>
      <c r="S102" s="425">
        <f t="shared" si="24"/>
        <v>0</v>
      </c>
      <c r="T102" s="427">
        <v>23.72</v>
      </c>
      <c r="U102" s="425">
        <f>$F102*T102*$J$3/100</f>
        <v>101907.19825000002</v>
      </c>
      <c r="V102" s="425">
        <f>$D102*T102*$J$4*$J$3/100</f>
        <v>2885.1730769230762</v>
      </c>
      <c r="W102" s="425">
        <f t="shared" si="25"/>
        <v>0</v>
      </c>
      <c r="X102" s="427">
        <v>66.25</v>
      </c>
      <c r="Y102" s="425">
        <f>$F102*X102*$J$3/900</f>
        <v>31625.219618055558</v>
      </c>
      <c r="Z102" s="425">
        <f>$D102*X102*$J$4*$J$3/900</f>
        <v>895.36591880341871</v>
      </c>
      <c r="AA102" s="425">
        <f t="shared" si="26"/>
        <v>0</v>
      </c>
      <c r="AB102" s="427">
        <v>120.46</v>
      </c>
      <c r="AC102" s="425">
        <f>$F102*AB102*$J$3/3600</f>
        <v>14375.750774305558</v>
      </c>
      <c r="AD102" s="425">
        <f>$D102*AB102*$J$4*$J$3/3600</f>
        <v>407.00293803418805</v>
      </c>
      <c r="AE102" s="425">
        <f t="shared" si="27"/>
        <v>0</v>
      </c>
    </row>
    <row r="103" spans="1:31">
      <c r="A103" s="1057"/>
      <c r="B103" s="1082"/>
      <c r="C103" s="1084"/>
      <c r="D103" s="417"/>
      <c r="E103" s="429"/>
      <c r="F103" s="418"/>
      <c r="G103" s="914"/>
      <c r="H103" s="424">
        <v>5.94</v>
      </c>
      <c r="I103" s="425">
        <f>H103*$J$7</f>
        <v>1080623.076923077</v>
      </c>
      <c r="J103" s="425"/>
      <c r="K103" s="425">
        <f t="shared" si="22"/>
        <v>0</v>
      </c>
      <c r="L103" s="426">
        <v>10.1</v>
      </c>
      <c r="M103" s="425">
        <f>L103*$J$7/6.25</f>
        <v>293987.69230769231</v>
      </c>
      <c r="N103" s="425"/>
      <c r="O103" s="425">
        <f t="shared" si="23"/>
        <v>0</v>
      </c>
      <c r="P103" s="427">
        <v>12.04</v>
      </c>
      <c r="Q103" s="425">
        <f>P103*$J$7/25</f>
        <v>87614.153846153844</v>
      </c>
      <c r="R103" s="425"/>
      <c r="S103" s="425">
        <f t="shared" si="24"/>
        <v>0</v>
      </c>
      <c r="T103" s="427">
        <v>23.72</v>
      </c>
      <c r="U103" s="425">
        <f>T103*$J$7/100</f>
        <v>43152.153846153851</v>
      </c>
      <c r="V103" s="425"/>
      <c r="W103" s="425">
        <f t="shared" si="25"/>
        <v>0</v>
      </c>
      <c r="X103" s="427">
        <v>66.25</v>
      </c>
      <c r="Y103" s="425">
        <f>X103*$J$7/900</f>
        <v>13391.559829059832</v>
      </c>
      <c r="Z103" s="425"/>
      <c r="AA103" s="425">
        <f t="shared" si="26"/>
        <v>0</v>
      </c>
      <c r="AB103" s="427">
        <v>120.46</v>
      </c>
      <c r="AC103" s="425">
        <f>AB103*$J$7/3600</f>
        <v>6087.348290598291</v>
      </c>
      <c r="AD103" s="425"/>
      <c r="AE103" s="425">
        <f t="shared" si="27"/>
        <v>0</v>
      </c>
    </row>
    <row r="104" spans="1:31">
      <c r="A104" s="1057"/>
      <c r="B104" s="1082"/>
      <c r="C104" s="1084"/>
      <c r="D104" s="428">
        <f>L_CViec!Q$20</f>
        <v>1</v>
      </c>
      <c r="E104" s="429" t="str">
        <f>L_CViec!R$20</f>
        <v>1KTV6</v>
      </c>
      <c r="F104" s="418">
        <f>L_CViec!S$21</f>
        <v>343700.50000000006</v>
      </c>
      <c r="G104" s="914" t="s">
        <v>33</v>
      </c>
      <c r="H104" s="424">
        <v>7.13</v>
      </c>
      <c r="I104" s="425">
        <f t="shared" si="9"/>
        <v>3063230.7062500007</v>
      </c>
      <c r="J104" s="425">
        <f>$D104*H104*$J$4*$J$3</f>
        <v>86725.480769230766</v>
      </c>
      <c r="K104" s="425">
        <f t="shared" si="22"/>
        <v>0</v>
      </c>
      <c r="L104" s="426">
        <v>12.12</v>
      </c>
      <c r="M104" s="425">
        <f>$F104*L104*$J$3/6.25</f>
        <v>833130.01200000022</v>
      </c>
      <c r="N104" s="425">
        <f>$D104*L104*$J$4*$J$3/6.25</f>
        <v>23587.38461538461</v>
      </c>
      <c r="O104" s="425">
        <f t="shared" si="23"/>
        <v>0</v>
      </c>
      <c r="P104" s="427">
        <v>18.18</v>
      </c>
      <c r="Q104" s="425">
        <f>$F104*P104*$J$3/25</f>
        <v>312423.75450000004</v>
      </c>
      <c r="R104" s="425">
        <f>$D104*P104*$J$4*$J$3/25</f>
        <v>8845.2692307692305</v>
      </c>
      <c r="S104" s="425">
        <f t="shared" si="24"/>
        <v>0</v>
      </c>
      <c r="T104" s="427">
        <v>30.3</v>
      </c>
      <c r="U104" s="425">
        <f>$F104*T104*$J$3/100</f>
        <v>130176.56437500003</v>
      </c>
      <c r="V104" s="425">
        <f>$D104*T104*$J$4*$J$3/100</f>
        <v>3685.5288461538462</v>
      </c>
      <c r="W104" s="425">
        <f t="shared" si="25"/>
        <v>0</v>
      </c>
      <c r="X104" s="427">
        <v>79.5</v>
      </c>
      <c r="Y104" s="425">
        <f>$F104*X104*$J$3/900</f>
        <v>37950.263541666674</v>
      </c>
      <c r="Z104" s="425">
        <f>$D104*X104*$J$4*$J$3/900</f>
        <v>1074.4391025641025</v>
      </c>
      <c r="AA104" s="425">
        <f t="shared" si="26"/>
        <v>0</v>
      </c>
      <c r="AB104" s="427">
        <v>144.55000000000001</v>
      </c>
      <c r="AC104" s="425">
        <f>$F104*AB104*$J$3/3600</f>
        <v>17250.662248263892</v>
      </c>
      <c r="AD104" s="425">
        <f>$D104*AB104*$J$4*$J$3/3600</f>
        <v>488.39676816239319</v>
      </c>
      <c r="AE104" s="425">
        <f t="shared" si="27"/>
        <v>0</v>
      </c>
    </row>
    <row r="105" spans="1:31">
      <c r="A105" s="1057"/>
      <c r="B105" s="1082"/>
      <c r="C105" s="1084"/>
      <c r="D105" s="417"/>
      <c r="E105" s="429"/>
      <c r="F105" s="418"/>
      <c r="G105" s="914"/>
      <c r="H105" s="424">
        <v>7.13</v>
      </c>
      <c r="I105" s="425">
        <f>H105*$J$7</f>
        <v>1297111.5384615385</v>
      </c>
      <c r="J105" s="425"/>
      <c r="K105" s="425">
        <f t="shared" si="22"/>
        <v>0</v>
      </c>
      <c r="L105" s="426">
        <v>12.12</v>
      </c>
      <c r="M105" s="425">
        <f>L105*$J$7/6.25</f>
        <v>352785.23076923081</v>
      </c>
      <c r="N105" s="425"/>
      <c r="O105" s="425">
        <f t="shared" si="23"/>
        <v>0</v>
      </c>
      <c r="P105" s="427">
        <v>18.18</v>
      </c>
      <c r="Q105" s="425">
        <f>P105*$J$7/25</f>
        <v>132294.46153846153</v>
      </c>
      <c r="R105" s="425"/>
      <c r="S105" s="425">
        <f t="shared" si="24"/>
        <v>0</v>
      </c>
      <c r="T105" s="427">
        <v>30.3</v>
      </c>
      <c r="U105" s="425">
        <f>T105*$J$7/100</f>
        <v>55122.692307692312</v>
      </c>
      <c r="V105" s="425"/>
      <c r="W105" s="425">
        <f t="shared" si="25"/>
        <v>0</v>
      </c>
      <c r="X105" s="427">
        <v>79.5</v>
      </c>
      <c r="Y105" s="425">
        <f>X105*$J$7/900</f>
        <v>16069.871794871795</v>
      </c>
      <c r="Z105" s="425"/>
      <c r="AA105" s="425">
        <f t="shared" si="26"/>
        <v>0</v>
      </c>
      <c r="AB105" s="427">
        <v>144.55000000000001</v>
      </c>
      <c r="AC105" s="425">
        <f>AB105*$J$7/3600</f>
        <v>7304.7168803418808</v>
      </c>
      <c r="AD105" s="425"/>
      <c r="AE105" s="425">
        <f t="shared" si="27"/>
        <v>0</v>
      </c>
    </row>
    <row r="106" spans="1:31" s="357" customFormat="1">
      <c r="A106" s="1057"/>
      <c r="B106" s="1082"/>
      <c r="C106" s="1084"/>
      <c r="D106" s="428">
        <f>L_CViec!Q$20</f>
        <v>1</v>
      </c>
      <c r="E106" s="429" t="str">
        <f>L_CViec!R$20</f>
        <v>1KTV6</v>
      </c>
      <c r="F106" s="418">
        <f>L_CViec!S$21</f>
        <v>343700.50000000006</v>
      </c>
      <c r="G106" s="914" t="s">
        <v>13</v>
      </c>
      <c r="H106" s="424"/>
      <c r="I106" s="425">
        <f t="shared" si="9"/>
        <v>0</v>
      </c>
      <c r="J106" s="425">
        <f>$D106*H106*$J$4*$J$3</f>
        <v>0</v>
      </c>
      <c r="K106" s="425">
        <f t="shared" si="22"/>
        <v>0</v>
      </c>
      <c r="L106" s="426">
        <v>14.54</v>
      </c>
      <c r="M106" s="425">
        <f>$F106*L106*$J$3/6.25</f>
        <v>999481.054</v>
      </c>
      <c r="N106" s="425">
        <f>$D106*L106*$J$4*$J$3/6.25</f>
        <v>28297.076923076922</v>
      </c>
      <c r="O106" s="425">
        <f t="shared" si="23"/>
        <v>0</v>
      </c>
      <c r="P106" s="427">
        <v>21.82</v>
      </c>
      <c r="Q106" s="425">
        <f>$F106*P106*$J$3/25</f>
        <v>374977.24550000002</v>
      </c>
      <c r="R106" s="425">
        <f>$D106*P106*$J$4*$J$3/25</f>
        <v>10616.26923076923</v>
      </c>
      <c r="S106" s="425">
        <f t="shared" si="24"/>
        <v>0</v>
      </c>
      <c r="T106" s="427">
        <v>39.14</v>
      </c>
      <c r="U106" s="425">
        <f>$F106*T106*$J$3/100</f>
        <v>168155.46962500003</v>
      </c>
      <c r="V106" s="425">
        <f>$D106*T106*$J$4*$J$3/100</f>
        <v>4760.7788461538466</v>
      </c>
      <c r="W106" s="425">
        <f t="shared" si="25"/>
        <v>0</v>
      </c>
      <c r="X106" s="427"/>
      <c r="Y106" s="425">
        <f>$F106*X106*$J$3/900</f>
        <v>0</v>
      </c>
      <c r="Z106" s="425">
        <f>$D106*X106*$J$4*$J$3/900</f>
        <v>0</v>
      </c>
      <c r="AA106" s="425">
        <f t="shared" si="26"/>
        <v>0</v>
      </c>
      <c r="AB106" s="427"/>
      <c r="AC106" s="425">
        <f>$F106*AB106*$J$3/3600</f>
        <v>0</v>
      </c>
      <c r="AD106" s="425">
        <f>$D106*AB106*$J$4*$J$3/3600</f>
        <v>0</v>
      </c>
      <c r="AE106" s="425">
        <f t="shared" si="27"/>
        <v>0</v>
      </c>
    </row>
    <row r="107" spans="1:31" s="357" customFormat="1">
      <c r="A107" s="1057"/>
      <c r="B107" s="1082"/>
      <c r="C107" s="1084"/>
      <c r="D107" s="417"/>
      <c r="E107" s="429"/>
      <c r="F107" s="418"/>
      <c r="G107" s="914"/>
      <c r="H107" s="424"/>
      <c r="I107" s="425">
        <f>H107*$J$7</f>
        <v>0</v>
      </c>
      <c r="J107" s="425"/>
      <c r="K107" s="425">
        <f t="shared" si="22"/>
        <v>0</v>
      </c>
      <c r="L107" s="426">
        <v>14.54</v>
      </c>
      <c r="M107" s="425">
        <f>L107*$J$7/6.25</f>
        <v>423225.84615384619</v>
      </c>
      <c r="N107" s="425"/>
      <c r="O107" s="425">
        <f t="shared" si="23"/>
        <v>0</v>
      </c>
      <c r="P107" s="427">
        <v>21.82</v>
      </c>
      <c r="Q107" s="425">
        <f>P107*$J$7/25</f>
        <v>158782.46153846156</v>
      </c>
      <c r="R107" s="425"/>
      <c r="S107" s="425">
        <f t="shared" si="24"/>
        <v>0</v>
      </c>
      <c r="T107" s="427">
        <v>39.14</v>
      </c>
      <c r="U107" s="425">
        <f>T107*$J$7/100</f>
        <v>71204.692307692312</v>
      </c>
      <c r="V107" s="425"/>
      <c r="W107" s="425">
        <f t="shared" si="25"/>
        <v>0</v>
      </c>
      <c r="X107" s="427"/>
      <c r="Y107" s="425">
        <f>X107*$J$7/900</f>
        <v>0</v>
      </c>
      <c r="Z107" s="425"/>
      <c r="AA107" s="425">
        <f t="shared" si="26"/>
        <v>0</v>
      </c>
      <c r="AB107" s="427"/>
      <c r="AC107" s="425">
        <f>AB107*$J$7/3600</f>
        <v>0</v>
      </c>
      <c r="AD107" s="425"/>
      <c r="AE107" s="425">
        <f t="shared" si="27"/>
        <v>0</v>
      </c>
    </row>
    <row r="108" spans="1:31">
      <c r="A108" s="432">
        <v>2</v>
      </c>
      <c r="B108" s="433" t="s">
        <v>58</v>
      </c>
      <c r="C108" s="434" t="s">
        <v>317</v>
      </c>
      <c r="D108" s="417"/>
      <c r="E108" s="429"/>
      <c r="F108" s="425"/>
      <c r="G108" s="914"/>
      <c r="H108" s="424"/>
      <c r="I108" s="425"/>
      <c r="J108" s="425"/>
      <c r="K108" s="425">
        <f t="shared" si="22"/>
        <v>0</v>
      </c>
      <c r="L108" s="427" t="s">
        <v>199</v>
      </c>
      <c r="M108" s="425"/>
      <c r="N108" s="425"/>
      <c r="O108" s="425"/>
      <c r="P108" s="427" t="s">
        <v>199</v>
      </c>
      <c r="Q108" s="425"/>
      <c r="R108" s="425"/>
      <c r="S108" s="425"/>
      <c r="T108" s="427" t="s">
        <v>199</v>
      </c>
      <c r="U108" s="425"/>
      <c r="V108" s="425"/>
      <c r="W108" s="425"/>
      <c r="X108" s="427" t="s">
        <v>199</v>
      </c>
      <c r="Y108" s="425"/>
      <c r="Z108" s="425"/>
      <c r="AA108" s="425"/>
      <c r="AB108" s="427" t="s">
        <v>199</v>
      </c>
      <c r="AC108" s="425"/>
      <c r="AD108" s="425"/>
      <c r="AE108" s="425"/>
    </row>
    <row r="109" spans="1:31">
      <c r="A109" s="1057" t="s">
        <v>268</v>
      </c>
      <c r="B109" s="1098" t="str">
        <f>L_CViec!B23</f>
        <v>Biên tập bản đồ địa chính</v>
      </c>
      <c r="C109" s="435"/>
      <c r="D109" s="416">
        <f>L_CViec!Q$23</f>
        <v>2</v>
      </c>
      <c r="E109" s="431" t="str">
        <f>L_CViec!R$23</f>
        <v>2KTV6</v>
      </c>
      <c r="F109" s="418">
        <f>L_CViec!S$23</f>
        <v>687401.00000000012</v>
      </c>
      <c r="G109" s="914" t="s">
        <v>18</v>
      </c>
      <c r="H109" s="424">
        <v>2.04</v>
      </c>
      <c r="I109" s="425">
        <f>$F109*H109</f>
        <v>1402298.0400000003</v>
      </c>
      <c r="J109" s="425">
        <f>$D109*H109*$J$5</f>
        <v>39701.538461538461</v>
      </c>
      <c r="K109" s="425">
        <f>$D109*H109*$J$6</f>
        <v>0</v>
      </c>
      <c r="L109" s="427">
        <v>4.59</v>
      </c>
      <c r="M109" s="425">
        <f>$F109*L109/6.25</f>
        <v>504827.29440000007</v>
      </c>
      <c r="N109" s="425">
        <f t="shared" ref="N109:N119" si="28">$D109*L109*$J$5/6.25</f>
        <v>14292.553846153845</v>
      </c>
      <c r="O109" s="425">
        <f t="shared" ref="O109:O119" si="29">$D109*L109*$J$6/6.25</f>
        <v>0</v>
      </c>
      <c r="P109" s="427">
        <v>7.96</v>
      </c>
      <c r="Q109" s="425">
        <f t="shared" ref="Q109:Q117" si="30">$F109*P109/25</f>
        <v>218868.47840000002</v>
      </c>
      <c r="R109" s="425">
        <f t="shared" ref="R109:R119" si="31">$D109*P109*$J$5/25</f>
        <v>6196.5538461538463</v>
      </c>
      <c r="S109" s="425">
        <f t="shared" ref="S109:S119" si="32">$D109*P109*$J$6/25</f>
        <v>0</v>
      </c>
      <c r="T109" s="427">
        <v>18.05</v>
      </c>
      <c r="U109" s="425">
        <f>$F109*T109/100</f>
        <v>124075.88050000003</v>
      </c>
      <c r="V109" s="425">
        <f t="shared" ref="V109:V119" si="33">$D109*T109*$J$5/100</f>
        <v>3512.8076923076924</v>
      </c>
      <c r="W109" s="425">
        <f t="shared" ref="W109:W119" si="34">$D109*T109*$J$6/100</f>
        <v>0</v>
      </c>
      <c r="X109" s="427">
        <v>22.25</v>
      </c>
      <c r="Y109" s="425">
        <f>$F109*X109/900</f>
        <v>16994.080277777779</v>
      </c>
      <c r="Z109" s="425">
        <f t="shared" ref="Z109:Z119" si="35">$D109*X109*$J$5/900</f>
        <v>481.13247863247864</v>
      </c>
      <c r="AA109" s="425">
        <f t="shared" ref="AA109:AA119" si="36">$D109*X109*$J$6/900</f>
        <v>0</v>
      </c>
      <c r="AB109" s="427">
        <v>28.92</v>
      </c>
      <c r="AC109" s="425">
        <f>$F109*AB109/3600</f>
        <v>5522.1213666666681</v>
      </c>
      <c r="AD109" s="425">
        <f t="shared" ref="AD109:AD119" si="37">$D109*AB109*$J$5/3600</f>
        <v>156.34102564102565</v>
      </c>
      <c r="AE109" s="425">
        <f t="shared" ref="AE109:AE119" si="38">$D109*AB109*$J$6/3600</f>
        <v>0</v>
      </c>
    </row>
    <row r="110" spans="1:31" s="357" customFormat="1">
      <c r="A110" s="1057"/>
      <c r="B110" s="1098"/>
      <c r="C110" s="435"/>
      <c r="D110" s="416">
        <f>L_CViec!Q$23</f>
        <v>2</v>
      </c>
      <c r="E110" s="431" t="str">
        <f>L_CViec!R$23</f>
        <v>2KTV6</v>
      </c>
      <c r="F110" s="418">
        <f>L_CViec!S$23</f>
        <v>687401.00000000012</v>
      </c>
      <c r="G110" s="914" t="s">
        <v>20</v>
      </c>
      <c r="H110" s="424">
        <v>2.4700000000000002</v>
      </c>
      <c r="I110" s="425">
        <f t="shared" ref="I110:I119" si="39">$F110*H110</f>
        <v>1697880.4700000004</v>
      </c>
      <c r="J110" s="425">
        <f t="shared" ref="J110:J119" si="40">$D110*H110*$J$5</f>
        <v>48070</v>
      </c>
      <c r="K110" s="425">
        <f t="shared" si="22"/>
        <v>0</v>
      </c>
      <c r="L110" s="427">
        <v>5.61</v>
      </c>
      <c r="M110" s="425">
        <f>$F110*L110/6.25</f>
        <v>617011.13760000013</v>
      </c>
      <c r="N110" s="425">
        <f t="shared" si="28"/>
        <v>17468.676923076924</v>
      </c>
      <c r="O110" s="425">
        <f t="shared" si="29"/>
        <v>0</v>
      </c>
      <c r="P110" s="427">
        <v>9.9499999999999993</v>
      </c>
      <c r="Q110" s="425">
        <f t="shared" si="30"/>
        <v>273585.59800000006</v>
      </c>
      <c r="R110" s="425">
        <f t="shared" si="31"/>
        <v>7745.6923076923067</v>
      </c>
      <c r="S110" s="425">
        <f t="shared" si="32"/>
        <v>0</v>
      </c>
      <c r="T110" s="427">
        <v>21.66</v>
      </c>
      <c r="U110" s="425">
        <f t="shared" ref="U110:U119" si="41">$F110*T110/100</f>
        <v>148891.05660000001</v>
      </c>
      <c r="V110" s="425">
        <f t="shared" si="33"/>
        <v>4215.3692307692309</v>
      </c>
      <c r="W110" s="425">
        <f t="shared" si="34"/>
        <v>0</v>
      </c>
      <c r="X110" s="427">
        <v>30.04</v>
      </c>
      <c r="Y110" s="425">
        <f t="shared" ref="Y110:Y119" si="42">$F110*X110/900</f>
        <v>22943.917822222225</v>
      </c>
      <c r="Z110" s="425">
        <f t="shared" si="35"/>
        <v>649.58290598290603</v>
      </c>
      <c r="AA110" s="425">
        <f t="shared" si="36"/>
        <v>0</v>
      </c>
      <c r="AB110" s="427">
        <v>39.049999999999997</v>
      </c>
      <c r="AC110" s="425">
        <f t="shared" ref="AC110:AC119" si="43">$F110*AB110/3600</f>
        <v>7456.3914027777782</v>
      </c>
      <c r="AD110" s="425">
        <f t="shared" si="37"/>
        <v>211.10363247863248</v>
      </c>
      <c r="AE110" s="425">
        <f t="shared" si="38"/>
        <v>0</v>
      </c>
    </row>
    <row r="111" spans="1:31">
      <c r="A111" s="1057"/>
      <c r="B111" s="1098"/>
      <c r="C111" s="435"/>
      <c r="D111" s="416">
        <f>L_CViec!Q$23</f>
        <v>2</v>
      </c>
      <c r="E111" s="431" t="str">
        <f>L_CViec!R$23</f>
        <v>2KTV6</v>
      </c>
      <c r="F111" s="418">
        <f>L_CViec!S$23</f>
        <v>687401.00000000012</v>
      </c>
      <c r="G111" s="914" t="s">
        <v>35</v>
      </c>
      <c r="H111" s="424">
        <v>2.86</v>
      </c>
      <c r="I111" s="425">
        <f t="shared" si="39"/>
        <v>1965966.8600000003</v>
      </c>
      <c r="J111" s="425">
        <f t="shared" si="40"/>
        <v>55659.999999999993</v>
      </c>
      <c r="K111" s="425">
        <f t="shared" si="22"/>
        <v>0</v>
      </c>
      <c r="L111" s="427">
        <v>6.63</v>
      </c>
      <c r="M111" s="425">
        <f t="shared" ref="M111:M116" si="44">$F111*L111/6.25</f>
        <v>729194.98080000014</v>
      </c>
      <c r="N111" s="425">
        <f t="shared" si="28"/>
        <v>20644.8</v>
      </c>
      <c r="O111" s="425">
        <f t="shared" si="29"/>
        <v>0</v>
      </c>
      <c r="P111" s="427">
        <v>12.44</v>
      </c>
      <c r="Q111" s="425">
        <f t="shared" si="30"/>
        <v>342050.73760000005</v>
      </c>
      <c r="R111" s="425">
        <f t="shared" si="31"/>
        <v>9684.0615384615376</v>
      </c>
      <c r="S111" s="425">
        <f t="shared" si="32"/>
        <v>0</v>
      </c>
      <c r="T111" s="427">
        <v>26</v>
      </c>
      <c r="U111" s="425">
        <f t="shared" si="41"/>
        <v>178724.26000000004</v>
      </c>
      <c r="V111" s="425">
        <f t="shared" si="33"/>
        <v>5060</v>
      </c>
      <c r="W111" s="425">
        <f t="shared" si="34"/>
        <v>0</v>
      </c>
      <c r="X111" s="427">
        <v>40.549999999999997</v>
      </c>
      <c r="Y111" s="425">
        <f t="shared" si="42"/>
        <v>30971.233944444448</v>
      </c>
      <c r="Z111" s="425">
        <f t="shared" si="35"/>
        <v>876.85042735042725</v>
      </c>
      <c r="AA111" s="425">
        <f t="shared" si="36"/>
        <v>0</v>
      </c>
      <c r="AB111" s="427">
        <v>52.72</v>
      </c>
      <c r="AC111" s="425">
        <f t="shared" si="43"/>
        <v>10066.605755555558</v>
      </c>
      <c r="AD111" s="425">
        <f t="shared" si="37"/>
        <v>285.00341880341881</v>
      </c>
      <c r="AE111" s="425">
        <f t="shared" si="38"/>
        <v>0</v>
      </c>
    </row>
    <row r="112" spans="1:31">
      <c r="A112" s="1057"/>
      <c r="B112" s="1098"/>
      <c r="C112" s="435"/>
      <c r="D112" s="416">
        <f>L_CViec!Q$23</f>
        <v>2</v>
      </c>
      <c r="E112" s="431" t="str">
        <f>L_CViec!R$23</f>
        <v>2KTV6</v>
      </c>
      <c r="F112" s="418">
        <f>L_CViec!S$23</f>
        <v>687401.00000000012</v>
      </c>
      <c r="G112" s="914" t="s">
        <v>33</v>
      </c>
      <c r="H112" s="424">
        <v>3.54</v>
      </c>
      <c r="I112" s="425">
        <f t="shared" si="39"/>
        <v>2433399.5400000005</v>
      </c>
      <c r="J112" s="425">
        <f t="shared" si="40"/>
        <v>68893.846153846156</v>
      </c>
      <c r="K112" s="425">
        <f t="shared" si="22"/>
        <v>0</v>
      </c>
      <c r="L112" s="427">
        <v>7.99</v>
      </c>
      <c r="M112" s="425">
        <f t="shared" si="44"/>
        <v>878773.43840000022</v>
      </c>
      <c r="N112" s="425">
        <f t="shared" si="28"/>
        <v>24879.630769230771</v>
      </c>
      <c r="O112" s="425">
        <f t="shared" si="29"/>
        <v>0</v>
      </c>
      <c r="P112" s="427">
        <v>15.55</v>
      </c>
      <c r="Q112" s="425">
        <f t="shared" si="30"/>
        <v>427563.42200000008</v>
      </c>
      <c r="R112" s="425">
        <f t="shared" si="31"/>
        <v>12105.076923076922</v>
      </c>
      <c r="S112" s="425">
        <f t="shared" si="32"/>
        <v>0</v>
      </c>
      <c r="T112" s="427">
        <v>20.83</v>
      </c>
      <c r="U112" s="425">
        <f t="shared" si="41"/>
        <v>143185.62830000001</v>
      </c>
      <c r="V112" s="425">
        <f t="shared" si="33"/>
        <v>4053.8384615384612</v>
      </c>
      <c r="W112" s="425">
        <f t="shared" si="34"/>
        <v>0</v>
      </c>
      <c r="X112" s="427">
        <v>54.74</v>
      </c>
      <c r="Y112" s="425">
        <f t="shared" si="42"/>
        <v>41809.25637777779</v>
      </c>
      <c r="Z112" s="425">
        <f t="shared" si="35"/>
        <v>1183.6940170940172</v>
      </c>
      <c r="AA112" s="425">
        <f t="shared" si="36"/>
        <v>0</v>
      </c>
      <c r="AB112" s="427">
        <v>71.16</v>
      </c>
      <c r="AC112" s="425">
        <f t="shared" si="43"/>
        <v>13587.626433333335</v>
      </c>
      <c r="AD112" s="425">
        <f t="shared" si="37"/>
        <v>384.68974358974356</v>
      </c>
      <c r="AE112" s="425">
        <f t="shared" si="38"/>
        <v>0</v>
      </c>
    </row>
    <row r="113" spans="1:31">
      <c r="A113" s="1057"/>
      <c r="B113" s="1098"/>
      <c r="C113" s="435"/>
      <c r="D113" s="416">
        <f>L_CViec!Q$23</f>
        <v>2</v>
      </c>
      <c r="E113" s="431" t="str">
        <f>L_CViec!R$23</f>
        <v>2KTV6</v>
      </c>
      <c r="F113" s="418">
        <f>L_CViec!S$23</f>
        <v>687401.00000000012</v>
      </c>
      <c r="G113" s="914" t="s">
        <v>13</v>
      </c>
      <c r="H113" s="424"/>
      <c r="I113" s="425">
        <f t="shared" si="39"/>
        <v>0</v>
      </c>
      <c r="J113" s="425">
        <f t="shared" si="40"/>
        <v>0</v>
      </c>
      <c r="K113" s="425">
        <f t="shared" si="22"/>
        <v>0</v>
      </c>
      <c r="L113" s="427">
        <v>9.61</v>
      </c>
      <c r="M113" s="425">
        <f t="shared" si="44"/>
        <v>1056947.7776000001</v>
      </c>
      <c r="N113" s="425">
        <f t="shared" si="28"/>
        <v>29924.061538461534</v>
      </c>
      <c r="O113" s="425">
        <f t="shared" si="29"/>
        <v>0</v>
      </c>
      <c r="P113" s="427">
        <v>19.440000000000001</v>
      </c>
      <c r="Q113" s="425">
        <f t="shared" si="30"/>
        <v>534523.01760000014</v>
      </c>
      <c r="R113" s="425">
        <f t="shared" si="31"/>
        <v>15133.292307692307</v>
      </c>
      <c r="S113" s="425">
        <f t="shared" si="32"/>
        <v>0</v>
      </c>
      <c r="T113" s="427">
        <v>26.05</v>
      </c>
      <c r="U113" s="425">
        <f t="shared" si="41"/>
        <v>179067.96050000004</v>
      </c>
      <c r="V113" s="425">
        <f t="shared" si="33"/>
        <v>5069.7307692307695</v>
      </c>
      <c r="W113" s="425">
        <f t="shared" si="34"/>
        <v>0</v>
      </c>
      <c r="X113" s="427"/>
      <c r="Y113" s="425">
        <f t="shared" si="42"/>
        <v>0</v>
      </c>
      <c r="Z113" s="425">
        <f t="shared" si="35"/>
        <v>0</v>
      </c>
      <c r="AA113" s="425">
        <f t="shared" si="36"/>
        <v>0</v>
      </c>
      <c r="AB113" s="427"/>
      <c r="AC113" s="425">
        <f t="shared" si="43"/>
        <v>0</v>
      </c>
      <c r="AD113" s="425">
        <f t="shared" si="37"/>
        <v>0</v>
      </c>
      <c r="AE113" s="425">
        <f t="shared" si="38"/>
        <v>0</v>
      </c>
    </row>
    <row r="114" spans="1:31" ht="26">
      <c r="A114" s="430">
        <v>2.2000000000000002</v>
      </c>
      <c r="B114" s="436" t="str">
        <f>L_CViec!B24</f>
        <v>Lập Phiếu xác nhận kết quả đo đạc hiện trạng thửa đất</v>
      </c>
      <c r="C114" s="437"/>
      <c r="D114" s="416">
        <f>L_CViec!Q24</f>
        <v>1</v>
      </c>
      <c r="E114" s="437" t="str">
        <f>L_CViec!R24</f>
        <v>1KTV6</v>
      </c>
      <c r="F114" s="418">
        <f>L_CViec!S24</f>
        <v>343700.50000000006</v>
      </c>
      <c r="G114" s="914" t="s">
        <v>15</v>
      </c>
      <c r="H114" s="424">
        <v>1.72</v>
      </c>
      <c r="I114" s="425">
        <f>$F114*H114</f>
        <v>591164.8600000001</v>
      </c>
      <c r="J114" s="425">
        <f>$D114*H114*$J$5</f>
        <v>16736.923076923074</v>
      </c>
      <c r="K114" s="425">
        <f>$D114*H114*$J$6</f>
        <v>0</v>
      </c>
      <c r="L114" s="427">
        <v>7.54</v>
      </c>
      <c r="M114" s="425">
        <f>$F114*L114/6.25</f>
        <v>414640.28320000006</v>
      </c>
      <c r="N114" s="425">
        <f>$D114*L114*$J$5/6.25</f>
        <v>11739.2</v>
      </c>
      <c r="O114" s="425">
        <f>$D114*L114*$J$6/6.25</f>
        <v>0</v>
      </c>
      <c r="P114" s="427">
        <v>15</v>
      </c>
      <c r="Q114" s="425">
        <f>$F114*P114/25</f>
        <v>206220.30000000005</v>
      </c>
      <c r="R114" s="425">
        <f>$D114*P114*$J$5/25</f>
        <v>5838.461538461539</v>
      </c>
      <c r="S114" s="425">
        <f>$D114*P114*$J$6/25</f>
        <v>0</v>
      </c>
      <c r="T114" s="427">
        <v>22</v>
      </c>
      <c r="U114" s="425">
        <f>$F114*T114/100</f>
        <v>75614.110000000015</v>
      </c>
      <c r="V114" s="425">
        <f>$D114*T114*$J$5/100</f>
        <v>2140.7692307692305</v>
      </c>
      <c r="W114" s="425">
        <f>$D114*T114*$J$6/100</f>
        <v>0</v>
      </c>
      <c r="X114" s="427">
        <v>19.8</v>
      </c>
      <c r="Y114" s="425">
        <f>$F114*X114/900</f>
        <v>7561.4110000000019</v>
      </c>
      <c r="Z114" s="425">
        <f>$D114*X114*$J$5/900</f>
        <v>214.07692307692309</v>
      </c>
      <c r="AA114" s="425">
        <f>$D114*X114*$J$6/900</f>
        <v>0</v>
      </c>
      <c r="AB114" s="427">
        <v>29.7</v>
      </c>
      <c r="AC114" s="425">
        <f>$F114*AB114/3600</f>
        <v>2835.5291250000005</v>
      </c>
      <c r="AD114" s="425">
        <f>$D114*AB114*$J$5/3600</f>
        <v>80.278846153846146</v>
      </c>
      <c r="AE114" s="425">
        <f>$D114*AB114*$J$6/3600</f>
        <v>0</v>
      </c>
    </row>
    <row r="115" spans="1:31" ht="30.75" customHeight="1">
      <c r="A115" s="430" t="s">
        <v>246</v>
      </c>
      <c r="B115" s="431" t="str">
        <f>L_CViec!B25</f>
        <v>Công khai bản đồ địa chính, Hoàn thiện bản đồ địa chính</v>
      </c>
      <c r="C115" s="431"/>
      <c r="D115" s="416">
        <f>L_CViec!Q25</f>
        <v>1</v>
      </c>
      <c r="E115" s="431" t="str">
        <f>L_CViec!R25</f>
        <v>1KTV6</v>
      </c>
      <c r="F115" s="418">
        <f>L_CViec!S25</f>
        <v>343700.50000000006</v>
      </c>
      <c r="G115" s="914" t="s">
        <v>15</v>
      </c>
      <c r="H115" s="896">
        <v>1.96</v>
      </c>
      <c r="I115" s="425">
        <f>$F115*H115</f>
        <v>673652.9800000001</v>
      </c>
      <c r="J115" s="425">
        <f>$D115*H115*$J$5</f>
        <v>19072.307692307691</v>
      </c>
      <c r="K115" s="425">
        <f>$D115*H115*$J$6</f>
        <v>0</v>
      </c>
      <c r="L115" s="896">
        <v>6.19</v>
      </c>
      <c r="M115" s="425">
        <f>$F115*L115/6.25</f>
        <v>340400.9752000001</v>
      </c>
      <c r="N115" s="425">
        <f>$D115*L115*$J$5/6.25</f>
        <v>9637.3538461538465</v>
      </c>
      <c r="O115" s="425">
        <f>$D115*L115*$J$6/6.25</f>
        <v>0</v>
      </c>
      <c r="P115" s="896">
        <v>14</v>
      </c>
      <c r="Q115" s="425">
        <f>$F115*P115/25</f>
        <v>192472.28000000003</v>
      </c>
      <c r="R115" s="425">
        <f>$D115*P115*$J$5/25</f>
        <v>5449.2307692307686</v>
      </c>
      <c r="S115" s="425">
        <f>$D115*P115*$J$6/25</f>
        <v>0</v>
      </c>
      <c r="T115" s="896">
        <v>19.600000000000001</v>
      </c>
      <c r="U115" s="425">
        <f>$F115*T115/100</f>
        <v>67365.29800000001</v>
      </c>
      <c r="V115" s="425">
        <f>$D115*T115*$J$5/100</f>
        <v>1907.2307692307693</v>
      </c>
      <c r="W115" s="425">
        <f>$D115*T115*$J$6/100</f>
        <v>0</v>
      </c>
      <c r="X115" s="896">
        <v>25.48</v>
      </c>
      <c r="Y115" s="425">
        <f>$F115*X115/900</f>
        <v>9730.5430444444464</v>
      </c>
      <c r="Z115" s="425">
        <f>$D115*X115*$J$5/900</f>
        <v>275.48888888888888</v>
      </c>
      <c r="AA115" s="425">
        <f>$D115*X115*$J$6/900</f>
        <v>0</v>
      </c>
      <c r="AB115" s="896">
        <v>21.56</v>
      </c>
      <c r="AC115" s="425">
        <f>$F115*AB115/3600</f>
        <v>2058.3841055555558</v>
      </c>
      <c r="AD115" s="425">
        <f>$D115*AB115*$J$5/3600</f>
        <v>58.276495726495718</v>
      </c>
      <c r="AE115" s="425">
        <f>$D115*AB115*$J$6/3600</f>
        <v>0</v>
      </c>
    </row>
    <row r="116" spans="1:31" ht="26">
      <c r="A116" s="438">
        <v>2.4</v>
      </c>
      <c r="B116" s="436" t="str">
        <f>L_CViec!B26</f>
        <v>Lập sổ mục kê đất đai phạm vi khu đo</v>
      </c>
      <c r="C116" s="437"/>
      <c r="D116" s="416">
        <f>L_CViec!Q26</f>
        <v>1</v>
      </c>
      <c r="E116" s="431" t="str">
        <f>L_CViec!R26</f>
        <v>1KTV6</v>
      </c>
      <c r="F116" s="418">
        <f>L_CViec!S26</f>
        <v>343700.50000000006</v>
      </c>
      <c r="G116" s="914" t="s">
        <v>15</v>
      </c>
      <c r="H116" s="424">
        <v>0.1</v>
      </c>
      <c r="I116" s="425">
        <f t="shared" si="39"/>
        <v>34370.05000000001</v>
      </c>
      <c r="J116" s="425">
        <f t="shared" si="40"/>
        <v>973.07692307692309</v>
      </c>
      <c r="K116" s="425">
        <f t="shared" si="22"/>
        <v>0</v>
      </c>
      <c r="L116" s="427">
        <v>0.35</v>
      </c>
      <c r="M116" s="425">
        <f t="shared" si="44"/>
        <v>19247.228000000003</v>
      </c>
      <c r="N116" s="425">
        <f t="shared" si="28"/>
        <v>544.92307692307691</v>
      </c>
      <c r="O116" s="425">
        <f t="shared" si="29"/>
        <v>0</v>
      </c>
      <c r="P116" s="427">
        <v>1.65</v>
      </c>
      <c r="Q116" s="425">
        <f t="shared" si="30"/>
        <v>22684.233000000004</v>
      </c>
      <c r="R116" s="425">
        <f t="shared" si="31"/>
        <v>642.23076923076917</v>
      </c>
      <c r="S116" s="425">
        <f t="shared" si="32"/>
        <v>0</v>
      </c>
      <c r="T116" s="427">
        <v>2.2200000000000002</v>
      </c>
      <c r="U116" s="425">
        <f t="shared" si="41"/>
        <v>7630.1511000000019</v>
      </c>
      <c r="V116" s="425">
        <f t="shared" si="33"/>
        <v>216.02307692307696</v>
      </c>
      <c r="W116" s="425">
        <f t="shared" si="34"/>
        <v>0</v>
      </c>
      <c r="X116" s="427">
        <v>2</v>
      </c>
      <c r="Y116" s="425">
        <f t="shared" si="42"/>
        <v>763.77888888888901</v>
      </c>
      <c r="Z116" s="425">
        <f t="shared" si="35"/>
        <v>21.623931623931622</v>
      </c>
      <c r="AA116" s="425">
        <f t="shared" si="36"/>
        <v>0</v>
      </c>
      <c r="AB116" s="427">
        <v>1.8</v>
      </c>
      <c r="AC116" s="425">
        <f t="shared" si="43"/>
        <v>171.85025000000005</v>
      </c>
      <c r="AD116" s="425">
        <f t="shared" si="37"/>
        <v>4.8653846153846159</v>
      </c>
      <c r="AE116" s="425">
        <f t="shared" si="38"/>
        <v>0</v>
      </c>
    </row>
    <row r="117" spans="1:31" s="357" customFormat="1" ht="39">
      <c r="A117" s="389">
        <v>2.5</v>
      </c>
      <c r="B117" s="436" t="str">
        <f>L_CViec!B27</f>
        <v>In sản phẩm đo đạc lập bản đồ địa chính gồm sản phẩm chính và sản phẩm trung gian</v>
      </c>
      <c r="C117" s="437"/>
      <c r="D117" s="416">
        <f>L_CViec!Q27</f>
        <v>1</v>
      </c>
      <c r="E117" s="431" t="str">
        <f>L_CViec!R27</f>
        <v>1KTV6</v>
      </c>
      <c r="F117" s="418">
        <f>L_CViec!S27</f>
        <v>343700.50000000006</v>
      </c>
      <c r="G117" s="914" t="s">
        <v>15</v>
      </c>
      <c r="H117" s="424">
        <v>0.51</v>
      </c>
      <c r="I117" s="425">
        <f t="shared" si="39"/>
        <v>175287.25500000003</v>
      </c>
      <c r="J117" s="425">
        <f t="shared" si="40"/>
        <v>4962.6923076923076</v>
      </c>
      <c r="K117" s="425">
        <f t="shared" si="22"/>
        <v>0</v>
      </c>
      <c r="L117" s="427">
        <v>0.6</v>
      </c>
      <c r="M117" s="425">
        <f>$F117*L117/6.25</f>
        <v>32995.248</v>
      </c>
      <c r="N117" s="425">
        <f t="shared" si="28"/>
        <v>934.15384615384608</v>
      </c>
      <c r="O117" s="425">
        <f t="shared" si="29"/>
        <v>0</v>
      </c>
      <c r="P117" s="427">
        <v>0.68</v>
      </c>
      <c r="Q117" s="425">
        <f t="shared" si="30"/>
        <v>9348.6536000000015</v>
      </c>
      <c r="R117" s="425">
        <f t="shared" si="31"/>
        <v>264.67692307692306</v>
      </c>
      <c r="S117" s="425">
        <f t="shared" si="32"/>
        <v>0</v>
      </c>
      <c r="T117" s="427">
        <v>0.77</v>
      </c>
      <c r="U117" s="425">
        <f t="shared" si="41"/>
        <v>2646.4938500000007</v>
      </c>
      <c r="V117" s="425">
        <f t="shared" si="33"/>
        <v>74.926923076923075</v>
      </c>
      <c r="W117" s="425">
        <f t="shared" si="34"/>
        <v>0</v>
      </c>
      <c r="X117" s="427">
        <v>0.85</v>
      </c>
      <c r="Y117" s="425">
        <f t="shared" si="42"/>
        <v>324.60602777777785</v>
      </c>
      <c r="Z117" s="425">
        <f t="shared" si="35"/>
        <v>9.1901709401709404</v>
      </c>
      <c r="AA117" s="425">
        <f t="shared" si="36"/>
        <v>0</v>
      </c>
      <c r="AB117" s="427">
        <v>1</v>
      </c>
      <c r="AC117" s="425">
        <f t="shared" si="43"/>
        <v>95.472361111111127</v>
      </c>
      <c r="AD117" s="425">
        <f t="shared" si="37"/>
        <v>2.7029914529914527</v>
      </c>
      <c r="AE117" s="425">
        <f t="shared" si="38"/>
        <v>0</v>
      </c>
    </row>
    <row r="118" spans="1:31" ht="21" customHeight="1">
      <c r="A118" s="430">
        <v>2.6</v>
      </c>
      <c r="B118" s="436" t="str">
        <f>L_CViec!B28</f>
        <v>Trình ký xác nhận hồ sơ</v>
      </c>
      <c r="C118" s="437"/>
      <c r="D118" s="416">
        <f>L_CViec!Q28</f>
        <v>1</v>
      </c>
      <c r="E118" s="437" t="str">
        <f>L_CViec!R28</f>
        <v>1KTV6</v>
      </c>
      <c r="F118" s="418">
        <f>L_CViec!S28</f>
        <v>343700.50000000006</v>
      </c>
      <c r="G118" s="914" t="s">
        <v>15</v>
      </c>
      <c r="H118" s="424">
        <v>0.4</v>
      </c>
      <c r="I118" s="425">
        <f t="shared" si="39"/>
        <v>137480.20000000004</v>
      </c>
      <c r="J118" s="425">
        <f t="shared" si="40"/>
        <v>3892.3076923076924</v>
      </c>
      <c r="K118" s="425">
        <f t="shared" ref="K118:K119" si="45">$D118*H118*$J$6</f>
        <v>0</v>
      </c>
      <c r="L118" s="427">
        <v>0.6</v>
      </c>
      <c r="M118" s="425">
        <f>$F118*L118/6.25</f>
        <v>32995.248</v>
      </c>
      <c r="N118" s="425">
        <f t="shared" si="28"/>
        <v>934.15384615384608</v>
      </c>
      <c r="O118" s="425">
        <f t="shared" si="29"/>
        <v>0</v>
      </c>
      <c r="P118" s="427">
        <v>0.8</v>
      </c>
      <c r="Q118" s="425">
        <f>$F118*P118/25</f>
        <v>10998.416000000003</v>
      </c>
      <c r="R118" s="425">
        <f t="shared" si="31"/>
        <v>311.38461538461542</v>
      </c>
      <c r="S118" s="425">
        <f t="shared" si="32"/>
        <v>0</v>
      </c>
      <c r="T118" s="427">
        <v>1.1000000000000001</v>
      </c>
      <c r="U118" s="425">
        <f t="shared" si="41"/>
        <v>3780.7055000000009</v>
      </c>
      <c r="V118" s="425">
        <f t="shared" si="33"/>
        <v>107.03846153846155</v>
      </c>
      <c r="W118" s="425">
        <f t="shared" si="34"/>
        <v>0</v>
      </c>
      <c r="X118" s="427">
        <v>1.7</v>
      </c>
      <c r="Y118" s="425">
        <f t="shared" si="42"/>
        <v>649.21205555555571</v>
      </c>
      <c r="Z118" s="425">
        <f t="shared" si="35"/>
        <v>18.380341880341881</v>
      </c>
      <c r="AA118" s="425">
        <f t="shared" si="36"/>
        <v>0</v>
      </c>
      <c r="AB118" s="427">
        <v>2</v>
      </c>
      <c r="AC118" s="425">
        <f t="shared" si="43"/>
        <v>190.94472222222225</v>
      </c>
      <c r="AD118" s="425">
        <f t="shared" si="37"/>
        <v>5.4059829059829054</v>
      </c>
      <c r="AE118" s="425">
        <f t="shared" si="38"/>
        <v>0</v>
      </c>
    </row>
    <row r="119" spans="1:31" ht="26">
      <c r="A119" s="430">
        <v>2.7</v>
      </c>
      <c r="B119" s="439" t="str">
        <f>L_CViec!B29</f>
        <v>Giao nộp sản phẩm đo đạc lập bản đồ địa chính</v>
      </c>
      <c r="C119" s="440"/>
      <c r="D119" s="441">
        <f>L_CViec!Q29</f>
        <v>2</v>
      </c>
      <c r="E119" s="440" t="str">
        <f>L_CViec!R29</f>
        <v>2KTV6</v>
      </c>
      <c r="F119" s="442">
        <f>L_CViec!S29</f>
        <v>687401.00000000012</v>
      </c>
      <c r="G119" s="915" t="s">
        <v>15</v>
      </c>
      <c r="H119" s="443">
        <v>0.1</v>
      </c>
      <c r="I119" s="444">
        <f t="shared" si="39"/>
        <v>68740.10000000002</v>
      </c>
      <c r="J119" s="444">
        <f t="shared" si="40"/>
        <v>1946.1538461538462</v>
      </c>
      <c r="K119" s="444">
        <f t="shared" si="45"/>
        <v>0</v>
      </c>
      <c r="L119" s="443">
        <v>0.63</v>
      </c>
      <c r="M119" s="444">
        <f>$F119*L119/6.25</f>
        <v>69290.020800000013</v>
      </c>
      <c r="N119" s="444">
        <f t="shared" si="28"/>
        <v>1961.7230769230769</v>
      </c>
      <c r="O119" s="444">
        <f t="shared" si="29"/>
        <v>0</v>
      </c>
      <c r="P119" s="443">
        <v>0.85</v>
      </c>
      <c r="Q119" s="444">
        <f>$F119*P119/25</f>
        <v>23371.634000000005</v>
      </c>
      <c r="R119" s="444">
        <f t="shared" si="31"/>
        <v>661.69230769230762</v>
      </c>
      <c r="S119" s="444">
        <f t="shared" si="32"/>
        <v>0</v>
      </c>
      <c r="T119" s="443">
        <v>1.27</v>
      </c>
      <c r="U119" s="444">
        <f t="shared" si="41"/>
        <v>8729.9927000000007</v>
      </c>
      <c r="V119" s="444">
        <f t="shared" si="33"/>
        <v>247.16153846153847</v>
      </c>
      <c r="W119" s="444">
        <f t="shared" si="34"/>
        <v>0</v>
      </c>
      <c r="X119" s="443">
        <v>1.7</v>
      </c>
      <c r="Y119" s="444">
        <f t="shared" si="42"/>
        <v>1298.4241111111114</v>
      </c>
      <c r="Z119" s="444">
        <f t="shared" si="35"/>
        <v>36.760683760683762</v>
      </c>
      <c r="AA119" s="444">
        <f t="shared" si="36"/>
        <v>0</v>
      </c>
      <c r="AB119" s="443">
        <v>2</v>
      </c>
      <c r="AC119" s="444">
        <f t="shared" si="43"/>
        <v>381.88944444444451</v>
      </c>
      <c r="AD119" s="444">
        <f t="shared" si="37"/>
        <v>10.811965811965811</v>
      </c>
      <c r="AE119" s="444">
        <f t="shared" si="38"/>
        <v>0</v>
      </c>
    </row>
    <row r="120" spans="1:31" s="449" customFormat="1" ht="65.25" customHeight="1" thickBot="1">
      <c r="A120" s="1085" t="s">
        <v>370</v>
      </c>
      <c r="B120" s="1086"/>
      <c r="C120" s="1086"/>
      <c r="D120" s="1086"/>
      <c r="E120" s="1086"/>
      <c r="F120" s="1086"/>
      <c r="G120" s="1086"/>
      <c r="H120" s="1086"/>
      <c r="I120" s="1086"/>
      <c r="J120" s="1086"/>
      <c r="K120" s="445"/>
      <c r="L120" s="446"/>
      <c r="M120" s="447"/>
      <c r="N120" s="447"/>
      <c r="O120" s="448"/>
      <c r="P120" s="446"/>
      <c r="Q120" s="447"/>
      <c r="R120" s="447"/>
      <c r="S120" s="448"/>
      <c r="T120" s="446"/>
      <c r="U120" s="447"/>
      <c r="V120" s="447"/>
      <c r="W120" s="448"/>
      <c r="X120" s="446"/>
      <c r="Y120" s="447"/>
      <c r="Z120" s="447"/>
      <c r="AA120" s="448"/>
      <c r="AB120" s="446"/>
      <c r="AC120" s="447"/>
      <c r="AD120" s="447"/>
      <c r="AE120" s="448"/>
    </row>
    <row r="121" spans="1:31" s="357" customFormat="1">
      <c r="A121" s="450"/>
      <c r="B121" s="451"/>
      <c r="C121" s="452"/>
      <c r="D121" s="452"/>
      <c r="E121" s="452"/>
      <c r="F121" s="453"/>
      <c r="G121" s="916"/>
      <c r="H121" s="454"/>
      <c r="I121" s="455"/>
      <c r="J121" s="456"/>
      <c r="K121" s="456"/>
      <c r="L121" s="456"/>
      <c r="M121" s="451"/>
      <c r="N121" s="451"/>
      <c r="O121" s="451"/>
      <c r="P121" s="451"/>
      <c r="Q121" s="451"/>
      <c r="R121" s="450"/>
      <c r="S121" s="450"/>
      <c r="T121" s="450"/>
      <c r="U121" s="450"/>
      <c r="V121" s="450"/>
      <c r="W121" s="450"/>
      <c r="X121" s="450"/>
      <c r="Y121" s="450"/>
      <c r="Z121" s="450"/>
      <c r="AA121" s="450"/>
      <c r="AB121" s="450"/>
      <c r="AC121" s="450"/>
      <c r="AD121" s="450"/>
      <c r="AE121" s="450"/>
    </row>
    <row r="122" spans="1:31" s="356" customFormat="1" ht="14" thickBot="1">
      <c r="A122" s="363" t="str">
        <f>L_CViec!A31</f>
        <v>III</v>
      </c>
      <c r="B122" s="400" t="str">
        <f>L_CViec!B31</f>
        <v>SỐ HOÁ VÀ CHUYỂN HỆ TOẠ ĐỘ BẢN ĐỒ ĐỊA CHÍNH:</v>
      </c>
      <c r="C122" s="364"/>
      <c r="D122" s="364"/>
      <c r="E122" s="364"/>
      <c r="F122" s="364"/>
      <c r="G122" s="917"/>
      <c r="H122" s="457"/>
      <c r="I122" s="458"/>
      <c r="J122" s="458"/>
      <c r="K122" s="458"/>
      <c r="L122" s="363"/>
      <c r="M122" s="368" t="s">
        <v>432</v>
      </c>
      <c r="N122" s="363"/>
      <c r="O122" s="363"/>
      <c r="P122" s="459"/>
      <c r="Q122" s="459"/>
      <c r="R122" s="459"/>
      <c r="S122" s="459"/>
      <c r="T122" s="459"/>
      <c r="U122" s="459"/>
      <c r="V122" s="459"/>
      <c r="W122" s="459"/>
    </row>
    <row r="123" spans="1:31" s="369" customFormat="1">
      <c r="A123" s="1090" t="s">
        <v>2</v>
      </c>
      <c r="B123" s="1088" t="s">
        <v>74</v>
      </c>
      <c r="C123" s="1074" t="s">
        <v>70</v>
      </c>
      <c r="D123" s="401" t="s">
        <v>76</v>
      </c>
      <c r="E123" s="1088" t="s">
        <v>471</v>
      </c>
      <c r="F123" s="402" t="s">
        <v>73</v>
      </c>
      <c r="G123" s="911" t="s">
        <v>75</v>
      </c>
      <c r="H123" s="460" t="s">
        <v>77</v>
      </c>
      <c r="I123" s="1055" t="s">
        <v>80</v>
      </c>
      <c r="J123" s="402" t="s">
        <v>72</v>
      </c>
      <c r="K123" s="404" t="s">
        <v>78</v>
      </c>
      <c r="L123" s="402" t="s">
        <v>77</v>
      </c>
      <c r="M123" s="1055" t="s">
        <v>80</v>
      </c>
      <c r="N123" s="402" t="s">
        <v>72</v>
      </c>
      <c r="O123" s="404" t="s">
        <v>78</v>
      </c>
      <c r="P123" s="402" t="s">
        <v>77</v>
      </c>
      <c r="Q123" s="1055" t="s">
        <v>80</v>
      </c>
      <c r="R123" s="402" t="s">
        <v>72</v>
      </c>
      <c r="S123" s="404" t="s">
        <v>78</v>
      </c>
      <c r="T123" s="402" t="s">
        <v>77</v>
      </c>
      <c r="U123" s="1055" t="s">
        <v>80</v>
      </c>
      <c r="V123" s="402" t="s">
        <v>72</v>
      </c>
      <c r="W123" s="404" t="s">
        <v>78</v>
      </c>
    </row>
    <row r="124" spans="1:31" s="369" customFormat="1">
      <c r="A124" s="1091"/>
      <c r="B124" s="1089"/>
      <c r="C124" s="1075"/>
      <c r="D124" s="405" t="s">
        <v>52</v>
      </c>
      <c r="E124" s="1089"/>
      <c r="F124" s="406" t="s">
        <v>56</v>
      </c>
      <c r="G124" s="912" t="s">
        <v>71</v>
      </c>
      <c r="H124" s="461" t="s">
        <v>52</v>
      </c>
      <c r="I124" s="1068"/>
      <c r="J124" s="408">
        <f>J59</f>
        <v>0.1</v>
      </c>
      <c r="K124" s="409" t="s">
        <v>79</v>
      </c>
      <c r="L124" s="410" t="s">
        <v>52</v>
      </c>
      <c r="M124" s="1068"/>
      <c r="N124" s="408">
        <f>N59</f>
        <v>0.1</v>
      </c>
      <c r="O124" s="409" t="s">
        <v>79</v>
      </c>
      <c r="P124" s="410" t="s">
        <v>52</v>
      </c>
      <c r="Q124" s="1068"/>
      <c r="R124" s="408">
        <f>R59</f>
        <v>0.1</v>
      </c>
      <c r="S124" s="409" t="s">
        <v>79</v>
      </c>
      <c r="T124" s="410" t="s">
        <v>52</v>
      </c>
      <c r="U124" s="1068"/>
      <c r="V124" s="408">
        <f>V59</f>
        <v>0.1</v>
      </c>
      <c r="W124" s="409" t="s">
        <v>79</v>
      </c>
    </row>
    <row r="125" spans="1:31" s="356" customFormat="1" ht="13.15" customHeight="1">
      <c r="A125" s="411">
        <v>1</v>
      </c>
      <c r="B125" s="412" t="s">
        <v>636</v>
      </c>
      <c r="C125" s="413" t="s">
        <v>317</v>
      </c>
      <c r="D125" s="414"/>
      <c r="E125" s="413"/>
      <c r="F125" s="462"/>
      <c r="G125" s="913"/>
      <c r="H125" s="1058" t="s">
        <v>203</v>
      </c>
      <c r="I125" s="1059"/>
      <c r="J125" s="1059"/>
      <c r="K125" s="1060"/>
      <c r="L125" s="1058" t="s">
        <v>204</v>
      </c>
      <c r="M125" s="1059"/>
      <c r="N125" s="1059"/>
      <c r="O125" s="1060"/>
      <c r="P125" s="1058" t="s">
        <v>205</v>
      </c>
      <c r="Q125" s="1059"/>
      <c r="R125" s="1059"/>
      <c r="S125" s="1060"/>
      <c r="T125" s="1058" t="s">
        <v>206</v>
      </c>
      <c r="U125" s="1059"/>
      <c r="V125" s="1059"/>
      <c r="W125" s="1060"/>
    </row>
    <row r="126" spans="1:31">
      <c r="A126" s="430" t="s">
        <v>359</v>
      </c>
      <c r="B126" s="431" t="str">
        <f>L_CViec!B33</f>
        <v>Quét bản đồ</v>
      </c>
      <c r="C126" s="429"/>
      <c r="D126" s="428">
        <f>L_CViec!Q33</f>
        <v>1</v>
      </c>
      <c r="E126" s="429" t="str">
        <f>L_CViec!R33</f>
        <v>1KTV6</v>
      </c>
      <c r="F126" s="425">
        <f>L_CViec!S33</f>
        <v>343700.50000000006</v>
      </c>
      <c r="G126" s="914" t="s">
        <v>15</v>
      </c>
      <c r="H126" s="424">
        <v>0.4</v>
      </c>
      <c r="I126" s="425">
        <f>$F126*H126/6.25</f>
        <v>21996.832000000006</v>
      </c>
      <c r="J126" s="425">
        <f t="shared" ref="J126:J133" si="46">$D126*H126*$J$5/6.25</f>
        <v>622.76923076923083</v>
      </c>
      <c r="K126" s="463">
        <f t="shared" ref="K126:K133" si="47">$D126*H126*$J$6/6.25</f>
        <v>0</v>
      </c>
      <c r="L126" s="427">
        <v>0.4</v>
      </c>
      <c r="M126" s="425">
        <f>$F126*L126/25</f>
        <v>5499.2080000000014</v>
      </c>
      <c r="N126" s="425">
        <f t="shared" ref="N126:N133" si="48">$D126*L126*$J$5/25</f>
        <v>155.69230769230771</v>
      </c>
      <c r="O126" s="463">
        <f t="shared" ref="O126:O133" si="49">$D126*L126*$J$6/25</f>
        <v>0</v>
      </c>
      <c r="P126" s="427">
        <v>0.4</v>
      </c>
      <c r="Q126" s="425">
        <f>$F126*P126/100</f>
        <v>1374.8020000000004</v>
      </c>
      <c r="R126" s="425">
        <f t="shared" ref="R126:R133" si="50">$D126*P126*$J$5/100</f>
        <v>38.923076923076927</v>
      </c>
      <c r="S126" s="463">
        <f t="shared" ref="S126:S133" si="51">$D126*P126*$J$6/100</f>
        <v>0</v>
      </c>
      <c r="T126" s="427">
        <v>0.4</v>
      </c>
      <c r="U126" s="425">
        <f>$F126*T126/900</f>
        <v>152.75577777777784</v>
      </c>
      <c r="V126" s="425">
        <f t="shared" ref="V126:V133" si="52">$D126*T126*$J$5/900</f>
        <v>4.3247863247863245</v>
      </c>
      <c r="W126" s="463">
        <f t="shared" ref="W126:W133" si="53">$D126*T126*$J$6/900</f>
        <v>0</v>
      </c>
    </row>
    <row r="127" spans="1:31">
      <c r="A127" s="1057" t="s">
        <v>269</v>
      </c>
      <c r="B127" s="1082" t="str">
        <f>L_CViec!B34</f>
        <v>Số hóa nội dung bản đồ</v>
      </c>
      <c r="C127" s="1084"/>
      <c r="D127" s="428">
        <f>L_CViec!Q$34</f>
        <v>1</v>
      </c>
      <c r="E127" s="429" t="str">
        <f>L_CViec!R$34</f>
        <v>1KTV6</v>
      </c>
      <c r="F127" s="425">
        <f>L_CViec!S$34</f>
        <v>343700.50000000006</v>
      </c>
      <c r="G127" s="914" t="s">
        <v>18</v>
      </c>
      <c r="H127" s="424">
        <v>3.51</v>
      </c>
      <c r="I127" s="425">
        <f t="shared" ref="I127:I133" si="54">$F127*H127/6.25</f>
        <v>193022.20080000002</v>
      </c>
      <c r="J127" s="425">
        <f t="shared" si="46"/>
        <v>5464.8</v>
      </c>
      <c r="K127" s="463">
        <f t="shared" si="47"/>
        <v>0</v>
      </c>
      <c r="L127" s="427">
        <v>6.65</v>
      </c>
      <c r="M127" s="425">
        <f t="shared" ref="M127:M133" si="55">$F127*L127/25</f>
        <v>91424.333000000028</v>
      </c>
      <c r="N127" s="425">
        <f t="shared" si="48"/>
        <v>2588.3846153846152</v>
      </c>
      <c r="O127" s="463">
        <f t="shared" si="49"/>
        <v>0</v>
      </c>
      <c r="P127" s="427">
        <v>12.7</v>
      </c>
      <c r="Q127" s="425">
        <f t="shared" ref="Q127:Q133" si="56">$F127*P127/100</f>
        <v>43649.963500000005</v>
      </c>
      <c r="R127" s="425">
        <f t="shared" si="50"/>
        <v>1235.8076923076922</v>
      </c>
      <c r="S127" s="463">
        <f t="shared" si="51"/>
        <v>0</v>
      </c>
      <c r="T127" s="427">
        <v>23.23</v>
      </c>
      <c r="U127" s="425">
        <f t="shared" ref="U127:U133" si="57">$F127*T127/900</f>
        <v>8871.2917944444453</v>
      </c>
      <c r="V127" s="425">
        <f t="shared" si="52"/>
        <v>251.16196581196579</v>
      </c>
      <c r="W127" s="463">
        <f t="shared" si="53"/>
        <v>0</v>
      </c>
    </row>
    <row r="128" spans="1:31">
      <c r="A128" s="1057"/>
      <c r="B128" s="1082"/>
      <c r="C128" s="1084"/>
      <c r="D128" s="428">
        <f>L_CViec!Q$34</f>
        <v>1</v>
      </c>
      <c r="E128" s="429" t="str">
        <f>L_CViec!R$34</f>
        <v>1KTV6</v>
      </c>
      <c r="F128" s="425">
        <f>L_CViec!S$34</f>
        <v>343700.50000000006</v>
      </c>
      <c r="G128" s="914" t="s">
        <v>20</v>
      </c>
      <c r="H128" s="424">
        <v>4.03</v>
      </c>
      <c r="I128" s="425">
        <f t="shared" si="54"/>
        <v>221618.08240000007</v>
      </c>
      <c r="J128" s="425">
        <f t="shared" si="46"/>
        <v>6274.4</v>
      </c>
      <c r="K128" s="463">
        <f t="shared" si="47"/>
        <v>0</v>
      </c>
      <c r="L128" s="427">
        <v>7.65</v>
      </c>
      <c r="M128" s="425">
        <f t="shared" si="55"/>
        <v>105172.35300000003</v>
      </c>
      <c r="N128" s="425">
        <f t="shared" si="48"/>
        <v>2977.6153846153843</v>
      </c>
      <c r="O128" s="463">
        <f t="shared" si="49"/>
        <v>0</v>
      </c>
      <c r="P128" s="427">
        <v>14.61</v>
      </c>
      <c r="Q128" s="425">
        <f t="shared" si="56"/>
        <v>50214.643050000006</v>
      </c>
      <c r="R128" s="425">
        <f t="shared" si="50"/>
        <v>1421.6653846153845</v>
      </c>
      <c r="S128" s="463">
        <f t="shared" si="51"/>
        <v>0</v>
      </c>
      <c r="T128" s="427">
        <v>26.71</v>
      </c>
      <c r="U128" s="425">
        <f t="shared" si="57"/>
        <v>10200.267061111113</v>
      </c>
      <c r="V128" s="425">
        <f t="shared" si="52"/>
        <v>288.78760683760686</v>
      </c>
      <c r="W128" s="463">
        <f t="shared" si="53"/>
        <v>0</v>
      </c>
    </row>
    <row r="129" spans="1:23">
      <c r="A129" s="1057"/>
      <c r="B129" s="1082"/>
      <c r="C129" s="1084"/>
      <c r="D129" s="428">
        <f>L_CViec!Q$34</f>
        <v>1</v>
      </c>
      <c r="E129" s="429" t="str">
        <f>L_CViec!R$34</f>
        <v>1KTV6</v>
      </c>
      <c r="F129" s="425">
        <f>L_CViec!S$34</f>
        <v>343700.50000000006</v>
      </c>
      <c r="G129" s="914" t="s">
        <v>35</v>
      </c>
      <c r="H129" s="424">
        <v>4.6399999999999997</v>
      </c>
      <c r="I129" s="425">
        <f t="shared" si="54"/>
        <v>255163.2512</v>
      </c>
      <c r="J129" s="425">
        <f t="shared" si="46"/>
        <v>7224.123076923076</v>
      </c>
      <c r="K129" s="463">
        <f t="shared" si="47"/>
        <v>0</v>
      </c>
      <c r="L129" s="427">
        <v>8.8000000000000007</v>
      </c>
      <c r="M129" s="425">
        <f t="shared" si="55"/>
        <v>120982.57600000003</v>
      </c>
      <c r="N129" s="425">
        <f t="shared" si="48"/>
        <v>3425.2307692307695</v>
      </c>
      <c r="O129" s="463">
        <f t="shared" si="49"/>
        <v>0</v>
      </c>
      <c r="P129" s="427">
        <v>16.8</v>
      </c>
      <c r="Q129" s="425">
        <f t="shared" si="56"/>
        <v>57741.684000000016</v>
      </c>
      <c r="R129" s="425">
        <f t="shared" si="50"/>
        <v>1634.7692307692309</v>
      </c>
      <c r="S129" s="463">
        <f t="shared" si="51"/>
        <v>0</v>
      </c>
      <c r="T129" s="427">
        <v>30.72</v>
      </c>
      <c r="U129" s="425">
        <f t="shared" si="57"/>
        <v>11731.643733333334</v>
      </c>
      <c r="V129" s="425">
        <f t="shared" si="52"/>
        <v>332.1435897435897</v>
      </c>
      <c r="W129" s="463">
        <f t="shared" si="53"/>
        <v>0</v>
      </c>
    </row>
    <row r="130" spans="1:23">
      <c r="A130" s="1057"/>
      <c r="B130" s="1082"/>
      <c r="C130" s="1084"/>
      <c r="D130" s="428">
        <f>L_CViec!Q$34</f>
        <v>1</v>
      </c>
      <c r="E130" s="429" t="str">
        <f>L_CViec!R$34</f>
        <v>1KTV6</v>
      </c>
      <c r="F130" s="425">
        <f>L_CViec!S$34</f>
        <v>343700.50000000006</v>
      </c>
      <c r="G130" s="914" t="s">
        <v>33</v>
      </c>
      <c r="H130" s="424">
        <v>5.34</v>
      </c>
      <c r="I130" s="425">
        <f t="shared" si="54"/>
        <v>293657.7072</v>
      </c>
      <c r="J130" s="425">
        <f t="shared" si="46"/>
        <v>8313.9692307692294</v>
      </c>
      <c r="K130" s="463">
        <f t="shared" si="47"/>
        <v>0</v>
      </c>
      <c r="L130" s="427">
        <v>10.119999999999999</v>
      </c>
      <c r="M130" s="425">
        <f t="shared" si="55"/>
        <v>139129.96240000002</v>
      </c>
      <c r="N130" s="425">
        <f t="shared" si="48"/>
        <v>3939.0153846153844</v>
      </c>
      <c r="O130" s="463">
        <f t="shared" si="49"/>
        <v>0</v>
      </c>
      <c r="P130" s="427">
        <v>19.32</v>
      </c>
      <c r="Q130" s="425">
        <f t="shared" si="56"/>
        <v>66402.936600000015</v>
      </c>
      <c r="R130" s="425">
        <f t="shared" si="50"/>
        <v>1879.9846153846154</v>
      </c>
      <c r="S130" s="463">
        <f t="shared" si="51"/>
        <v>0</v>
      </c>
      <c r="T130" s="427">
        <v>35.33</v>
      </c>
      <c r="U130" s="425">
        <f t="shared" si="57"/>
        <v>13492.154072222223</v>
      </c>
      <c r="V130" s="425">
        <f t="shared" si="52"/>
        <v>381.9867521367521</v>
      </c>
      <c r="W130" s="463">
        <f t="shared" si="53"/>
        <v>0</v>
      </c>
    </row>
    <row r="131" spans="1:23">
      <c r="A131" s="1057"/>
      <c r="B131" s="1082"/>
      <c r="C131" s="1084"/>
      <c r="D131" s="428">
        <f>L_CViec!Q$34</f>
        <v>1</v>
      </c>
      <c r="E131" s="429" t="str">
        <f>L_CViec!R$34</f>
        <v>1KTV6</v>
      </c>
      <c r="F131" s="425">
        <f>L_CViec!S$34</f>
        <v>343700.50000000006</v>
      </c>
      <c r="G131" s="914" t="s">
        <v>13</v>
      </c>
      <c r="H131" s="424">
        <v>6.14</v>
      </c>
      <c r="I131" s="425">
        <f t="shared" si="54"/>
        <v>337651.37120000005</v>
      </c>
      <c r="J131" s="425">
        <f t="shared" si="46"/>
        <v>9559.5076923076922</v>
      </c>
      <c r="K131" s="463">
        <f t="shared" si="47"/>
        <v>0</v>
      </c>
      <c r="L131" s="427">
        <v>11.64</v>
      </c>
      <c r="M131" s="425">
        <f t="shared" si="55"/>
        <v>160026.95280000003</v>
      </c>
      <c r="N131" s="425">
        <f t="shared" si="48"/>
        <v>4530.6461538461535</v>
      </c>
      <c r="O131" s="463">
        <f t="shared" si="49"/>
        <v>0</v>
      </c>
      <c r="P131" s="427">
        <v>22.22</v>
      </c>
      <c r="Q131" s="425">
        <f t="shared" si="56"/>
        <v>76370.251100000009</v>
      </c>
      <c r="R131" s="425">
        <f t="shared" si="50"/>
        <v>2162.1769230769228</v>
      </c>
      <c r="S131" s="463">
        <f t="shared" si="51"/>
        <v>0</v>
      </c>
      <c r="T131" s="427"/>
      <c r="U131" s="425">
        <f t="shared" si="57"/>
        <v>0</v>
      </c>
      <c r="V131" s="425">
        <f t="shared" si="52"/>
        <v>0</v>
      </c>
      <c r="W131" s="463">
        <f t="shared" si="53"/>
        <v>0</v>
      </c>
    </row>
    <row r="132" spans="1:23" ht="26">
      <c r="A132" s="464" t="s">
        <v>36</v>
      </c>
      <c r="B132" s="465" t="str">
        <f>L_CViec!B35</f>
        <v>Biên tập nội dung bản đồ và in</v>
      </c>
      <c r="C132" s="466"/>
      <c r="D132" s="428">
        <f>L_CViec!Q35</f>
        <v>1</v>
      </c>
      <c r="E132" s="467" t="str">
        <f>L_CViec!R35</f>
        <v>1KTV6</v>
      </c>
      <c r="F132" s="425">
        <f>L_CViec!S35</f>
        <v>343700.50000000006</v>
      </c>
      <c r="G132" s="914" t="s">
        <v>15</v>
      </c>
      <c r="H132" s="424">
        <v>0.51</v>
      </c>
      <c r="I132" s="425">
        <f t="shared" si="54"/>
        <v>28045.960800000004</v>
      </c>
      <c r="J132" s="425">
        <f t="shared" si="46"/>
        <v>794.03076923076924</v>
      </c>
      <c r="K132" s="463">
        <f t="shared" si="47"/>
        <v>0</v>
      </c>
      <c r="L132" s="427">
        <v>0.6</v>
      </c>
      <c r="M132" s="425">
        <f t="shared" si="55"/>
        <v>8248.8119999999999</v>
      </c>
      <c r="N132" s="425">
        <f t="shared" si="48"/>
        <v>233.53846153846152</v>
      </c>
      <c r="O132" s="463">
        <f t="shared" si="49"/>
        <v>0</v>
      </c>
      <c r="P132" s="427">
        <v>0.68</v>
      </c>
      <c r="Q132" s="425">
        <f t="shared" si="56"/>
        <v>2337.1634000000004</v>
      </c>
      <c r="R132" s="425">
        <f t="shared" si="50"/>
        <v>66.169230769230765</v>
      </c>
      <c r="S132" s="463">
        <f t="shared" si="51"/>
        <v>0</v>
      </c>
      <c r="T132" s="427">
        <v>0.77</v>
      </c>
      <c r="U132" s="425">
        <f t="shared" si="57"/>
        <v>294.05487222222229</v>
      </c>
      <c r="V132" s="425">
        <f t="shared" si="52"/>
        <v>8.3252136752136749</v>
      </c>
      <c r="W132" s="463">
        <f t="shared" si="53"/>
        <v>0</v>
      </c>
    </row>
    <row r="133" spans="1:23">
      <c r="A133" s="464" t="s">
        <v>270</v>
      </c>
      <c r="B133" s="465" t="str">
        <f>L_CViec!B36</f>
        <v>Giao nộp sản phẩm</v>
      </c>
      <c r="C133" s="467"/>
      <c r="D133" s="468">
        <f>L_CViec!Q36</f>
        <v>1</v>
      </c>
      <c r="E133" s="467" t="str">
        <f>L_CViec!R36</f>
        <v>1KTV6</v>
      </c>
      <c r="F133" s="469">
        <f>L_CViec!S36</f>
        <v>343700.50000000006</v>
      </c>
      <c r="G133" s="918" t="s">
        <v>15</v>
      </c>
      <c r="H133" s="470">
        <v>0.63</v>
      </c>
      <c r="I133" s="425">
        <f t="shared" si="54"/>
        <v>34645.010400000006</v>
      </c>
      <c r="J133" s="425">
        <f t="shared" si="46"/>
        <v>980.86153846153843</v>
      </c>
      <c r="K133" s="463">
        <f t="shared" si="47"/>
        <v>0</v>
      </c>
      <c r="L133" s="427">
        <v>0.85</v>
      </c>
      <c r="M133" s="425">
        <f t="shared" si="55"/>
        <v>11685.817000000003</v>
      </c>
      <c r="N133" s="425">
        <f t="shared" si="48"/>
        <v>330.84615384615381</v>
      </c>
      <c r="O133" s="463">
        <f t="shared" si="49"/>
        <v>0</v>
      </c>
      <c r="P133" s="427">
        <v>1.27</v>
      </c>
      <c r="Q133" s="425">
        <f t="shared" si="56"/>
        <v>4364.9963500000003</v>
      </c>
      <c r="R133" s="425">
        <f t="shared" si="50"/>
        <v>123.58076923076923</v>
      </c>
      <c r="S133" s="463">
        <f t="shared" si="51"/>
        <v>0</v>
      </c>
      <c r="T133" s="427">
        <v>1.7</v>
      </c>
      <c r="U133" s="425">
        <f t="shared" si="57"/>
        <v>649.21205555555571</v>
      </c>
      <c r="V133" s="425">
        <f t="shared" si="52"/>
        <v>18.380341880341881</v>
      </c>
      <c r="W133" s="463">
        <f t="shared" si="53"/>
        <v>0</v>
      </c>
    </row>
    <row r="134" spans="1:23" s="356" customFormat="1" ht="13.15" customHeight="1">
      <c r="A134" s="471">
        <v>2</v>
      </c>
      <c r="B134" s="1113" t="s">
        <v>382</v>
      </c>
      <c r="C134" s="1114"/>
      <c r="D134" s="1114"/>
      <c r="E134" s="1114"/>
      <c r="F134" s="1114"/>
      <c r="G134" s="1115"/>
      <c r="H134" s="1058" t="s">
        <v>203</v>
      </c>
      <c r="I134" s="1059"/>
      <c r="J134" s="1059"/>
      <c r="K134" s="1060"/>
      <c r="L134" s="1058" t="s">
        <v>204</v>
      </c>
      <c r="M134" s="1059"/>
      <c r="N134" s="1059"/>
      <c r="O134" s="1060"/>
      <c r="P134" s="1058" t="s">
        <v>205</v>
      </c>
      <c r="Q134" s="1059"/>
      <c r="R134" s="1059"/>
      <c r="S134" s="1060"/>
      <c r="T134" s="1058" t="s">
        <v>206</v>
      </c>
      <c r="U134" s="1059"/>
      <c r="V134" s="1059"/>
      <c r="W134" s="1060"/>
    </row>
    <row r="135" spans="1:23" ht="26">
      <c r="A135" s="430" t="s">
        <v>268</v>
      </c>
      <c r="B135" s="431" t="str">
        <f>L_CViec!B38</f>
        <v>Xác định tọa độ phục vụ nắn chuyển (công nhóm/điểm nắn)</v>
      </c>
      <c r="C135" s="429"/>
      <c r="D135" s="428">
        <f>L_CViec!Q38</f>
        <v>2</v>
      </c>
      <c r="E135" s="467" t="str">
        <f>L_CViec!R38</f>
        <v>1KS2,1KS3</v>
      </c>
      <c r="F135" s="425">
        <f>L_CViec!S38</f>
        <v>681392.25</v>
      </c>
      <c r="G135" s="918" t="s">
        <v>15</v>
      </c>
      <c r="H135" s="424">
        <v>1</v>
      </c>
      <c r="I135" s="425">
        <f t="shared" ref="I135:I144" si="58">$F135*H135</f>
        <v>681392.25</v>
      </c>
      <c r="J135" s="425">
        <f t="shared" ref="J135:J144" si="59">$D135*H135*$J$5</f>
        <v>19461.538461538461</v>
      </c>
      <c r="K135" s="463">
        <f t="shared" ref="K135:K144" si="60">$D135*H135*$J$6</f>
        <v>0</v>
      </c>
      <c r="L135" s="427">
        <v>1</v>
      </c>
      <c r="M135" s="425">
        <f t="shared" ref="M135:M144" si="61">$F135*L135</f>
        <v>681392.25</v>
      </c>
      <c r="N135" s="425">
        <f t="shared" ref="N135:N144" si="62">$D135*L135*$J$5</f>
        <v>19461.538461538461</v>
      </c>
      <c r="O135" s="463">
        <f t="shared" ref="O135:O144" si="63">$D135*L135*$J$6</f>
        <v>0</v>
      </c>
      <c r="P135" s="427">
        <v>1</v>
      </c>
      <c r="Q135" s="425">
        <f t="shared" ref="Q135:Q144" si="64">$F135*P135</f>
        <v>681392.25</v>
      </c>
      <c r="R135" s="425">
        <f t="shared" ref="R135:R144" si="65">$D135*P135*$J$5</f>
        <v>19461.538461538461</v>
      </c>
      <c r="S135" s="463">
        <f t="shared" ref="S135:S144" si="66">$D135*P135*$J$6</f>
        <v>0</v>
      </c>
      <c r="T135" s="427">
        <v>1</v>
      </c>
      <c r="U135" s="425">
        <f t="shared" ref="U135:U144" si="67">$F135*T135</f>
        <v>681392.25</v>
      </c>
      <c r="V135" s="425">
        <f t="shared" ref="V135:V144" si="68">$D135*T135*$J$5</f>
        <v>19461.538461538461</v>
      </c>
      <c r="W135" s="463">
        <f t="shared" ref="W135:W144" si="69">$D135*T135*$J$6</f>
        <v>0</v>
      </c>
    </row>
    <row r="136" spans="1:23" ht="26">
      <c r="A136" s="430" t="s">
        <v>34</v>
      </c>
      <c r="B136" s="431" t="str">
        <f>L_CViec!B39</f>
        <v>Chuyển đổi bản đồ số (công/mảnh)</v>
      </c>
      <c r="C136" s="429"/>
      <c r="D136" s="428"/>
      <c r="E136" s="429"/>
      <c r="F136" s="425"/>
      <c r="G136" s="914"/>
      <c r="H136" s="424"/>
      <c r="I136" s="425">
        <f t="shared" si="58"/>
        <v>0</v>
      </c>
      <c r="J136" s="425">
        <f t="shared" si="59"/>
        <v>0</v>
      </c>
      <c r="K136" s="463">
        <f t="shared" si="60"/>
        <v>0</v>
      </c>
      <c r="L136" s="427"/>
      <c r="M136" s="425">
        <f t="shared" si="61"/>
        <v>0</v>
      </c>
      <c r="N136" s="425">
        <f t="shared" si="62"/>
        <v>0</v>
      </c>
      <c r="O136" s="463">
        <f t="shared" si="63"/>
        <v>0</v>
      </c>
      <c r="P136" s="427"/>
      <c r="Q136" s="425">
        <f t="shared" si="64"/>
        <v>0</v>
      </c>
      <c r="R136" s="425">
        <f t="shared" si="65"/>
        <v>0</v>
      </c>
      <c r="S136" s="463">
        <f t="shared" si="66"/>
        <v>0</v>
      </c>
      <c r="T136" s="427"/>
      <c r="U136" s="425">
        <f t="shared" si="67"/>
        <v>0</v>
      </c>
      <c r="V136" s="425">
        <f t="shared" si="68"/>
        <v>0</v>
      </c>
      <c r="W136" s="463">
        <f t="shared" si="69"/>
        <v>0</v>
      </c>
    </row>
    <row r="137" spans="1:23">
      <c r="A137" s="1057" t="s">
        <v>195</v>
      </c>
      <c r="B137" s="1082" t="str">
        <f>L_CViec!B40</f>
        <v>Nắn chuyển</v>
      </c>
      <c r="C137" s="1084" t="s">
        <v>198</v>
      </c>
      <c r="D137" s="428">
        <f>L_CViec!Q$40</f>
        <v>1</v>
      </c>
      <c r="E137" s="429" t="str">
        <f>L_CViec!R$40</f>
        <v>1KTV6</v>
      </c>
      <c r="F137" s="425">
        <f>L_CViec!S$40</f>
        <v>343700.50000000006</v>
      </c>
      <c r="G137" s="914" t="s">
        <v>18</v>
      </c>
      <c r="H137" s="424">
        <v>2.2400000000000002</v>
      </c>
      <c r="I137" s="425">
        <f t="shared" si="58"/>
        <v>769889.12000000023</v>
      </c>
      <c r="J137" s="425">
        <f t="shared" si="59"/>
        <v>21796.923076923078</v>
      </c>
      <c r="K137" s="463">
        <f t="shared" si="60"/>
        <v>0</v>
      </c>
      <c r="L137" s="427">
        <v>2.8</v>
      </c>
      <c r="M137" s="425">
        <f t="shared" si="61"/>
        <v>962361.40000000014</v>
      </c>
      <c r="N137" s="425">
        <f t="shared" si="62"/>
        <v>27246.153846153844</v>
      </c>
      <c r="O137" s="463">
        <f t="shared" si="63"/>
        <v>0</v>
      </c>
      <c r="P137" s="427">
        <v>3.5</v>
      </c>
      <c r="Q137" s="425">
        <f t="shared" si="64"/>
        <v>1202951.7500000002</v>
      </c>
      <c r="R137" s="425">
        <f t="shared" si="65"/>
        <v>34057.692307692305</v>
      </c>
      <c r="S137" s="463">
        <f t="shared" si="66"/>
        <v>0</v>
      </c>
      <c r="T137" s="427">
        <v>5.5</v>
      </c>
      <c r="U137" s="425">
        <f t="shared" si="67"/>
        <v>1890352.7500000002</v>
      </c>
      <c r="V137" s="425">
        <f t="shared" si="68"/>
        <v>53519.230769230766</v>
      </c>
      <c r="W137" s="463">
        <f t="shared" si="69"/>
        <v>0</v>
      </c>
    </row>
    <row r="138" spans="1:23">
      <c r="A138" s="1057"/>
      <c r="B138" s="1082"/>
      <c r="C138" s="1084"/>
      <c r="D138" s="428">
        <f>L_CViec!Q$40</f>
        <v>1</v>
      </c>
      <c r="E138" s="429" t="str">
        <f>L_CViec!R$40</f>
        <v>1KTV6</v>
      </c>
      <c r="F138" s="425">
        <f>L_CViec!S$40</f>
        <v>343700.50000000006</v>
      </c>
      <c r="G138" s="914" t="s">
        <v>20</v>
      </c>
      <c r="H138" s="424">
        <v>2.56</v>
      </c>
      <c r="I138" s="425">
        <f t="shared" si="58"/>
        <v>879873.28000000014</v>
      </c>
      <c r="J138" s="425">
        <f t="shared" si="59"/>
        <v>24910.76923076923</v>
      </c>
      <c r="K138" s="463">
        <f t="shared" si="60"/>
        <v>0</v>
      </c>
      <c r="L138" s="427">
        <v>3.2</v>
      </c>
      <c r="M138" s="425">
        <f t="shared" si="61"/>
        <v>1099841.6000000003</v>
      </c>
      <c r="N138" s="425">
        <f t="shared" si="62"/>
        <v>31138.461538461539</v>
      </c>
      <c r="O138" s="463">
        <f t="shared" si="63"/>
        <v>0</v>
      </c>
      <c r="P138" s="427">
        <v>4</v>
      </c>
      <c r="Q138" s="425">
        <f t="shared" si="64"/>
        <v>1374802.0000000002</v>
      </c>
      <c r="R138" s="425">
        <f t="shared" si="65"/>
        <v>38923.076923076922</v>
      </c>
      <c r="S138" s="463">
        <f t="shared" si="66"/>
        <v>0</v>
      </c>
      <c r="T138" s="427">
        <v>6</v>
      </c>
      <c r="U138" s="425">
        <f t="shared" si="67"/>
        <v>2062203.0000000005</v>
      </c>
      <c r="V138" s="425">
        <f t="shared" si="68"/>
        <v>58384.615384615383</v>
      </c>
      <c r="W138" s="463">
        <f t="shared" si="69"/>
        <v>0</v>
      </c>
    </row>
    <row r="139" spans="1:23">
      <c r="A139" s="1057"/>
      <c r="B139" s="1082"/>
      <c r="C139" s="1084"/>
      <c r="D139" s="428">
        <f>L_CViec!Q$40</f>
        <v>1</v>
      </c>
      <c r="E139" s="429" t="str">
        <f>L_CViec!R$40</f>
        <v>1KTV6</v>
      </c>
      <c r="F139" s="425">
        <f>L_CViec!S$40</f>
        <v>343700.50000000006</v>
      </c>
      <c r="G139" s="914" t="s">
        <v>35</v>
      </c>
      <c r="H139" s="424">
        <v>2.88</v>
      </c>
      <c r="I139" s="425">
        <f t="shared" si="58"/>
        <v>989857.44000000018</v>
      </c>
      <c r="J139" s="425">
        <f t="shared" si="59"/>
        <v>28024.615384615383</v>
      </c>
      <c r="K139" s="463">
        <f t="shared" si="60"/>
        <v>0</v>
      </c>
      <c r="L139" s="427">
        <v>3.6</v>
      </c>
      <c r="M139" s="425">
        <f t="shared" si="61"/>
        <v>1237321.8000000003</v>
      </c>
      <c r="N139" s="425">
        <f t="shared" si="62"/>
        <v>35030.769230769234</v>
      </c>
      <c r="O139" s="463">
        <f t="shared" si="63"/>
        <v>0</v>
      </c>
      <c r="P139" s="427">
        <v>4.5</v>
      </c>
      <c r="Q139" s="425">
        <f t="shared" si="64"/>
        <v>1546652.2500000002</v>
      </c>
      <c r="R139" s="425">
        <f t="shared" si="65"/>
        <v>43788.461538461539</v>
      </c>
      <c r="S139" s="463">
        <f t="shared" si="66"/>
        <v>0</v>
      </c>
      <c r="T139" s="427">
        <v>6.5</v>
      </c>
      <c r="U139" s="425">
        <f t="shared" si="67"/>
        <v>2234053.2500000005</v>
      </c>
      <c r="V139" s="425">
        <f t="shared" si="68"/>
        <v>63250</v>
      </c>
      <c r="W139" s="463">
        <f t="shared" si="69"/>
        <v>0</v>
      </c>
    </row>
    <row r="140" spans="1:23">
      <c r="A140" s="1057"/>
      <c r="B140" s="1082"/>
      <c r="C140" s="1084"/>
      <c r="D140" s="428">
        <f>L_CViec!Q$40</f>
        <v>1</v>
      </c>
      <c r="E140" s="429" t="str">
        <f>L_CViec!R$40</f>
        <v>1KTV6</v>
      </c>
      <c r="F140" s="425">
        <f>L_CViec!S$40</f>
        <v>343700.50000000006</v>
      </c>
      <c r="G140" s="914" t="s">
        <v>33</v>
      </c>
      <c r="H140" s="424">
        <v>3.2</v>
      </c>
      <c r="I140" s="425">
        <f t="shared" si="58"/>
        <v>1099841.6000000003</v>
      </c>
      <c r="J140" s="425">
        <f t="shared" si="59"/>
        <v>31138.461538461539</v>
      </c>
      <c r="K140" s="463">
        <f t="shared" si="60"/>
        <v>0</v>
      </c>
      <c r="L140" s="427">
        <v>4</v>
      </c>
      <c r="M140" s="425">
        <f t="shared" si="61"/>
        <v>1374802.0000000002</v>
      </c>
      <c r="N140" s="425">
        <f t="shared" si="62"/>
        <v>38923.076923076922</v>
      </c>
      <c r="O140" s="463">
        <f t="shared" si="63"/>
        <v>0</v>
      </c>
      <c r="P140" s="427">
        <v>5</v>
      </c>
      <c r="Q140" s="425">
        <f t="shared" si="64"/>
        <v>1718502.5000000002</v>
      </c>
      <c r="R140" s="425">
        <f t="shared" si="65"/>
        <v>48653.846153846156</v>
      </c>
      <c r="S140" s="463">
        <f t="shared" si="66"/>
        <v>0</v>
      </c>
      <c r="T140" s="427">
        <v>7</v>
      </c>
      <c r="U140" s="425">
        <f t="shared" si="67"/>
        <v>2405903.5000000005</v>
      </c>
      <c r="V140" s="425">
        <f t="shared" si="68"/>
        <v>68115.38461538461</v>
      </c>
      <c r="W140" s="463">
        <f t="shared" si="69"/>
        <v>0</v>
      </c>
    </row>
    <row r="141" spans="1:23">
      <c r="A141" s="1057"/>
      <c r="B141" s="1082"/>
      <c r="C141" s="1084"/>
      <c r="D141" s="428">
        <f>L_CViec!Q$40</f>
        <v>1</v>
      </c>
      <c r="E141" s="429" t="str">
        <f>L_CViec!R$40</f>
        <v>1KTV6</v>
      </c>
      <c r="F141" s="425">
        <f>L_CViec!S$40</f>
        <v>343700.50000000006</v>
      </c>
      <c r="G141" s="914" t="s">
        <v>13</v>
      </c>
      <c r="H141" s="424">
        <v>3.68</v>
      </c>
      <c r="I141" s="425">
        <f t="shared" si="58"/>
        <v>1264817.8400000003</v>
      </c>
      <c r="J141" s="425">
        <f t="shared" si="59"/>
        <v>35809.230769230773</v>
      </c>
      <c r="K141" s="463">
        <f t="shared" si="60"/>
        <v>0</v>
      </c>
      <c r="L141" s="427">
        <v>4.5999999999999996</v>
      </c>
      <c r="M141" s="425">
        <f t="shared" si="61"/>
        <v>1581022.3</v>
      </c>
      <c r="N141" s="425">
        <f t="shared" si="62"/>
        <v>44761.538461538454</v>
      </c>
      <c r="O141" s="463">
        <f t="shared" si="63"/>
        <v>0</v>
      </c>
      <c r="P141" s="427">
        <v>5.75</v>
      </c>
      <c r="Q141" s="425">
        <f t="shared" si="64"/>
        <v>1976277.8750000002</v>
      </c>
      <c r="R141" s="425">
        <f t="shared" si="65"/>
        <v>55951.923076923078</v>
      </c>
      <c r="S141" s="463">
        <f t="shared" si="66"/>
        <v>0</v>
      </c>
      <c r="T141" s="427"/>
      <c r="U141" s="425">
        <f t="shared" si="67"/>
        <v>0</v>
      </c>
      <c r="V141" s="425">
        <f t="shared" si="68"/>
        <v>0</v>
      </c>
      <c r="W141" s="463">
        <f t="shared" si="69"/>
        <v>0</v>
      </c>
    </row>
    <row r="142" spans="1:23" ht="39">
      <c r="A142" s="430" t="s">
        <v>196</v>
      </c>
      <c r="B142" s="431" t="str">
        <f>L_CViec!B41</f>
        <v>Tính lại và so sánh diện tích trước và sau nắn chuyển tọa độ</v>
      </c>
      <c r="C142" s="429" t="s">
        <v>198</v>
      </c>
      <c r="D142" s="428">
        <f>L_CViec!Q41</f>
        <v>1</v>
      </c>
      <c r="E142" s="429" t="str">
        <f>L_CViec!R41</f>
        <v>1KTV6</v>
      </c>
      <c r="F142" s="425">
        <f>L_CViec!S41</f>
        <v>343700.50000000006</v>
      </c>
      <c r="G142" s="914" t="s">
        <v>15</v>
      </c>
      <c r="H142" s="424">
        <v>0.43</v>
      </c>
      <c r="I142" s="425">
        <f t="shared" si="58"/>
        <v>147791.21500000003</v>
      </c>
      <c r="J142" s="425">
        <f t="shared" si="59"/>
        <v>4184.2307692307686</v>
      </c>
      <c r="K142" s="463">
        <f t="shared" si="60"/>
        <v>0</v>
      </c>
      <c r="L142" s="427">
        <v>0.6</v>
      </c>
      <c r="M142" s="425">
        <f t="shared" si="61"/>
        <v>206220.30000000002</v>
      </c>
      <c r="N142" s="425">
        <f t="shared" si="62"/>
        <v>5838.4615384615381</v>
      </c>
      <c r="O142" s="463">
        <f t="shared" si="63"/>
        <v>0</v>
      </c>
      <c r="P142" s="427">
        <v>0.77</v>
      </c>
      <c r="Q142" s="425">
        <f t="shared" si="64"/>
        <v>264649.38500000007</v>
      </c>
      <c r="R142" s="425">
        <f t="shared" si="65"/>
        <v>7492.6923076923076</v>
      </c>
      <c r="S142" s="463">
        <f t="shared" si="66"/>
        <v>0</v>
      </c>
      <c r="T142" s="427">
        <v>0.94</v>
      </c>
      <c r="U142" s="425">
        <f t="shared" si="67"/>
        <v>323078.47000000003</v>
      </c>
      <c r="V142" s="425">
        <f t="shared" si="68"/>
        <v>9146.9230769230762</v>
      </c>
      <c r="W142" s="463">
        <f t="shared" si="69"/>
        <v>0</v>
      </c>
    </row>
    <row r="143" spans="1:23" ht="17.25" customHeight="1">
      <c r="A143" s="430" t="s">
        <v>208</v>
      </c>
      <c r="B143" s="431" t="str">
        <f>L_CViec!B42</f>
        <v>Biên tập nội dung bản đồ và in</v>
      </c>
      <c r="C143" s="429" t="s">
        <v>198</v>
      </c>
      <c r="D143" s="428">
        <f>L_CViec!Q42</f>
        <v>1</v>
      </c>
      <c r="E143" s="429" t="str">
        <f>L_CViec!R42</f>
        <v>1KTV6</v>
      </c>
      <c r="F143" s="425">
        <f>L_CViec!S42</f>
        <v>343700.50000000006</v>
      </c>
      <c r="G143" s="914" t="s">
        <v>15</v>
      </c>
      <c r="H143" s="424">
        <v>0.51</v>
      </c>
      <c r="I143" s="425">
        <f t="shared" si="58"/>
        <v>175287.25500000003</v>
      </c>
      <c r="J143" s="425">
        <f t="shared" si="59"/>
        <v>4962.6923076923076</v>
      </c>
      <c r="K143" s="463">
        <f t="shared" si="60"/>
        <v>0</v>
      </c>
      <c r="L143" s="427">
        <v>0.6</v>
      </c>
      <c r="M143" s="425">
        <f t="shared" si="61"/>
        <v>206220.30000000002</v>
      </c>
      <c r="N143" s="425">
        <f t="shared" si="62"/>
        <v>5838.4615384615381</v>
      </c>
      <c r="O143" s="463">
        <f t="shared" si="63"/>
        <v>0</v>
      </c>
      <c r="P143" s="427">
        <v>0.68</v>
      </c>
      <c r="Q143" s="425">
        <f t="shared" si="64"/>
        <v>233716.34000000005</v>
      </c>
      <c r="R143" s="425">
        <f t="shared" si="65"/>
        <v>6616.9230769230771</v>
      </c>
      <c r="S143" s="463">
        <f t="shared" si="66"/>
        <v>0</v>
      </c>
      <c r="T143" s="427">
        <v>0.77</v>
      </c>
      <c r="U143" s="425">
        <f t="shared" si="67"/>
        <v>264649.38500000007</v>
      </c>
      <c r="V143" s="425">
        <f t="shared" si="68"/>
        <v>7492.6923076923076</v>
      </c>
      <c r="W143" s="463">
        <f t="shared" si="69"/>
        <v>0</v>
      </c>
    </row>
    <row r="144" spans="1:23" ht="16.5" customHeight="1">
      <c r="A144" s="430" t="s">
        <v>209</v>
      </c>
      <c r="B144" s="472" t="str">
        <f>L_CViec!B43</f>
        <v>Giao nộp sản phẩm</v>
      </c>
      <c r="C144" s="440" t="s">
        <v>198</v>
      </c>
      <c r="D144" s="473">
        <f>L_CViec!Q43</f>
        <v>1</v>
      </c>
      <c r="E144" s="440" t="str">
        <f>L_CViec!R43</f>
        <v>1KTV6</v>
      </c>
      <c r="F144" s="444">
        <f>L_CViec!S43</f>
        <v>343700.50000000006</v>
      </c>
      <c r="G144" s="915" t="s">
        <v>15</v>
      </c>
      <c r="H144" s="443">
        <v>0.63</v>
      </c>
      <c r="I144" s="444">
        <f t="shared" si="58"/>
        <v>216531.31500000003</v>
      </c>
      <c r="J144" s="444">
        <f t="shared" si="59"/>
        <v>6130.3846153846152</v>
      </c>
      <c r="K144" s="474">
        <f t="shared" si="60"/>
        <v>0</v>
      </c>
      <c r="L144" s="443">
        <v>0.85</v>
      </c>
      <c r="M144" s="444">
        <f t="shared" si="61"/>
        <v>292145.42500000005</v>
      </c>
      <c r="N144" s="444">
        <f t="shared" si="62"/>
        <v>8271.1538461538457</v>
      </c>
      <c r="O144" s="474">
        <f t="shared" si="63"/>
        <v>0</v>
      </c>
      <c r="P144" s="443">
        <v>1.27</v>
      </c>
      <c r="Q144" s="444">
        <f t="shared" si="64"/>
        <v>436499.63500000007</v>
      </c>
      <c r="R144" s="444">
        <f t="shared" si="65"/>
        <v>12358.076923076924</v>
      </c>
      <c r="S144" s="474">
        <f t="shared" si="66"/>
        <v>0</v>
      </c>
      <c r="T144" s="443">
        <v>1.7</v>
      </c>
      <c r="U144" s="444">
        <f t="shared" si="67"/>
        <v>584290.85000000009</v>
      </c>
      <c r="V144" s="444">
        <f t="shared" si="68"/>
        <v>16542.307692307691</v>
      </c>
      <c r="W144" s="474">
        <f t="shared" si="69"/>
        <v>0</v>
      </c>
    </row>
    <row r="145" spans="1:31" ht="21.75" customHeight="1" thickBot="1">
      <c r="A145" s="475" t="s">
        <v>327</v>
      </c>
      <c r="B145" s="476"/>
      <c r="C145" s="477"/>
      <c r="D145" s="478"/>
      <c r="E145" s="477"/>
      <c r="F145" s="479"/>
      <c r="G145" s="919"/>
      <c r="H145" s="480"/>
      <c r="I145" s="481"/>
      <c r="J145" s="481"/>
      <c r="K145" s="479"/>
      <c r="L145" s="480"/>
      <c r="M145" s="481"/>
      <c r="N145" s="481"/>
      <c r="O145" s="479"/>
      <c r="P145" s="480"/>
      <c r="Q145" s="481"/>
      <c r="R145" s="481"/>
      <c r="S145" s="479"/>
      <c r="T145" s="480"/>
      <c r="U145" s="481"/>
      <c r="V145" s="481"/>
      <c r="W145" s="479"/>
    </row>
    <row r="146" spans="1:31" s="369" customFormat="1" ht="14.5" thickBot="1">
      <c r="A146" s="363" t="str">
        <f>L_CViec!A44</f>
        <v>IV</v>
      </c>
      <c r="B146" s="484" t="str">
        <f>L_CViec!B44</f>
        <v>ĐO ĐẠC CHỈNH LÝ BẢN ĐỒ ĐỊA CHÍNH:</v>
      </c>
      <c r="C146" s="365"/>
      <c r="D146" s="365"/>
      <c r="E146" s="365"/>
      <c r="F146" s="363"/>
      <c r="G146" s="907"/>
      <c r="H146" s="367"/>
      <c r="I146" s="367"/>
      <c r="J146" s="366"/>
      <c r="K146" s="366"/>
      <c r="L146" s="366"/>
      <c r="M146" s="363"/>
      <c r="N146" s="368" t="s">
        <v>433</v>
      </c>
      <c r="P146" s="363"/>
      <c r="Q146" s="363"/>
      <c r="R146" s="363"/>
      <c r="S146" s="363"/>
      <c r="T146" s="363"/>
      <c r="U146" s="363"/>
      <c r="V146" s="363"/>
      <c r="W146" s="363"/>
      <c r="X146" s="363"/>
      <c r="Y146" s="363"/>
      <c r="Z146" s="363"/>
      <c r="AA146" s="363"/>
      <c r="AB146" s="363"/>
      <c r="AC146" s="363"/>
      <c r="AD146" s="363"/>
      <c r="AE146" s="363"/>
    </row>
    <row r="147" spans="1:31" s="369" customFormat="1">
      <c r="A147" s="1090" t="s">
        <v>2</v>
      </c>
      <c r="B147" s="1088" t="s">
        <v>74</v>
      </c>
      <c r="C147" s="1074" t="s">
        <v>70</v>
      </c>
      <c r="D147" s="401" t="s">
        <v>76</v>
      </c>
      <c r="E147" s="1088" t="s">
        <v>471</v>
      </c>
      <c r="F147" s="402" t="s">
        <v>73</v>
      </c>
      <c r="G147" s="920" t="s">
        <v>75</v>
      </c>
      <c r="H147" s="402" t="s">
        <v>77</v>
      </c>
      <c r="I147" s="1055" t="s">
        <v>80</v>
      </c>
      <c r="J147" s="402" t="s">
        <v>72</v>
      </c>
      <c r="K147" s="404" t="s">
        <v>78</v>
      </c>
      <c r="L147" s="460" t="s">
        <v>77</v>
      </c>
      <c r="M147" s="1055" t="s">
        <v>80</v>
      </c>
      <c r="N147" s="402" t="s">
        <v>72</v>
      </c>
      <c r="O147" s="404" t="s">
        <v>78</v>
      </c>
      <c r="P147" s="402" t="s">
        <v>77</v>
      </c>
      <c r="Q147" s="1055" t="s">
        <v>80</v>
      </c>
      <c r="R147" s="402" t="s">
        <v>72</v>
      </c>
      <c r="S147" s="404" t="s">
        <v>78</v>
      </c>
      <c r="T147" s="402" t="s">
        <v>77</v>
      </c>
      <c r="U147" s="1055" t="s">
        <v>80</v>
      </c>
      <c r="V147" s="402" t="s">
        <v>72</v>
      </c>
      <c r="W147" s="404" t="s">
        <v>78</v>
      </c>
      <c r="X147" s="402" t="s">
        <v>77</v>
      </c>
      <c r="Y147" s="1055" t="s">
        <v>80</v>
      </c>
      <c r="Z147" s="402" t="s">
        <v>72</v>
      </c>
      <c r="AA147" s="404" t="s">
        <v>78</v>
      </c>
      <c r="AB147" s="402" t="s">
        <v>77</v>
      </c>
      <c r="AC147" s="1055" t="s">
        <v>80</v>
      </c>
      <c r="AD147" s="402" t="s">
        <v>72</v>
      </c>
      <c r="AE147" s="404" t="s">
        <v>78</v>
      </c>
    </row>
    <row r="148" spans="1:31" s="369" customFormat="1">
      <c r="A148" s="1091"/>
      <c r="B148" s="1089"/>
      <c r="C148" s="1075"/>
      <c r="D148" s="405" t="s">
        <v>52</v>
      </c>
      <c r="E148" s="1089"/>
      <c r="F148" s="406" t="s">
        <v>56</v>
      </c>
      <c r="G148" s="921" t="s">
        <v>71</v>
      </c>
      <c r="H148" s="410" t="s">
        <v>52</v>
      </c>
      <c r="I148" s="1068"/>
      <c r="J148" s="408">
        <f>J124</f>
        <v>0.1</v>
      </c>
      <c r="K148" s="409" t="s">
        <v>79</v>
      </c>
      <c r="L148" s="461" t="s">
        <v>52</v>
      </c>
      <c r="M148" s="1068"/>
      <c r="N148" s="408">
        <f>N124</f>
        <v>0.1</v>
      </c>
      <c r="O148" s="409" t="s">
        <v>79</v>
      </c>
      <c r="P148" s="410" t="s">
        <v>52</v>
      </c>
      <c r="Q148" s="1068"/>
      <c r="R148" s="408">
        <f>R124</f>
        <v>0.1</v>
      </c>
      <c r="S148" s="409" t="s">
        <v>79</v>
      </c>
      <c r="T148" s="410" t="s">
        <v>52</v>
      </c>
      <c r="U148" s="1068"/>
      <c r="V148" s="408">
        <f>V124</f>
        <v>0.1</v>
      </c>
      <c r="W148" s="409" t="s">
        <v>79</v>
      </c>
      <c r="X148" s="410" t="s">
        <v>52</v>
      </c>
      <c r="Y148" s="1068"/>
      <c r="Z148" s="408">
        <f>V148</f>
        <v>0.1</v>
      </c>
      <c r="AA148" s="409" t="s">
        <v>79</v>
      </c>
      <c r="AB148" s="410" t="s">
        <v>52</v>
      </c>
      <c r="AC148" s="1068"/>
      <c r="AD148" s="408">
        <f>Z148</f>
        <v>0.1</v>
      </c>
      <c r="AE148" s="409" t="s">
        <v>79</v>
      </c>
    </row>
    <row r="149" spans="1:31" ht="13.15" customHeight="1">
      <c r="A149" s="411">
        <v>1</v>
      </c>
      <c r="B149" s="412" t="s">
        <v>190</v>
      </c>
      <c r="C149" s="485"/>
      <c r="D149" s="486"/>
      <c r="E149" s="485"/>
      <c r="F149" s="487"/>
      <c r="G149" s="922"/>
      <c r="H149" s="1058" t="s">
        <v>202</v>
      </c>
      <c r="I149" s="1059"/>
      <c r="J149" s="1059"/>
      <c r="K149" s="1060"/>
      <c r="L149" s="1058" t="s">
        <v>203</v>
      </c>
      <c r="M149" s="1059"/>
      <c r="N149" s="1059"/>
      <c r="O149" s="1060"/>
      <c r="P149" s="1058" t="s">
        <v>204</v>
      </c>
      <c r="Q149" s="1059"/>
      <c r="R149" s="1059"/>
      <c r="S149" s="1060"/>
      <c r="T149" s="1058" t="s">
        <v>205</v>
      </c>
      <c r="U149" s="1059"/>
      <c r="V149" s="1059"/>
      <c r="W149" s="1060"/>
      <c r="X149" s="1058" t="s">
        <v>206</v>
      </c>
      <c r="Y149" s="1059"/>
      <c r="Z149" s="1059"/>
      <c r="AA149" s="1060"/>
      <c r="AB149" s="1058" t="s">
        <v>371</v>
      </c>
      <c r="AC149" s="1059"/>
      <c r="AD149" s="1059"/>
      <c r="AE149" s="1060"/>
    </row>
    <row r="150" spans="1:31" ht="26">
      <c r="A150" s="430">
        <v>1.1000000000000001</v>
      </c>
      <c r="B150" s="431" t="str">
        <f>L_CViec!B46</f>
        <v>Đối soát thực địa (công nhóm/mảnh)</v>
      </c>
      <c r="C150" s="429" t="s">
        <v>317</v>
      </c>
      <c r="D150" s="428">
        <f>L_CViec!Q$46</f>
        <v>2</v>
      </c>
      <c r="E150" s="429" t="str">
        <f>L_CViec!R$46</f>
        <v>1KTV4, 1KTV6</v>
      </c>
      <c r="F150" s="425">
        <f>L_CViec!S$46</f>
        <v>639331.00000000012</v>
      </c>
      <c r="G150" s="923" t="s">
        <v>18</v>
      </c>
      <c r="H150" s="490">
        <v>2.95</v>
      </c>
      <c r="I150" s="425">
        <f>$F150*H150*$J$3</f>
        <v>2357533.0625000005</v>
      </c>
      <c r="J150" s="425">
        <f>$D150*H150*$J$4*$J$3</f>
        <v>71764.423076923078</v>
      </c>
      <c r="K150" s="463">
        <f>$D150*H150*$J$6</f>
        <v>0</v>
      </c>
      <c r="L150" s="424">
        <v>4.42</v>
      </c>
      <c r="M150" s="425">
        <f>$F150*L150*$J$3/6.25</f>
        <v>565168.60400000005</v>
      </c>
      <c r="N150" s="425">
        <f>$D150*L150*$J$4*$J$3/6.25</f>
        <v>17204</v>
      </c>
      <c r="O150" s="463">
        <f>$D150*L150*$J$6/6.25</f>
        <v>0</v>
      </c>
      <c r="P150" s="427">
        <v>6.63</v>
      </c>
      <c r="Q150" s="425">
        <f>$F150*P150*$J$3/25</f>
        <v>211938.22650000002</v>
      </c>
      <c r="R150" s="425">
        <f>$D150*P150*$J$4*$J$3/25</f>
        <v>6451.5</v>
      </c>
      <c r="S150" s="463">
        <f>$D150*P150*$J$6/256</f>
        <v>0</v>
      </c>
      <c r="T150" s="427">
        <v>11.66</v>
      </c>
      <c r="U150" s="425">
        <f>$F150*T150*$J$3/100</f>
        <v>93182.493250000029</v>
      </c>
      <c r="V150" s="425">
        <f>$D150*T150*$J$4*$J$3/100</f>
        <v>2836.5192307692305</v>
      </c>
      <c r="W150" s="463">
        <f>$D150*T150*$J$6/100</f>
        <v>0</v>
      </c>
      <c r="X150" s="427">
        <v>23.33</v>
      </c>
      <c r="Y150" s="425">
        <f>$F150*X150*$J$3/900</f>
        <v>20716.100319444446</v>
      </c>
      <c r="Z150" s="425">
        <f>$D150*X150*$J$4*$J$3/900</f>
        <v>630.60790598290589</v>
      </c>
      <c r="AA150" s="463">
        <f>$D150*X150*$J$6/900</f>
        <v>0</v>
      </c>
      <c r="AB150" s="427">
        <v>35</v>
      </c>
      <c r="AC150" s="425">
        <f>$F150*AB150*$J$3/3600</f>
        <v>7769.6475694444453</v>
      </c>
      <c r="AD150" s="425">
        <f>$D150*AB150*$J$4*$J$3/3600</f>
        <v>236.51175213675211</v>
      </c>
      <c r="AE150" s="463">
        <f>$D150*AB150*$J$6/3600</f>
        <v>0</v>
      </c>
    </row>
    <row r="151" spans="1:31">
      <c r="A151" s="430"/>
      <c r="B151" s="431"/>
      <c r="C151" s="429"/>
      <c r="D151" s="428">
        <f>L_CViec!Q$46</f>
        <v>2</v>
      </c>
      <c r="E151" s="429" t="str">
        <f>L_CViec!R$46</f>
        <v>1KTV4, 1KTV6</v>
      </c>
      <c r="F151" s="425">
        <f>L_CViec!S$46</f>
        <v>639331.00000000012</v>
      </c>
      <c r="G151" s="923" t="s">
        <v>20</v>
      </c>
      <c r="H151" s="490">
        <v>3.83</v>
      </c>
      <c r="I151" s="425">
        <f t="shared" ref="I151:I170" si="70">$F151*H151*$J$3</f>
        <v>3060797.1625000006</v>
      </c>
      <c r="J151" s="425">
        <f t="shared" ref="J151:J162" si="71">$D151*H151*$J$4*$J$3</f>
        <v>93172.11538461539</v>
      </c>
      <c r="K151" s="463">
        <f>$D151*H151*$J$6</f>
        <v>0</v>
      </c>
      <c r="L151" s="424">
        <v>5.74</v>
      </c>
      <c r="M151" s="425">
        <f>$F151*L151*$J$3/6.25</f>
        <v>733951.98800000013</v>
      </c>
      <c r="N151" s="425">
        <f>$D151*L151*$J$4*$J$3/6.25</f>
        <v>22341.846153846156</v>
      </c>
      <c r="O151" s="463">
        <f>$D151*L151*$J$6/6.25</f>
        <v>0</v>
      </c>
      <c r="P151" s="427">
        <v>8.6199999999999992</v>
      </c>
      <c r="Q151" s="425">
        <f>$F151*P151*$J$3/25</f>
        <v>275551.66100000002</v>
      </c>
      <c r="R151" s="425">
        <f>$D151*P151*$J$4*$J$3/25</f>
        <v>8387.9230769230762</v>
      </c>
      <c r="S151" s="463">
        <f>$D151*P151*$J$6/256</f>
        <v>0</v>
      </c>
      <c r="T151" s="427">
        <v>14</v>
      </c>
      <c r="U151" s="425">
        <f>$F151*T151*$J$3/100</f>
        <v>111882.92500000002</v>
      </c>
      <c r="V151" s="425">
        <f>$D151*T151*$J$4*$J$3/100</f>
        <v>3405.7692307692305</v>
      </c>
      <c r="W151" s="463">
        <f>$D151*T151*$J$6/100</f>
        <v>0</v>
      </c>
      <c r="X151" s="427">
        <v>28</v>
      </c>
      <c r="Y151" s="425">
        <f>$F151*X151*$J$3/900</f>
        <v>24862.872222222228</v>
      </c>
      <c r="Z151" s="425">
        <f>$D151*X151*$J$4*$J$3/900</f>
        <v>756.83760683760681</v>
      </c>
      <c r="AA151" s="463">
        <f>$D151*X151*$J$6/900</f>
        <v>0</v>
      </c>
      <c r="AB151" s="427">
        <v>42</v>
      </c>
      <c r="AC151" s="425">
        <f>$F151*AB151*$J$3/3600</f>
        <v>9323.5770833333354</v>
      </c>
      <c r="AD151" s="425">
        <f>$D151*AB151*$J$4*$J$3/3600</f>
        <v>283.81410256410254</v>
      </c>
      <c r="AE151" s="463">
        <f>$D151*AB151*$J$6/3600</f>
        <v>0</v>
      </c>
    </row>
    <row r="152" spans="1:31">
      <c r="A152" s="430"/>
      <c r="B152" s="431"/>
      <c r="C152" s="429"/>
      <c r="D152" s="428">
        <f>L_CViec!Q$46</f>
        <v>2</v>
      </c>
      <c r="E152" s="429" t="str">
        <f>L_CViec!R$46</f>
        <v>1KTV4, 1KTV6</v>
      </c>
      <c r="F152" s="425">
        <f>L_CViec!S$46</f>
        <v>639331.00000000012</v>
      </c>
      <c r="G152" s="923" t="s">
        <v>35</v>
      </c>
      <c r="H152" s="490">
        <v>4.9800000000000004</v>
      </c>
      <c r="I152" s="425">
        <f t="shared" si="70"/>
        <v>3979835.475000001</v>
      </c>
      <c r="J152" s="425">
        <f t="shared" si="71"/>
        <v>121148.07692307694</v>
      </c>
      <c r="K152" s="463">
        <f t="shared" ref="K152:K168" si="72">$D152*H152*$J$6</f>
        <v>0</v>
      </c>
      <c r="L152" s="424">
        <v>7.47</v>
      </c>
      <c r="M152" s="425">
        <f>$F152*L152*$J$3/6.25</f>
        <v>955160.51400000008</v>
      </c>
      <c r="N152" s="425">
        <f>$D152*L152*$J$4*$J$3/6.25</f>
        <v>29075.538461538461</v>
      </c>
      <c r="O152" s="463">
        <f>$D152*L152*$J$6/6.25</f>
        <v>0</v>
      </c>
      <c r="P152" s="427">
        <v>11.2</v>
      </c>
      <c r="Q152" s="425">
        <f>$F152*P152*$J$3/25</f>
        <v>358025.3600000001</v>
      </c>
      <c r="R152" s="425">
        <f>$D152*P152*$J$4*$J$3/25</f>
        <v>10898.461538461537</v>
      </c>
      <c r="S152" s="463">
        <f>$D152*P152*$J$6/256</f>
        <v>0</v>
      </c>
      <c r="T152" s="427">
        <v>16.8</v>
      </c>
      <c r="U152" s="425">
        <f>$F152*T152*$J$3/100</f>
        <v>134259.51000000004</v>
      </c>
      <c r="V152" s="425">
        <f>$D152*T152*$J$4*$J$3/100</f>
        <v>4086.9230769230776</v>
      </c>
      <c r="W152" s="463">
        <f>$D152*T152*$J$6/100</f>
        <v>0</v>
      </c>
      <c r="X152" s="427">
        <v>33.6</v>
      </c>
      <c r="Y152" s="425">
        <f>$F152*X152*$J$3/900</f>
        <v>29835.446666666674</v>
      </c>
      <c r="Z152" s="425">
        <f>$D152*X152*$J$4*$J$3/900</f>
        <v>908.20512820512829</v>
      </c>
      <c r="AA152" s="463">
        <f>$D152*X152*$J$6/900</f>
        <v>0</v>
      </c>
      <c r="AB152" s="427">
        <v>50.4</v>
      </c>
      <c r="AC152" s="425">
        <f>$F152*AB152*$J$3/3600</f>
        <v>11188.292500000001</v>
      </c>
      <c r="AD152" s="425">
        <f>$D152*AB152*$J$4*$J$3/3600</f>
        <v>340.57692307692304</v>
      </c>
      <c r="AE152" s="463">
        <f>$D152*AB152*$J$6/3600</f>
        <v>0</v>
      </c>
    </row>
    <row r="153" spans="1:31">
      <c r="A153" s="430"/>
      <c r="B153" s="431"/>
      <c r="C153" s="429"/>
      <c r="D153" s="428">
        <f>L_CViec!Q$46</f>
        <v>2</v>
      </c>
      <c r="E153" s="429" t="str">
        <f>L_CViec!R$46</f>
        <v>1KTV4, 1KTV6</v>
      </c>
      <c r="F153" s="425">
        <f>L_CViec!S$46</f>
        <v>639331.00000000012</v>
      </c>
      <c r="G153" s="923" t="s">
        <v>33</v>
      </c>
      <c r="H153" s="490">
        <v>6.47</v>
      </c>
      <c r="I153" s="425">
        <f t="shared" si="70"/>
        <v>5170589.4625000013</v>
      </c>
      <c r="J153" s="425">
        <f t="shared" si="71"/>
        <v>157395.19230769231</v>
      </c>
      <c r="K153" s="463">
        <f t="shared" si="72"/>
        <v>0</v>
      </c>
      <c r="L153" s="424">
        <v>9.7100000000000009</v>
      </c>
      <c r="M153" s="425">
        <f>$F153*L153*$J$3/6.25</f>
        <v>1241580.8020000004</v>
      </c>
      <c r="N153" s="425">
        <f>$D153*L153*$J$4*$J$3/6.25</f>
        <v>37794.307692307695</v>
      </c>
      <c r="O153" s="463">
        <f>$D153*L153*$J$6/6.25</f>
        <v>0</v>
      </c>
      <c r="P153" s="427">
        <v>14.56</v>
      </c>
      <c r="Q153" s="425">
        <f>$F153*P153*$J$3/25</f>
        <v>465432.96800000005</v>
      </c>
      <c r="R153" s="425">
        <f>$D153*P153*$J$4*$J$3/25</f>
        <v>14168</v>
      </c>
      <c r="S153" s="463">
        <f>$D153*P153*$J$6/256</f>
        <v>0</v>
      </c>
      <c r="T153" s="427">
        <v>20.16</v>
      </c>
      <c r="U153" s="425">
        <f>$F153*T153*$J$3/100</f>
        <v>161111.41200000004</v>
      </c>
      <c r="V153" s="425">
        <f>$D153*T153*$J$4*$J$3/100</f>
        <v>4904.3076923076924</v>
      </c>
      <c r="W153" s="463">
        <f>$D153*T153*$J$6/100</f>
        <v>0</v>
      </c>
      <c r="X153" s="427">
        <v>40.32</v>
      </c>
      <c r="Y153" s="425">
        <f>$F153*X153*$J$3/900</f>
        <v>35802.536000000007</v>
      </c>
      <c r="Z153" s="425">
        <f>$D153*X153*$J$4*$J$3/900</f>
        <v>1089.8461538461538</v>
      </c>
      <c r="AA153" s="463">
        <f>$D153*X153*$J$6/900</f>
        <v>0</v>
      </c>
      <c r="AB153" s="427">
        <v>60.48</v>
      </c>
      <c r="AC153" s="425">
        <f>$F153*AB153*$J$3/3600</f>
        <v>13425.951000000001</v>
      </c>
      <c r="AD153" s="425">
        <f>$D153*AB153*$J$4*$J$3/3600</f>
        <v>408.69230769230762</v>
      </c>
      <c r="AE153" s="463">
        <f>$D153*AB153*$J$6/3600</f>
        <v>0</v>
      </c>
    </row>
    <row r="154" spans="1:31">
      <c r="A154" s="430"/>
      <c r="B154" s="431"/>
      <c r="C154" s="429"/>
      <c r="D154" s="428">
        <f>L_CViec!Q$46</f>
        <v>2</v>
      </c>
      <c r="E154" s="429" t="str">
        <f>L_CViec!R$46</f>
        <v>1KTV4, 1KTV6</v>
      </c>
      <c r="F154" s="425">
        <f>L_CViec!S$46</f>
        <v>639331.00000000012</v>
      </c>
      <c r="G154" s="923" t="s">
        <v>13</v>
      </c>
      <c r="H154" s="490"/>
      <c r="I154" s="425">
        <f t="shared" si="70"/>
        <v>0</v>
      </c>
      <c r="J154" s="425">
        <f t="shared" si="71"/>
        <v>0</v>
      </c>
      <c r="K154" s="463">
        <f t="shared" si="72"/>
        <v>0</v>
      </c>
      <c r="L154" s="424">
        <v>12.62</v>
      </c>
      <c r="M154" s="425">
        <f>$F154*L154*$J$3/6.25</f>
        <v>1613671.4440000001</v>
      </c>
      <c r="N154" s="425">
        <f>$D154*L154*$J$4*$J$3/6.25</f>
        <v>49120.923076923078</v>
      </c>
      <c r="O154" s="463">
        <f>$D154*L154*$J$6/6.25</f>
        <v>0</v>
      </c>
      <c r="P154" s="427">
        <v>18.93</v>
      </c>
      <c r="Q154" s="425">
        <f>$F154*P154*$J$3/25</f>
        <v>605126.79150000005</v>
      </c>
      <c r="R154" s="425">
        <f>$D154*P154*$J$4*$J$3/25</f>
        <v>18420.346153846152</v>
      </c>
      <c r="S154" s="463">
        <f>$D154*P154*$J$6/256</f>
        <v>0</v>
      </c>
      <c r="T154" s="427">
        <v>24.19</v>
      </c>
      <c r="U154" s="425">
        <f>$F154*T154*$J$3/100</f>
        <v>193317.71112500003</v>
      </c>
      <c r="V154" s="425">
        <f>$D154*T154*$J$4*$J$3/100</f>
        <v>5884.6826923076924</v>
      </c>
      <c r="W154" s="463">
        <f>$D154*T154*$J$6/100</f>
        <v>0</v>
      </c>
      <c r="X154" s="427"/>
      <c r="Y154" s="425">
        <f>$F154*X154*$J$3/900</f>
        <v>0</v>
      </c>
      <c r="Z154" s="425">
        <f>$D154*X154*$J$4*$J$3/900</f>
        <v>0</v>
      </c>
      <c r="AA154" s="463">
        <f t="shared" ref="AA154:AA168" si="73">$D154*X154*$J$6</f>
        <v>0</v>
      </c>
      <c r="AB154" s="427"/>
      <c r="AC154" s="425">
        <f t="shared" ref="AC154:AC170" si="74">$F154*AB154*$J$3</f>
        <v>0</v>
      </c>
      <c r="AD154" s="425">
        <f t="shared" ref="AD154:AD162" si="75">$D154*AB154*$J$4*$J$3</f>
        <v>0</v>
      </c>
      <c r="AE154" s="463">
        <f t="shared" ref="AE154:AE168" si="76">$D154*AB154*$J$6</f>
        <v>0</v>
      </c>
    </row>
    <row r="155" spans="1:31">
      <c r="A155" s="430"/>
      <c r="B155" s="431"/>
      <c r="C155" s="429"/>
      <c r="D155" s="428"/>
      <c r="E155" s="429"/>
      <c r="F155" s="425"/>
      <c r="G155" s="923"/>
      <c r="H155" s="490"/>
      <c r="I155" s="425">
        <f t="shared" si="70"/>
        <v>0</v>
      </c>
      <c r="J155" s="425">
        <f t="shared" si="71"/>
        <v>0</v>
      </c>
      <c r="K155" s="463">
        <f t="shared" si="72"/>
        <v>0</v>
      </c>
      <c r="L155" s="424"/>
      <c r="M155" s="425">
        <f t="shared" ref="M155:M170" si="77">$F155*L155*$J$3</f>
        <v>0</v>
      </c>
      <c r="N155" s="425">
        <f t="shared" ref="N155:N162" si="78">$D155*L155*$J$4*$J$3</f>
        <v>0</v>
      </c>
      <c r="O155" s="463">
        <f t="shared" ref="O155:O167" si="79">$D155*L155*$J$6</f>
        <v>0</v>
      </c>
      <c r="P155" s="427"/>
      <c r="Q155" s="425">
        <f t="shared" ref="Q155:Q170" si="80">$F155*P155*$J$3</f>
        <v>0</v>
      </c>
      <c r="R155" s="425">
        <f t="shared" ref="R155:R162" si="81">$D155*P155*$J$4*$J$3</f>
        <v>0</v>
      </c>
      <c r="S155" s="463">
        <f t="shared" ref="S155:S171" si="82">$D155*P155*$J$6</f>
        <v>0</v>
      </c>
      <c r="T155" s="427"/>
      <c r="U155" s="425">
        <f t="shared" ref="U155:U170" si="83">$F155*T155*$J$3</f>
        <v>0</v>
      </c>
      <c r="V155" s="425">
        <f t="shared" ref="V155:V162" si="84">$D155*T155*$J$4*$J$3</f>
        <v>0</v>
      </c>
      <c r="W155" s="463">
        <f t="shared" ref="W155:W171" si="85">$D155*T155*$J$6</f>
        <v>0</v>
      </c>
      <c r="X155" s="427"/>
      <c r="Y155" s="425">
        <f t="shared" ref="Y155:Y170" si="86">$F155*X155*$J$3</f>
        <v>0</v>
      </c>
      <c r="Z155" s="425">
        <f t="shared" ref="Z155:Z162" si="87">$D155*X155*$J$4*$J$3</f>
        <v>0</v>
      </c>
      <c r="AA155" s="463">
        <f t="shared" si="73"/>
        <v>0</v>
      </c>
      <c r="AB155" s="427"/>
      <c r="AC155" s="425">
        <f t="shared" si="74"/>
        <v>0</v>
      </c>
      <c r="AD155" s="425">
        <f t="shared" si="75"/>
        <v>0</v>
      </c>
      <c r="AE155" s="463">
        <f t="shared" si="76"/>
        <v>0</v>
      </c>
    </row>
    <row r="156" spans="1:31" ht="39">
      <c r="A156" s="430">
        <v>1.2</v>
      </c>
      <c r="B156" s="431" t="str">
        <f>L_CViec!B47</f>
        <v>Lưới đo vẽ (công nhóm/100 thửa có biến động cần chỉnh lý)</v>
      </c>
      <c r="C156" s="429" t="s">
        <v>329</v>
      </c>
      <c r="D156" s="428">
        <f>L_CViec!Q$47</f>
        <v>5</v>
      </c>
      <c r="E156" s="429" t="str">
        <f>L_CViec!R$47</f>
        <v>2KTV4, 2KTV6, 1KTV10</v>
      </c>
      <c r="F156" s="425">
        <f>L_CViec!S$47</f>
        <v>1718502.5000000005</v>
      </c>
      <c r="G156" s="923" t="s">
        <v>18</v>
      </c>
      <c r="H156" s="490">
        <v>1.93</v>
      </c>
      <c r="I156" s="425">
        <f t="shared" si="70"/>
        <v>4145887.2812500009</v>
      </c>
      <c r="J156" s="425">
        <f t="shared" si="71"/>
        <v>117377.40384615384</v>
      </c>
      <c r="K156" s="463">
        <f t="shared" si="72"/>
        <v>0</v>
      </c>
      <c r="L156" s="424">
        <v>1.32</v>
      </c>
      <c r="M156" s="425">
        <f t="shared" si="77"/>
        <v>2835529.1250000009</v>
      </c>
      <c r="N156" s="425">
        <f t="shared" si="78"/>
        <v>80278.846153846156</v>
      </c>
      <c r="O156" s="463">
        <f t="shared" si="79"/>
        <v>0</v>
      </c>
      <c r="P156" s="427">
        <v>0.36</v>
      </c>
      <c r="Q156" s="425">
        <f t="shared" si="80"/>
        <v>773326.12500000023</v>
      </c>
      <c r="R156" s="425">
        <f t="shared" si="81"/>
        <v>21894.230769230766</v>
      </c>
      <c r="S156" s="463">
        <f t="shared" si="82"/>
        <v>0</v>
      </c>
      <c r="T156" s="427">
        <v>0.31</v>
      </c>
      <c r="U156" s="425">
        <f>$F156*T156*$J$3</f>
        <v>665919.71875000023</v>
      </c>
      <c r="V156" s="425">
        <f>$D156*T156*$J$4*$J$3</f>
        <v>18853.365384615387</v>
      </c>
      <c r="W156" s="463">
        <f t="shared" si="85"/>
        <v>0</v>
      </c>
      <c r="X156" s="427">
        <v>0.81</v>
      </c>
      <c r="Y156" s="425">
        <f t="shared" si="86"/>
        <v>1739983.7812500005</v>
      </c>
      <c r="Z156" s="425">
        <f t="shared" si="87"/>
        <v>49262.019230769234</v>
      </c>
      <c r="AA156" s="463">
        <f t="shared" si="73"/>
        <v>0</v>
      </c>
      <c r="AB156" s="427">
        <v>1.62</v>
      </c>
      <c r="AC156" s="425">
        <f t="shared" si="74"/>
        <v>3479967.5625000009</v>
      </c>
      <c r="AD156" s="425">
        <f t="shared" si="75"/>
        <v>98524.038461538468</v>
      </c>
      <c r="AE156" s="463">
        <f t="shared" si="76"/>
        <v>0</v>
      </c>
    </row>
    <row r="157" spans="1:31" ht="26">
      <c r="A157" s="430"/>
      <c r="B157" s="431"/>
      <c r="C157" s="429"/>
      <c r="D157" s="428">
        <f>L_CViec!Q$47</f>
        <v>5</v>
      </c>
      <c r="E157" s="429" t="str">
        <f>L_CViec!R$47</f>
        <v>2KTV4, 2KTV6, 1KTV10</v>
      </c>
      <c r="F157" s="425">
        <f>L_CViec!S$47</f>
        <v>1718502.5000000005</v>
      </c>
      <c r="G157" s="923" t="s">
        <v>20</v>
      </c>
      <c r="H157" s="490">
        <v>2.42</v>
      </c>
      <c r="I157" s="425">
        <f t="shared" si="70"/>
        <v>5198470.0625000019</v>
      </c>
      <c r="J157" s="425">
        <f t="shared" si="71"/>
        <v>147177.88461538462</v>
      </c>
      <c r="K157" s="463">
        <f t="shared" si="72"/>
        <v>0</v>
      </c>
      <c r="L157" s="424">
        <v>1.65</v>
      </c>
      <c r="M157" s="425">
        <f t="shared" si="77"/>
        <v>3544411.4062500005</v>
      </c>
      <c r="N157" s="425">
        <f t="shared" si="78"/>
        <v>100348.55769230769</v>
      </c>
      <c r="O157" s="463">
        <f t="shared" si="79"/>
        <v>0</v>
      </c>
      <c r="P157" s="427">
        <v>0.45</v>
      </c>
      <c r="Q157" s="425">
        <f t="shared" si="80"/>
        <v>966657.65625000023</v>
      </c>
      <c r="R157" s="425">
        <f t="shared" si="81"/>
        <v>27367.788461538461</v>
      </c>
      <c r="S157" s="463">
        <f t="shared" si="82"/>
        <v>0</v>
      </c>
      <c r="T157" s="427">
        <v>0.42</v>
      </c>
      <c r="U157" s="425">
        <f t="shared" si="83"/>
        <v>902213.81250000023</v>
      </c>
      <c r="V157" s="425">
        <f t="shared" si="84"/>
        <v>25543.269230769234</v>
      </c>
      <c r="W157" s="463">
        <f t="shared" si="85"/>
        <v>0</v>
      </c>
      <c r="X157" s="427">
        <v>0.93</v>
      </c>
      <c r="Y157" s="425">
        <f t="shared" si="86"/>
        <v>1997759.1562500005</v>
      </c>
      <c r="Z157" s="425">
        <f t="shared" si="87"/>
        <v>56560.096153846156</v>
      </c>
      <c r="AA157" s="463">
        <f t="shared" si="73"/>
        <v>0</v>
      </c>
      <c r="AB157" s="427">
        <v>1.86</v>
      </c>
      <c r="AC157" s="425">
        <f t="shared" si="74"/>
        <v>3995518.3125000009</v>
      </c>
      <c r="AD157" s="425">
        <f t="shared" si="75"/>
        <v>113120.19230769231</v>
      </c>
      <c r="AE157" s="463">
        <f t="shared" si="76"/>
        <v>0</v>
      </c>
    </row>
    <row r="158" spans="1:31" ht="26">
      <c r="A158" s="430"/>
      <c r="B158" s="431"/>
      <c r="C158" s="429"/>
      <c r="D158" s="428">
        <f>L_CViec!Q$47</f>
        <v>5</v>
      </c>
      <c r="E158" s="429" t="str">
        <f>L_CViec!R$47</f>
        <v>2KTV4, 2KTV6, 1KTV10</v>
      </c>
      <c r="F158" s="425">
        <f>L_CViec!S$47</f>
        <v>1718502.5000000005</v>
      </c>
      <c r="G158" s="923" t="s">
        <v>35</v>
      </c>
      <c r="H158" s="490">
        <v>3.22</v>
      </c>
      <c r="I158" s="425">
        <f t="shared" si="70"/>
        <v>6916972.5625000019</v>
      </c>
      <c r="J158" s="425">
        <f t="shared" si="71"/>
        <v>195831.73076923078</v>
      </c>
      <c r="K158" s="463">
        <f t="shared" si="72"/>
        <v>0</v>
      </c>
      <c r="L158" s="424">
        <v>2.2000000000000002</v>
      </c>
      <c r="M158" s="425">
        <f t="shared" si="77"/>
        <v>4725881.8750000019</v>
      </c>
      <c r="N158" s="425">
        <f t="shared" si="78"/>
        <v>133798.07692307691</v>
      </c>
      <c r="O158" s="463">
        <f t="shared" si="79"/>
        <v>0</v>
      </c>
      <c r="P158" s="427">
        <v>0.6</v>
      </c>
      <c r="Q158" s="425">
        <f t="shared" si="80"/>
        <v>1288876.8750000002</v>
      </c>
      <c r="R158" s="425">
        <f t="shared" si="81"/>
        <v>36490.384615384617</v>
      </c>
      <c r="S158" s="463">
        <f t="shared" si="82"/>
        <v>0</v>
      </c>
      <c r="T158" s="427">
        <v>0.52</v>
      </c>
      <c r="U158" s="425">
        <f t="shared" si="83"/>
        <v>1117026.6250000005</v>
      </c>
      <c r="V158" s="425">
        <f t="shared" si="84"/>
        <v>31625</v>
      </c>
      <c r="W158" s="463">
        <f t="shared" si="85"/>
        <v>0</v>
      </c>
      <c r="X158" s="427">
        <v>1.24</v>
      </c>
      <c r="Y158" s="425">
        <f t="shared" si="86"/>
        <v>2663678.8750000009</v>
      </c>
      <c r="Z158" s="425">
        <f t="shared" si="87"/>
        <v>75413.461538461546</v>
      </c>
      <c r="AA158" s="463">
        <f t="shared" si="73"/>
        <v>0</v>
      </c>
      <c r="AB158" s="427">
        <v>2.48</v>
      </c>
      <c r="AC158" s="425">
        <f t="shared" si="74"/>
        <v>5327357.7500000019</v>
      </c>
      <c r="AD158" s="425">
        <f t="shared" si="75"/>
        <v>150826.92307692309</v>
      </c>
      <c r="AE158" s="463">
        <f t="shared" si="76"/>
        <v>0</v>
      </c>
    </row>
    <row r="159" spans="1:31" ht="26">
      <c r="A159" s="430"/>
      <c r="C159" s="429"/>
      <c r="D159" s="428">
        <f>L_CViec!Q$47</f>
        <v>5</v>
      </c>
      <c r="E159" s="429" t="str">
        <f>L_CViec!R$47</f>
        <v>2KTV4, 2KTV6, 1KTV10</v>
      </c>
      <c r="F159" s="425">
        <f>L_CViec!S$47</f>
        <v>1718502.5000000005</v>
      </c>
      <c r="G159" s="923" t="s">
        <v>33</v>
      </c>
      <c r="H159" s="490">
        <v>3.86</v>
      </c>
      <c r="I159" s="425">
        <f>$F159*H159*$J$3</f>
        <v>8291774.5625000019</v>
      </c>
      <c r="J159" s="425">
        <f>$D159*H159*$J$4*$J$3</f>
        <v>234754.80769230769</v>
      </c>
      <c r="K159" s="463">
        <f>$D159*H159*$J$6</f>
        <v>0</v>
      </c>
      <c r="L159" s="424">
        <v>2.97</v>
      </c>
      <c r="M159" s="425">
        <f t="shared" si="77"/>
        <v>6379940.5312500019</v>
      </c>
      <c r="N159" s="425">
        <f t="shared" si="78"/>
        <v>180627.40384615387</v>
      </c>
      <c r="O159" s="463">
        <f t="shared" si="79"/>
        <v>0</v>
      </c>
      <c r="P159" s="427">
        <v>0.81</v>
      </c>
      <c r="Q159" s="425">
        <f t="shared" si="80"/>
        <v>1739983.7812500005</v>
      </c>
      <c r="R159" s="425">
        <f t="shared" si="81"/>
        <v>49262.019230769234</v>
      </c>
      <c r="S159" s="463">
        <f t="shared" si="82"/>
        <v>0</v>
      </c>
      <c r="T159" s="427">
        <v>0.65</v>
      </c>
      <c r="U159" s="425">
        <f t="shared" si="83"/>
        <v>1396283.2812500002</v>
      </c>
      <c r="V159" s="425">
        <f t="shared" si="84"/>
        <v>39531.25</v>
      </c>
      <c r="W159" s="463">
        <f t="shared" si="85"/>
        <v>0</v>
      </c>
      <c r="X159" s="427">
        <v>1.36</v>
      </c>
      <c r="Y159" s="425">
        <f t="shared" si="86"/>
        <v>2921454.2500000009</v>
      </c>
      <c r="Z159" s="425">
        <f t="shared" si="87"/>
        <v>82711.538461538468</v>
      </c>
      <c r="AA159" s="463">
        <f t="shared" si="73"/>
        <v>0</v>
      </c>
      <c r="AB159" s="427">
        <v>2.72</v>
      </c>
      <c r="AC159" s="425">
        <f t="shared" si="74"/>
        <v>5842908.5000000019</v>
      </c>
      <c r="AD159" s="425">
        <f t="shared" si="75"/>
        <v>165423.07692307694</v>
      </c>
      <c r="AE159" s="463">
        <f t="shared" si="76"/>
        <v>0</v>
      </c>
    </row>
    <row r="160" spans="1:31" ht="26">
      <c r="A160" s="430"/>
      <c r="B160" s="431"/>
      <c r="C160" s="429"/>
      <c r="D160" s="428">
        <f>L_CViec!Q$47</f>
        <v>5</v>
      </c>
      <c r="E160" s="429" t="str">
        <f>L_CViec!R$47</f>
        <v>2KTV4, 2KTV6, 1KTV10</v>
      </c>
      <c r="F160" s="425">
        <f>L_CViec!S$47</f>
        <v>1718502.5000000005</v>
      </c>
      <c r="G160" s="923" t="s">
        <v>13</v>
      </c>
      <c r="H160" s="490"/>
      <c r="I160" s="425">
        <f t="shared" si="70"/>
        <v>0</v>
      </c>
      <c r="J160" s="425">
        <f t="shared" si="71"/>
        <v>0</v>
      </c>
      <c r="K160" s="463">
        <f t="shared" si="72"/>
        <v>0</v>
      </c>
      <c r="L160" s="424">
        <v>3.74</v>
      </c>
      <c r="M160" s="425">
        <f t="shared" si="77"/>
        <v>8033999.1875000028</v>
      </c>
      <c r="N160" s="425">
        <f t="shared" si="78"/>
        <v>227456.73076923078</v>
      </c>
      <c r="O160" s="463">
        <f t="shared" si="79"/>
        <v>0</v>
      </c>
      <c r="P160" s="427">
        <v>1.04</v>
      </c>
      <c r="Q160" s="425">
        <f t="shared" si="80"/>
        <v>2234053.2500000009</v>
      </c>
      <c r="R160" s="425">
        <f t="shared" si="81"/>
        <v>63250</v>
      </c>
      <c r="S160" s="463">
        <f t="shared" si="82"/>
        <v>0</v>
      </c>
      <c r="T160" s="427">
        <v>0.91</v>
      </c>
      <c r="U160" s="425">
        <f t="shared" si="83"/>
        <v>1954796.5937500005</v>
      </c>
      <c r="V160" s="425">
        <f t="shared" si="84"/>
        <v>55343.75</v>
      </c>
      <c r="W160" s="463">
        <f t="shared" si="85"/>
        <v>0</v>
      </c>
      <c r="X160" s="427"/>
      <c r="Y160" s="425">
        <f t="shared" si="86"/>
        <v>0</v>
      </c>
      <c r="Z160" s="425">
        <f t="shared" si="87"/>
        <v>0</v>
      </c>
      <c r="AA160" s="463">
        <f t="shared" si="73"/>
        <v>0</v>
      </c>
      <c r="AB160" s="427"/>
      <c r="AC160" s="425">
        <f t="shared" si="74"/>
        <v>0</v>
      </c>
      <c r="AD160" s="425">
        <f t="shared" si="75"/>
        <v>0</v>
      </c>
      <c r="AE160" s="463">
        <f t="shared" si="76"/>
        <v>0</v>
      </c>
    </row>
    <row r="161" spans="1:31">
      <c r="A161" s="430"/>
      <c r="B161" s="431"/>
      <c r="C161" s="429"/>
      <c r="D161" s="428"/>
      <c r="E161" s="429"/>
      <c r="F161" s="425"/>
      <c r="G161" s="923"/>
      <c r="H161" s="490"/>
      <c r="I161" s="425">
        <f t="shared" si="70"/>
        <v>0</v>
      </c>
      <c r="J161" s="425">
        <f t="shared" si="71"/>
        <v>0</v>
      </c>
      <c r="K161" s="463">
        <f t="shared" si="72"/>
        <v>0</v>
      </c>
      <c r="L161" s="424"/>
      <c r="M161" s="425">
        <f t="shared" si="77"/>
        <v>0</v>
      </c>
      <c r="N161" s="425">
        <f t="shared" si="78"/>
        <v>0</v>
      </c>
      <c r="O161" s="463">
        <f t="shared" si="79"/>
        <v>0</v>
      </c>
      <c r="P161" s="427"/>
      <c r="Q161" s="425">
        <f t="shared" si="80"/>
        <v>0</v>
      </c>
      <c r="R161" s="425">
        <f t="shared" si="81"/>
        <v>0</v>
      </c>
      <c r="S161" s="463">
        <f t="shared" si="82"/>
        <v>0</v>
      </c>
      <c r="T161" s="427"/>
      <c r="U161" s="425">
        <f t="shared" si="83"/>
        <v>0</v>
      </c>
      <c r="V161" s="425">
        <f t="shared" si="84"/>
        <v>0</v>
      </c>
      <c r="W161" s="463">
        <f t="shared" si="85"/>
        <v>0</v>
      </c>
      <c r="X161" s="427"/>
      <c r="Y161" s="425">
        <f t="shared" si="86"/>
        <v>0</v>
      </c>
      <c r="Z161" s="425">
        <f t="shared" si="87"/>
        <v>0</v>
      </c>
      <c r="AA161" s="463">
        <f t="shared" si="73"/>
        <v>0</v>
      </c>
      <c r="AB161" s="427"/>
      <c r="AC161" s="425">
        <f t="shared" si="74"/>
        <v>0</v>
      </c>
      <c r="AD161" s="425">
        <f t="shared" si="75"/>
        <v>0</v>
      </c>
      <c r="AE161" s="463">
        <f t="shared" si="76"/>
        <v>0</v>
      </c>
    </row>
    <row r="162" spans="1:31" ht="52">
      <c r="A162" s="430">
        <v>1.3</v>
      </c>
      <c r="B162" s="431" t="str">
        <f>L_CViec!B48</f>
        <v>Đo đạc ranh giới thửa đất và các đối tượng địa lý có liên quan (công nhóm/100 thửa có biến động cần chỉnh lý)</v>
      </c>
      <c r="C162" s="429" t="s">
        <v>329</v>
      </c>
      <c r="D162" s="428">
        <f>L_CViec!Q$48</f>
        <v>5</v>
      </c>
      <c r="E162" s="429" t="str">
        <f>L_CViec!R$48</f>
        <v>2KTV4, 2KTV6, 1KTV10</v>
      </c>
      <c r="F162" s="425">
        <f>L_CViec!S$48</f>
        <v>1718502.5000000005</v>
      </c>
      <c r="G162" s="923" t="s">
        <v>18</v>
      </c>
      <c r="H162" s="490">
        <v>23.9</v>
      </c>
      <c r="I162" s="425">
        <f t="shared" si="70"/>
        <v>51340262.187500007</v>
      </c>
      <c r="J162" s="425">
        <f t="shared" si="71"/>
        <v>1453533.6538461538</v>
      </c>
      <c r="K162" s="463">
        <f t="shared" si="72"/>
        <v>0</v>
      </c>
      <c r="L162" s="424">
        <v>16.68</v>
      </c>
      <c r="M162" s="425">
        <f t="shared" si="77"/>
        <v>35830777.125000007</v>
      </c>
      <c r="N162" s="425">
        <f t="shared" si="78"/>
        <v>1014432.6923076924</v>
      </c>
      <c r="O162" s="463">
        <f t="shared" si="79"/>
        <v>0</v>
      </c>
      <c r="P162" s="427">
        <v>6.09</v>
      </c>
      <c r="Q162" s="425">
        <f t="shared" si="80"/>
        <v>13082100.281250004</v>
      </c>
      <c r="R162" s="425">
        <f t="shared" si="81"/>
        <v>370377.40384615381</v>
      </c>
      <c r="S162" s="463">
        <f t="shared" si="82"/>
        <v>0</v>
      </c>
      <c r="T162" s="427">
        <v>8.5299999999999994</v>
      </c>
      <c r="U162" s="425">
        <f t="shared" si="83"/>
        <v>18323532.906250004</v>
      </c>
      <c r="V162" s="425">
        <f t="shared" si="84"/>
        <v>518771.63461538462</v>
      </c>
      <c r="W162" s="463">
        <f t="shared" si="85"/>
        <v>0</v>
      </c>
      <c r="X162" s="427">
        <v>11.95</v>
      </c>
      <c r="Y162" s="425">
        <f t="shared" si="86"/>
        <v>25670131.093750004</v>
      </c>
      <c r="Z162" s="425">
        <f t="shared" si="87"/>
        <v>726766.82692307688</v>
      </c>
      <c r="AA162" s="463">
        <f t="shared" si="73"/>
        <v>0</v>
      </c>
      <c r="AB162" s="427">
        <v>23.9</v>
      </c>
      <c r="AC162" s="425">
        <f t="shared" si="74"/>
        <v>51340262.187500007</v>
      </c>
      <c r="AD162" s="425">
        <f t="shared" si="75"/>
        <v>1453533.6538461538</v>
      </c>
      <c r="AE162" s="463">
        <f t="shared" si="76"/>
        <v>0</v>
      </c>
    </row>
    <row r="163" spans="1:31">
      <c r="A163" s="430"/>
      <c r="B163" s="431"/>
      <c r="C163" s="429"/>
      <c r="D163" s="417"/>
      <c r="E163" s="429"/>
      <c r="F163" s="425"/>
      <c r="G163" s="923"/>
      <c r="H163" s="490">
        <v>16.71</v>
      </c>
      <c r="I163" s="425">
        <f>H163*$J$7</f>
        <v>3039934.615384616</v>
      </c>
      <c r="J163" s="425"/>
      <c r="K163" s="463">
        <f t="shared" si="72"/>
        <v>0</v>
      </c>
      <c r="L163" s="424">
        <v>11.66</v>
      </c>
      <c r="M163" s="425">
        <f>L163*$J$7</f>
        <v>2121223.076923077</v>
      </c>
      <c r="N163" s="425"/>
      <c r="O163" s="463">
        <f t="shared" si="79"/>
        <v>0</v>
      </c>
      <c r="P163" s="427">
        <v>4.25</v>
      </c>
      <c r="Q163" s="425">
        <f>P163*$J$7</f>
        <v>773173.07692307699</v>
      </c>
      <c r="R163" s="425"/>
      <c r="S163" s="463">
        <f t="shared" si="82"/>
        <v>0</v>
      </c>
      <c r="T163" s="427">
        <v>5.96</v>
      </c>
      <c r="U163" s="425">
        <f>T163*$J$7</f>
        <v>1084261.5384615385</v>
      </c>
      <c r="V163" s="425"/>
      <c r="W163" s="463">
        <f t="shared" si="85"/>
        <v>0</v>
      </c>
      <c r="X163" s="427">
        <v>8.36</v>
      </c>
      <c r="Y163" s="425">
        <f>X163*$J$7</f>
        <v>1520876.923076923</v>
      </c>
      <c r="Z163" s="425"/>
      <c r="AA163" s="463">
        <f t="shared" si="73"/>
        <v>0</v>
      </c>
      <c r="AB163" s="427">
        <v>16.72</v>
      </c>
      <c r="AC163" s="425">
        <f>AB163*$J$7</f>
        <v>3041753.846153846</v>
      </c>
      <c r="AD163" s="425"/>
      <c r="AE163" s="463">
        <f t="shared" si="76"/>
        <v>0</v>
      </c>
    </row>
    <row r="164" spans="1:31" ht="26">
      <c r="A164" s="430"/>
      <c r="B164" s="431"/>
      <c r="C164" s="429"/>
      <c r="D164" s="428">
        <f>L_CViec!Q$48</f>
        <v>5</v>
      </c>
      <c r="E164" s="429" t="str">
        <f>L_CViec!R$48</f>
        <v>2KTV4, 2KTV6, 1KTV10</v>
      </c>
      <c r="F164" s="425">
        <f>L_CViec!S$48</f>
        <v>1718502.5000000005</v>
      </c>
      <c r="G164" s="923" t="s">
        <v>20</v>
      </c>
      <c r="H164" s="490">
        <v>28.68</v>
      </c>
      <c r="I164" s="425">
        <f t="shared" si="70"/>
        <v>61608314.625000015</v>
      </c>
      <c r="J164" s="425">
        <f>$D164*H164*$J$4*$J$3</f>
        <v>1744240.3846153847</v>
      </c>
      <c r="K164" s="463">
        <f t="shared" si="72"/>
        <v>0</v>
      </c>
      <c r="L164" s="424">
        <v>20.02</v>
      </c>
      <c r="M164" s="425">
        <f t="shared" si="77"/>
        <v>43005525.062500015</v>
      </c>
      <c r="N164" s="425">
        <f>$D164*L164*$J$4*$J$3</f>
        <v>1217562.4999999998</v>
      </c>
      <c r="O164" s="463">
        <f t="shared" si="79"/>
        <v>0</v>
      </c>
      <c r="P164" s="427">
        <v>7.31</v>
      </c>
      <c r="Q164" s="425">
        <f t="shared" si="80"/>
        <v>15702816.593750004</v>
      </c>
      <c r="R164" s="425">
        <f>$D164*P164*$J$4*$J$3</f>
        <v>444574.51923076925</v>
      </c>
      <c r="S164" s="463">
        <f t="shared" si="82"/>
        <v>0</v>
      </c>
      <c r="T164" s="427">
        <v>10.24</v>
      </c>
      <c r="U164" s="425">
        <f t="shared" si="83"/>
        <v>21996832.000000007</v>
      </c>
      <c r="V164" s="425">
        <f>$D164*T164*$J$4*$J$3</f>
        <v>622769.23076923075</v>
      </c>
      <c r="W164" s="463">
        <f t="shared" si="85"/>
        <v>0</v>
      </c>
      <c r="X164" s="427">
        <v>14.34</v>
      </c>
      <c r="Y164" s="425">
        <f t="shared" si="86"/>
        <v>30804157.312500007</v>
      </c>
      <c r="Z164" s="425">
        <f>$D164*X164*$J$4*$J$3</f>
        <v>872120.19230769237</v>
      </c>
      <c r="AA164" s="463">
        <f t="shared" si="73"/>
        <v>0</v>
      </c>
      <c r="AB164" s="427">
        <v>28.68</v>
      </c>
      <c r="AC164" s="425">
        <f t="shared" si="74"/>
        <v>61608314.625000015</v>
      </c>
      <c r="AD164" s="425">
        <f>$D164*AB164*$J$4*$J$3</f>
        <v>1744240.3846153847</v>
      </c>
      <c r="AE164" s="463">
        <f t="shared" si="76"/>
        <v>0</v>
      </c>
    </row>
    <row r="165" spans="1:31">
      <c r="A165" s="430"/>
      <c r="B165" s="431"/>
      <c r="C165" s="429"/>
      <c r="D165" s="417"/>
      <c r="E165" s="429"/>
      <c r="F165" s="425"/>
      <c r="G165" s="923"/>
      <c r="H165" s="490">
        <v>20.059999999999999</v>
      </c>
      <c r="I165" s="425">
        <f>H165*$J$7</f>
        <v>3649376.923076923</v>
      </c>
      <c r="J165" s="425"/>
      <c r="K165" s="463">
        <f t="shared" si="72"/>
        <v>0</v>
      </c>
      <c r="L165" s="424">
        <v>14</v>
      </c>
      <c r="M165" s="425">
        <f>L165*$J$7</f>
        <v>2546923.076923077</v>
      </c>
      <c r="N165" s="425"/>
      <c r="O165" s="463">
        <f t="shared" si="79"/>
        <v>0</v>
      </c>
      <c r="P165" s="427">
        <v>5.1100000000000003</v>
      </c>
      <c r="Q165" s="425">
        <f>P165*$J$7</f>
        <v>929626.92307692324</v>
      </c>
      <c r="R165" s="425"/>
      <c r="S165" s="463">
        <f t="shared" si="82"/>
        <v>0</v>
      </c>
      <c r="T165" s="427">
        <v>7.16</v>
      </c>
      <c r="U165" s="425">
        <f>T165*$J$7</f>
        <v>1302569.230769231</v>
      </c>
      <c r="V165" s="425"/>
      <c r="W165" s="463">
        <f t="shared" si="85"/>
        <v>0</v>
      </c>
      <c r="X165" s="427">
        <v>10.029999999999999</v>
      </c>
      <c r="Y165" s="425">
        <f>X165*$J$7</f>
        <v>1824688.4615384615</v>
      </c>
      <c r="Z165" s="425"/>
      <c r="AA165" s="463">
        <f t="shared" si="73"/>
        <v>0</v>
      </c>
      <c r="AB165" s="427">
        <v>20.05</v>
      </c>
      <c r="AC165" s="425">
        <f>AB165*$J$7</f>
        <v>3647557.6923076925</v>
      </c>
      <c r="AD165" s="425"/>
      <c r="AE165" s="463">
        <f t="shared" si="76"/>
        <v>0</v>
      </c>
    </row>
    <row r="166" spans="1:31" ht="26">
      <c r="A166" s="430"/>
      <c r="B166" s="431"/>
      <c r="C166" s="429"/>
      <c r="D166" s="428">
        <f>L_CViec!Q$48</f>
        <v>5</v>
      </c>
      <c r="E166" s="429" t="str">
        <f>L_CViec!R$48</f>
        <v>2KTV4, 2KTV6, 1KTV10</v>
      </c>
      <c r="F166" s="425">
        <f>L_CViec!S$48</f>
        <v>1718502.5000000005</v>
      </c>
      <c r="G166" s="923" t="s">
        <v>35</v>
      </c>
      <c r="H166" s="490">
        <v>34.42</v>
      </c>
      <c r="I166" s="425">
        <f t="shared" si="70"/>
        <v>73938570.06250003</v>
      </c>
      <c r="J166" s="425">
        <f>$D166*H166*$J$4*$J$3</f>
        <v>2093331.730769231</v>
      </c>
      <c r="K166" s="463">
        <f t="shared" si="72"/>
        <v>0</v>
      </c>
      <c r="L166" s="424">
        <v>24.02</v>
      </c>
      <c r="M166" s="425">
        <f t="shared" si="77"/>
        <v>51598037.562500015</v>
      </c>
      <c r="N166" s="425">
        <f>$D166*L166*$J$4*$J$3</f>
        <v>1460831.7307692305</v>
      </c>
      <c r="O166" s="463">
        <f t="shared" si="79"/>
        <v>0</v>
      </c>
      <c r="P166" s="427">
        <v>8.76</v>
      </c>
      <c r="Q166" s="425">
        <f t="shared" si="80"/>
        <v>18817602.375000004</v>
      </c>
      <c r="R166" s="425">
        <f>$D166*P166*$J$4*$J$3</f>
        <v>532759.61538461526</v>
      </c>
      <c r="S166" s="463">
        <f t="shared" si="82"/>
        <v>0</v>
      </c>
      <c r="T166" s="427">
        <v>12.28</v>
      </c>
      <c r="U166" s="425">
        <f t="shared" si="83"/>
        <v>26379013.375000004</v>
      </c>
      <c r="V166" s="425">
        <f>$D166*T166*$J$4*$J$3</f>
        <v>746836.5384615385</v>
      </c>
      <c r="W166" s="463">
        <f t="shared" si="85"/>
        <v>0</v>
      </c>
      <c r="X166" s="427">
        <v>17.21</v>
      </c>
      <c r="Y166" s="425">
        <f t="shared" si="86"/>
        <v>36969285.031250015</v>
      </c>
      <c r="Z166" s="425">
        <f>$D166*X166*$J$4*$J$3</f>
        <v>1046665.8653846155</v>
      </c>
      <c r="AA166" s="463">
        <f t="shared" si="73"/>
        <v>0</v>
      </c>
      <c r="AB166" s="427">
        <v>34.409999999999997</v>
      </c>
      <c r="AC166" s="425">
        <f t="shared" si="74"/>
        <v>73917088.781250015</v>
      </c>
      <c r="AD166" s="425">
        <f>$D166*AB166*$J$4*$J$3</f>
        <v>2092723.5576923075</v>
      </c>
      <c r="AE166" s="463">
        <f t="shared" si="76"/>
        <v>0</v>
      </c>
    </row>
    <row r="167" spans="1:31">
      <c r="A167" s="430"/>
      <c r="B167" s="491"/>
      <c r="C167" s="429"/>
      <c r="D167" s="417"/>
      <c r="E167" s="429"/>
      <c r="F167" s="425"/>
      <c r="G167" s="923"/>
      <c r="H167" s="490">
        <v>24.07</v>
      </c>
      <c r="I167" s="425">
        <f>H167*$J$7</f>
        <v>4378888.461538462</v>
      </c>
      <c r="J167" s="425"/>
      <c r="K167" s="463">
        <f t="shared" si="72"/>
        <v>0</v>
      </c>
      <c r="L167" s="424">
        <v>16.8</v>
      </c>
      <c r="M167" s="425">
        <f>L167*$J$7</f>
        <v>3056307.6923076925</v>
      </c>
      <c r="N167" s="425"/>
      <c r="O167" s="463">
        <f t="shared" si="79"/>
        <v>0</v>
      </c>
      <c r="P167" s="427">
        <v>6.12</v>
      </c>
      <c r="Q167" s="425">
        <f>P167*$J$7</f>
        <v>1113369.230769231</v>
      </c>
      <c r="R167" s="425"/>
      <c r="S167" s="463">
        <f t="shared" si="82"/>
        <v>0</v>
      </c>
      <c r="T167" s="427">
        <v>8.59</v>
      </c>
      <c r="U167" s="425">
        <f>T167*$J$7</f>
        <v>1562719.2307692308</v>
      </c>
      <c r="V167" s="425"/>
      <c r="W167" s="463">
        <f t="shared" si="85"/>
        <v>0</v>
      </c>
      <c r="X167" s="427">
        <v>12.03</v>
      </c>
      <c r="Y167" s="425">
        <f>X167*$J$7</f>
        <v>2188534.6153846155</v>
      </c>
      <c r="Z167" s="425"/>
      <c r="AA167" s="463">
        <f t="shared" si="73"/>
        <v>0</v>
      </c>
      <c r="AB167" s="427">
        <v>24.06</v>
      </c>
      <c r="AC167" s="425">
        <f>AB167*$J$7</f>
        <v>4377069.230769231</v>
      </c>
      <c r="AD167" s="425"/>
      <c r="AE167" s="463">
        <f t="shared" si="76"/>
        <v>0</v>
      </c>
    </row>
    <row r="168" spans="1:31" ht="26">
      <c r="A168" s="430"/>
      <c r="B168" s="431"/>
      <c r="C168" s="429"/>
      <c r="D168" s="428">
        <f>L_CViec!Q$48</f>
        <v>5</v>
      </c>
      <c r="E168" s="429" t="str">
        <f>L_CViec!R$48</f>
        <v>2KTV4, 2KTV6, 1KTV10</v>
      </c>
      <c r="F168" s="425">
        <f>L_CViec!S$48</f>
        <v>1718502.5000000005</v>
      </c>
      <c r="G168" s="923" t="s">
        <v>33</v>
      </c>
      <c r="H168" s="490">
        <v>41.3</v>
      </c>
      <c r="I168" s="425">
        <f t="shared" si="70"/>
        <v>88717691.562500015</v>
      </c>
      <c r="J168" s="425">
        <f>$D168*H168*$J$4*$J$3</f>
        <v>2511754.8076923075</v>
      </c>
      <c r="K168" s="463">
        <f t="shared" si="72"/>
        <v>0</v>
      </c>
      <c r="L168" s="424">
        <v>28.82</v>
      </c>
      <c r="M168" s="425">
        <f t="shared" si="77"/>
        <v>61909052.562500015</v>
      </c>
      <c r="N168" s="425">
        <f>$D168*L168*$J$4*$J$3</f>
        <v>1752754.8076923075</v>
      </c>
      <c r="O168" s="463">
        <f>$D168*L168*$J$6</f>
        <v>0</v>
      </c>
      <c r="P168" s="427">
        <v>10.52</v>
      </c>
      <c r="Q168" s="425">
        <f t="shared" si="80"/>
        <v>22598307.875000007</v>
      </c>
      <c r="R168" s="425">
        <f>$D168*P168*$J$4*$J$3</f>
        <v>639798.07692307676</v>
      </c>
      <c r="S168" s="463">
        <f t="shared" si="82"/>
        <v>0</v>
      </c>
      <c r="T168" s="427">
        <v>14.74</v>
      </c>
      <c r="U168" s="425">
        <f t="shared" si="83"/>
        <v>31663408.562500011</v>
      </c>
      <c r="V168" s="425">
        <f>$D168*T168*$J$4*$J$3</f>
        <v>896447.11538461549</v>
      </c>
      <c r="W168" s="463">
        <f t="shared" si="85"/>
        <v>0</v>
      </c>
      <c r="X168" s="427">
        <v>20.65</v>
      </c>
      <c r="Y168" s="425">
        <f t="shared" si="86"/>
        <v>44358845.781250007</v>
      </c>
      <c r="Z168" s="425">
        <f>$D168*X168*$J$4*$J$3</f>
        <v>1255877.4038461538</v>
      </c>
      <c r="AA168" s="463">
        <f t="shared" si="73"/>
        <v>0</v>
      </c>
      <c r="AB168" s="427">
        <v>41.3</v>
      </c>
      <c r="AC168" s="425">
        <f t="shared" si="74"/>
        <v>88717691.562500015</v>
      </c>
      <c r="AD168" s="425">
        <f>$D168*AB168*$J$4*$J$3</f>
        <v>2511754.8076923075</v>
      </c>
      <c r="AE168" s="463">
        <f t="shared" si="76"/>
        <v>0</v>
      </c>
    </row>
    <row r="169" spans="1:31">
      <c r="A169" s="430"/>
      <c r="B169" s="431"/>
      <c r="C169" s="429"/>
      <c r="D169" s="417"/>
      <c r="E169" s="429"/>
      <c r="F169" s="425"/>
      <c r="G169" s="923"/>
      <c r="H169" s="490">
        <v>28.88</v>
      </c>
      <c r="I169" s="425">
        <f>H169*$J$7</f>
        <v>5253938.461538462</v>
      </c>
      <c r="J169" s="425"/>
      <c r="K169" s="463"/>
      <c r="L169" s="424">
        <v>20.149999999999999</v>
      </c>
      <c r="M169" s="425">
        <f>L169*$J$7</f>
        <v>3665750</v>
      </c>
      <c r="N169" s="425"/>
      <c r="O169" s="463">
        <f>$D169*L169*$J$6</f>
        <v>0</v>
      </c>
      <c r="P169" s="427">
        <v>7.35</v>
      </c>
      <c r="Q169" s="425">
        <f>P169*$J$7</f>
        <v>1337134.6153846155</v>
      </c>
      <c r="R169" s="425"/>
      <c r="S169" s="463">
        <f t="shared" si="82"/>
        <v>0</v>
      </c>
      <c r="T169" s="427">
        <v>10.31</v>
      </c>
      <c r="U169" s="425">
        <f>T169*$J$7</f>
        <v>1875626.9230769232</v>
      </c>
      <c r="V169" s="425"/>
      <c r="W169" s="463">
        <f t="shared" si="85"/>
        <v>0</v>
      </c>
      <c r="X169" s="427">
        <v>14.44</v>
      </c>
      <c r="Y169" s="425">
        <f>X169*$J$7</f>
        <v>2626969.230769231</v>
      </c>
      <c r="Z169" s="425"/>
      <c r="AA169" s="463"/>
      <c r="AB169" s="427">
        <v>28.88</v>
      </c>
      <c r="AC169" s="425">
        <f>AB169*$J$7</f>
        <v>5253938.461538462</v>
      </c>
      <c r="AD169" s="425"/>
      <c r="AE169" s="463"/>
    </row>
    <row r="170" spans="1:31" ht="26">
      <c r="A170" s="430"/>
      <c r="B170" s="431"/>
      <c r="C170" s="429"/>
      <c r="D170" s="428">
        <f>L_CViec!Q$48</f>
        <v>5</v>
      </c>
      <c r="E170" s="429" t="str">
        <f>L_CViec!R$48</f>
        <v>2KTV4, 2KTV6, 1KTV10</v>
      </c>
      <c r="F170" s="425">
        <f>L_CViec!S$48</f>
        <v>1718502.5000000005</v>
      </c>
      <c r="G170" s="923" t="s">
        <v>13</v>
      </c>
      <c r="H170" s="490"/>
      <c r="I170" s="425">
        <f t="shared" si="70"/>
        <v>0</v>
      </c>
      <c r="J170" s="425">
        <f>$D170*H170*$J$4*$J$3</f>
        <v>0</v>
      </c>
      <c r="K170" s="463">
        <f>H170*$J$6</f>
        <v>0</v>
      </c>
      <c r="L170" s="424">
        <v>34.590000000000003</v>
      </c>
      <c r="M170" s="425">
        <f t="shared" si="77"/>
        <v>74303751.84375003</v>
      </c>
      <c r="N170" s="425">
        <f>$D170*L170*$J$4*$J$3</f>
        <v>2103670.673076923</v>
      </c>
      <c r="O170" s="463">
        <f>$D170*L170*$J$6</f>
        <v>0</v>
      </c>
      <c r="P170" s="427">
        <v>12.62</v>
      </c>
      <c r="Q170" s="425">
        <f t="shared" si="80"/>
        <v>27109376.937500007</v>
      </c>
      <c r="R170" s="425">
        <f>$D170*P170*$J$4*$J$3</f>
        <v>767514.42307692301</v>
      </c>
      <c r="S170" s="463">
        <f t="shared" si="82"/>
        <v>0</v>
      </c>
      <c r="T170" s="427">
        <v>17.690000000000001</v>
      </c>
      <c r="U170" s="425">
        <f t="shared" si="83"/>
        <v>38000386.531250015</v>
      </c>
      <c r="V170" s="425">
        <f>$D170*T170*$J$4*$J$3</f>
        <v>1075858.173076923</v>
      </c>
      <c r="W170" s="463">
        <f t="shared" si="85"/>
        <v>0</v>
      </c>
      <c r="X170" s="427"/>
      <c r="Y170" s="425">
        <f t="shared" si="86"/>
        <v>0</v>
      </c>
      <c r="Z170" s="425">
        <f>$D170*X170*$J$4*$J$3</f>
        <v>0</v>
      </c>
      <c r="AA170" s="463">
        <f>X170*$J$6</f>
        <v>0</v>
      </c>
      <c r="AB170" s="427"/>
      <c r="AC170" s="425">
        <f t="shared" si="74"/>
        <v>0</v>
      </c>
      <c r="AD170" s="425">
        <f>$D170*AB170*$J$4*$J$3</f>
        <v>0</v>
      </c>
      <c r="AE170" s="463">
        <f>AB170*$J$6</f>
        <v>0</v>
      </c>
    </row>
    <row r="171" spans="1:31">
      <c r="A171" s="430"/>
      <c r="B171" s="431"/>
      <c r="C171" s="429"/>
      <c r="D171" s="417"/>
      <c r="E171" s="429"/>
      <c r="F171" s="425"/>
      <c r="G171" s="923"/>
      <c r="H171" s="490"/>
      <c r="I171" s="425">
        <f>H171*$J$7</f>
        <v>0</v>
      </c>
      <c r="J171" s="425"/>
      <c r="K171" s="463"/>
      <c r="L171" s="424">
        <v>24.19</v>
      </c>
      <c r="M171" s="425">
        <f>L171*$J$7</f>
        <v>4400719.230769231</v>
      </c>
      <c r="N171" s="425"/>
      <c r="O171" s="463">
        <f>$D171*L171*$J$6</f>
        <v>0</v>
      </c>
      <c r="P171" s="427">
        <v>8.82</v>
      </c>
      <c r="Q171" s="425">
        <f>P171*$J$7</f>
        <v>1604561.5384615387</v>
      </c>
      <c r="R171" s="425"/>
      <c r="S171" s="463">
        <f t="shared" si="82"/>
        <v>0</v>
      </c>
      <c r="T171" s="427">
        <v>12.37</v>
      </c>
      <c r="U171" s="425">
        <f>T171*$J$7</f>
        <v>2250388.4615384615</v>
      </c>
      <c r="V171" s="425"/>
      <c r="W171" s="463">
        <f t="shared" si="85"/>
        <v>0</v>
      </c>
      <c r="X171" s="427"/>
      <c r="Y171" s="425">
        <f>X171*$J$7</f>
        <v>0</v>
      </c>
      <c r="Z171" s="425"/>
      <c r="AA171" s="463"/>
      <c r="AB171" s="427"/>
      <c r="AC171" s="425">
        <f>AB171*$J$7</f>
        <v>0</v>
      </c>
      <c r="AD171" s="425"/>
      <c r="AE171" s="463"/>
    </row>
    <row r="172" spans="1:31">
      <c r="A172" s="411">
        <v>2</v>
      </c>
      <c r="B172" s="412" t="s">
        <v>192</v>
      </c>
      <c r="C172" s="485"/>
      <c r="D172" s="486"/>
      <c r="E172" s="485"/>
      <c r="F172" s="487"/>
      <c r="G172" s="922"/>
      <c r="H172" s="494"/>
      <c r="I172" s="495"/>
      <c r="J172" s="495"/>
      <c r="K172" s="488"/>
      <c r="L172" s="496"/>
      <c r="M172" s="495"/>
      <c r="N172" s="495"/>
      <c r="O172" s="488"/>
      <c r="P172" s="497"/>
      <c r="Q172" s="495"/>
      <c r="R172" s="495"/>
      <c r="S172" s="488"/>
      <c r="T172" s="497"/>
      <c r="U172" s="495"/>
      <c r="V172" s="495"/>
      <c r="W172" s="488"/>
      <c r="X172" s="497"/>
      <c r="Y172" s="495"/>
      <c r="Z172" s="495"/>
      <c r="AA172" s="488"/>
      <c r="AB172" s="497"/>
      <c r="AC172" s="495"/>
      <c r="AD172" s="495"/>
      <c r="AE172" s="488"/>
    </row>
    <row r="173" spans="1:31" ht="39">
      <c r="A173" s="430" t="s">
        <v>268</v>
      </c>
      <c r="B173" s="431" t="str">
        <f>L_CViec!B50</f>
        <v>Số hóa BĐĐC: Áp dụng theo mức quy định tại Điều 8, Chương I</v>
      </c>
      <c r="C173" s="429"/>
      <c r="D173" s="428"/>
      <c r="E173" s="429"/>
      <c r="F173" s="425"/>
      <c r="G173" s="923"/>
      <c r="H173" s="490"/>
      <c r="I173" s="425"/>
      <c r="J173" s="425"/>
      <c r="K173" s="463"/>
      <c r="L173" s="424"/>
      <c r="M173" s="425"/>
      <c r="N173" s="425"/>
      <c r="O173" s="463"/>
      <c r="P173" s="427"/>
      <c r="Q173" s="425"/>
      <c r="R173" s="425"/>
      <c r="S173" s="463"/>
      <c r="T173" s="427"/>
      <c r="U173" s="425"/>
      <c r="V173" s="425"/>
      <c r="W173" s="463"/>
      <c r="X173" s="427"/>
      <c r="Y173" s="425"/>
      <c r="Z173" s="425"/>
      <c r="AA173" s="463"/>
      <c r="AB173" s="427"/>
      <c r="AC173" s="425"/>
      <c r="AD173" s="425"/>
      <c r="AE173" s="463"/>
    </row>
    <row r="174" spans="1:31" ht="26">
      <c r="A174" s="430" t="s">
        <v>34</v>
      </c>
      <c r="B174" s="431" t="str">
        <f>L_CViec!B51</f>
        <v>Lập bản vẽ BĐĐC (Công nhóm/100 thửa chỉnh lý)</v>
      </c>
      <c r="C174" s="429" t="s">
        <v>329</v>
      </c>
      <c r="D174" s="428">
        <f>L_CViec!Q$51</f>
        <v>2</v>
      </c>
      <c r="E174" s="429" t="str">
        <f>L_CViec!R$51</f>
        <v>1KTV6, 1KTV10</v>
      </c>
      <c r="F174" s="425">
        <f>L_CViec!S$51</f>
        <v>783541.00000000023</v>
      </c>
      <c r="G174" s="923" t="s">
        <v>18</v>
      </c>
      <c r="H174" s="490">
        <v>5.12</v>
      </c>
      <c r="I174" s="425">
        <f>$F174*H174</f>
        <v>4011729.9200000013</v>
      </c>
      <c r="J174" s="425">
        <f>$D174*H174*$J$5</f>
        <v>99643.076923076922</v>
      </c>
      <c r="K174" s="463">
        <f>$D174*H174*$J$6</f>
        <v>0</v>
      </c>
      <c r="L174" s="424">
        <v>1.63</v>
      </c>
      <c r="M174" s="425">
        <f>$F174*L174</f>
        <v>1277171.8300000003</v>
      </c>
      <c r="N174" s="425">
        <f>$D174*L174*$J$5</f>
        <v>31722.307692307688</v>
      </c>
      <c r="O174" s="463">
        <f>$D174*L174*$J$6</f>
        <v>0</v>
      </c>
      <c r="P174" s="427">
        <v>0.55000000000000004</v>
      </c>
      <c r="Q174" s="425">
        <f>$F174*P174</f>
        <v>430947.55000000016</v>
      </c>
      <c r="R174" s="425">
        <f>$D174*P174*$J$5</f>
        <v>10703.846153846154</v>
      </c>
      <c r="S174" s="463">
        <f>$D174*P174*$J$6</f>
        <v>0</v>
      </c>
      <c r="T174" s="427">
        <v>0.67</v>
      </c>
      <c r="U174" s="425">
        <f>$F174*T174</f>
        <v>524972.4700000002</v>
      </c>
      <c r="V174" s="425">
        <f>$D174*T174*$J$5</f>
        <v>13039.23076923077</v>
      </c>
      <c r="W174" s="463">
        <f>$D174*T174*$J$6</f>
        <v>0</v>
      </c>
      <c r="X174" s="427">
        <v>1.4</v>
      </c>
      <c r="Y174" s="425">
        <f>$F174*X174</f>
        <v>1096957.4000000004</v>
      </c>
      <c r="Z174" s="425">
        <f>$D174*X174*$J$5</f>
        <v>27246.153846153844</v>
      </c>
      <c r="AA174" s="463">
        <f>$D174*X174*$J$6</f>
        <v>0</v>
      </c>
      <c r="AB174" s="427">
        <v>2.2000000000000002</v>
      </c>
      <c r="AC174" s="425">
        <f>$F174*AB174</f>
        <v>1723790.2000000007</v>
      </c>
      <c r="AD174" s="425">
        <f>$D174*AB174*$J$5</f>
        <v>42815.384615384617</v>
      </c>
      <c r="AE174" s="463">
        <f>$D174*AB174*$J$6</f>
        <v>0</v>
      </c>
    </row>
    <row r="175" spans="1:31">
      <c r="A175" s="430"/>
      <c r="B175" s="431"/>
      <c r="C175" s="429"/>
      <c r="D175" s="428">
        <f>L_CViec!Q$51</f>
        <v>2</v>
      </c>
      <c r="E175" s="429" t="str">
        <f>L_CViec!R$51</f>
        <v>1KTV6, 1KTV10</v>
      </c>
      <c r="F175" s="425">
        <f>L_CViec!S$51</f>
        <v>783541.00000000023</v>
      </c>
      <c r="G175" s="923" t="s">
        <v>20</v>
      </c>
      <c r="H175" s="490">
        <v>6.14</v>
      </c>
      <c r="I175" s="425">
        <f t="shared" ref="I175:I183" si="88">$F175*H175</f>
        <v>4810941.7400000012</v>
      </c>
      <c r="J175" s="425">
        <f t="shared" ref="J175:J183" si="89">$D175*H175*$J$5</f>
        <v>119493.84615384614</v>
      </c>
      <c r="K175" s="463">
        <f t="shared" ref="K175:K183" si="90">$D175*H175*$J$6</f>
        <v>0</v>
      </c>
      <c r="L175" s="424">
        <v>2.0299999999999998</v>
      </c>
      <c r="M175" s="425">
        <f t="shared" ref="M175:M180" si="91">$F175*L175</f>
        <v>1590588.2300000002</v>
      </c>
      <c r="N175" s="425">
        <f t="shared" ref="N175:N180" si="92">$D175*L175*$J$5</f>
        <v>39506.923076923071</v>
      </c>
      <c r="O175" s="463">
        <f t="shared" ref="O175:O180" si="93">$D175*L175*$J$6</f>
        <v>0</v>
      </c>
      <c r="P175" s="427">
        <v>0.69</v>
      </c>
      <c r="Q175" s="425">
        <f t="shared" ref="Q175:Q180" si="94">$F175*P175</f>
        <v>540643.29000000015</v>
      </c>
      <c r="R175" s="425">
        <f t="shared" ref="R175:R180" si="95">$D175*P175*$J$5</f>
        <v>13428.461538461537</v>
      </c>
      <c r="S175" s="463">
        <f t="shared" ref="S175:S180" si="96">$D175*P175*$J$6</f>
        <v>0</v>
      </c>
      <c r="T175" s="427">
        <v>0.89</v>
      </c>
      <c r="U175" s="425">
        <f t="shared" ref="U175:U180" si="97">$F175*T175</f>
        <v>697351.49000000022</v>
      </c>
      <c r="V175" s="425">
        <f t="shared" ref="V175:V180" si="98">$D175*T175*$J$5</f>
        <v>17320.76923076923</v>
      </c>
      <c r="W175" s="463">
        <f t="shared" ref="W175:W180" si="99">$D175*T175*$J$6</f>
        <v>0</v>
      </c>
      <c r="X175" s="427">
        <v>1.62</v>
      </c>
      <c r="Y175" s="425">
        <f t="shared" ref="Y175:Y180" si="100">$F175*X175</f>
        <v>1269336.4200000004</v>
      </c>
      <c r="Z175" s="425">
        <f t="shared" ref="Z175:Z180" si="101">$D175*X175*$J$5</f>
        <v>31527.692307692309</v>
      </c>
      <c r="AA175" s="463">
        <f t="shared" ref="AA175:AA180" si="102">$D175*X175*$J$6</f>
        <v>0</v>
      </c>
      <c r="AB175" s="427">
        <v>2.42</v>
      </c>
      <c r="AC175" s="425">
        <f t="shared" ref="AC175:AC180" si="103">$F175*AB175</f>
        <v>1896169.2200000004</v>
      </c>
      <c r="AD175" s="425">
        <f t="shared" ref="AD175:AD180" si="104">$D175*AB175*$J$5</f>
        <v>47096.923076923071</v>
      </c>
      <c r="AE175" s="463">
        <f t="shared" ref="AE175:AE180" si="105">$D175*AB175*$J$6</f>
        <v>0</v>
      </c>
    </row>
    <row r="176" spans="1:31">
      <c r="A176" s="430"/>
      <c r="B176" s="431"/>
      <c r="C176" s="429"/>
      <c r="D176" s="428">
        <f>L_CViec!Q$51</f>
        <v>2</v>
      </c>
      <c r="E176" s="429" t="str">
        <f>L_CViec!R$51</f>
        <v>1KTV6, 1KTV10</v>
      </c>
      <c r="F176" s="425">
        <f>L_CViec!S$51</f>
        <v>783541.00000000023</v>
      </c>
      <c r="G176" s="923" t="s">
        <v>35</v>
      </c>
      <c r="H176" s="490">
        <v>7.16</v>
      </c>
      <c r="I176" s="425">
        <f t="shared" si="88"/>
        <v>5610153.5600000015</v>
      </c>
      <c r="J176" s="425">
        <f t="shared" si="89"/>
        <v>139344.61538461538</v>
      </c>
      <c r="K176" s="463">
        <f t="shared" si="90"/>
        <v>0</v>
      </c>
      <c r="L176" s="424">
        <v>2.17</v>
      </c>
      <c r="M176" s="425">
        <f t="shared" si="91"/>
        <v>1700283.9700000004</v>
      </c>
      <c r="N176" s="425">
        <f t="shared" si="92"/>
        <v>42231.538461538461</v>
      </c>
      <c r="O176" s="463">
        <f t="shared" si="93"/>
        <v>0</v>
      </c>
      <c r="P176" s="427">
        <v>0.92</v>
      </c>
      <c r="Q176" s="425">
        <f t="shared" si="94"/>
        <v>720857.7200000002</v>
      </c>
      <c r="R176" s="425">
        <f t="shared" si="95"/>
        <v>17904.615384615387</v>
      </c>
      <c r="S176" s="463">
        <f t="shared" si="96"/>
        <v>0</v>
      </c>
      <c r="T176" s="427">
        <v>1.1100000000000001</v>
      </c>
      <c r="U176" s="425">
        <f t="shared" si="97"/>
        <v>869730.51000000036</v>
      </c>
      <c r="V176" s="425">
        <f t="shared" si="98"/>
        <v>21602.307692307695</v>
      </c>
      <c r="W176" s="463">
        <f t="shared" si="99"/>
        <v>0</v>
      </c>
      <c r="X176" s="427">
        <v>2.16</v>
      </c>
      <c r="Y176" s="425">
        <f t="shared" si="100"/>
        <v>1692448.5600000005</v>
      </c>
      <c r="Z176" s="425">
        <f t="shared" si="101"/>
        <v>42036.923076923078</v>
      </c>
      <c r="AA176" s="463">
        <f t="shared" si="102"/>
        <v>0</v>
      </c>
      <c r="AB176" s="427">
        <v>2.96</v>
      </c>
      <c r="AC176" s="425">
        <f t="shared" si="103"/>
        <v>2319281.3600000008</v>
      </c>
      <c r="AD176" s="425">
        <f t="shared" si="104"/>
        <v>57606.153846153844</v>
      </c>
      <c r="AE176" s="463">
        <f t="shared" si="105"/>
        <v>0</v>
      </c>
    </row>
    <row r="177" spans="1:31">
      <c r="A177" s="430"/>
      <c r="B177" s="431"/>
      <c r="C177" s="429"/>
      <c r="D177" s="428">
        <f>L_CViec!Q$51</f>
        <v>2</v>
      </c>
      <c r="E177" s="429" t="str">
        <f>L_CViec!R$51</f>
        <v>1KTV6, 1KTV10</v>
      </c>
      <c r="F177" s="425">
        <f>L_CViec!S$51</f>
        <v>783541.00000000023</v>
      </c>
      <c r="G177" s="923" t="s">
        <v>33</v>
      </c>
      <c r="H177" s="490">
        <v>8.1999999999999993</v>
      </c>
      <c r="I177" s="425">
        <f t="shared" si="88"/>
        <v>6425036.2000000011</v>
      </c>
      <c r="J177" s="425">
        <f t="shared" si="89"/>
        <v>159584.61538461538</v>
      </c>
      <c r="K177" s="463">
        <f t="shared" si="90"/>
        <v>0</v>
      </c>
      <c r="L177" s="424">
        <v>3.66</v>
      </c>
      <c r="M177" s="425">
        <f t="shared" si="91"/>
        <v>2867760.060000001</v>
      </c>
      <c r="N177" s="425">
        <f t="shared" si="92"/>
        <v>71229.230769230766</v>
      </c>
      <c r="O177" s="463">
        <f t="shared" si="93"/>
        <v>0</v>
      </c>
      <c r="P177" s="427">
        <v>1.24</v>
      </c>
      <c r="Q177" s="425">
        <f t="shared" si="94"/>
        <v>971590.84000000032</v>
      </c>
      <c r="R177" s="425">
        <f t="shared" si="95"/>
        <v>24132.307692307691</v>
      </c>
      <c r="S177" s="463">
        <f t="shared" si="96"/>
        <v>0</v>
      </c>
      <c r="T177" s="427">
        <v>1.39</v>
      </c>
      <c r="U177" s="425">
        <f t="shared" si="97"/>
        <v>1089121.9900000002</v>
      </c>
      <c r="V177" s="425">
        <f t="shared" si="98"/>
        <v>27051.538461538457</v>
      </c>
      <c r="W177" s="463">
        <f t="shared" si="99"/>
        <v>0</v>
      </c>
      <c r="X177" s="427">
        <v>2.38</v>
      </c>
      <c r="Y177" s="425">
        <f t="shared" si="100"/>
        <v>1864827.5800000005</v>
      </c>
      <c r="Z177" s="425">
        <f t="shared" si="101"/>
        <v>46318.461538461532</v>
      </c>
      <c r="AA177" s="463">
        <f t="shared" si="102"/>
        <v>0</v>
      </c>
      <c r="AB177" s="427">
        <v>3.18</v>
      </c>
      <c r="AC177" s="425">
        <f t="shared" si="103"/>
        <v>2491660.3800000008</v>
      </c>
      <c r="AD177" s="425">
        <f t="shared" si="104"/>
        <v>61887.692307692312</v>
      </c>
      <c r="AE177" s="463">
        <f t="shared" si="105"/>
        <v>0</v>
      </c>
    </row>
    <row r="178" spans="1:31">
      <c r="A178" s="430"/>
      <c r="B178" s="431"/>
      <c r="C178" s="429"/>
      <c r="D178" s="428">
        <f>L_CViec!Q$51</f>
        <v>2</v>
      </c>
      <c r="E178" s="429" t="str">
        <f>L_CViec!R$51</f>
        <v>1KTV6, 1KTV10</v>
      </c>
      <c r="F178" s="425">
        <f>L_CViec!S$51</f>
        <v>783541.00000000023</v>
      </c>
      <c r="G178" s="923" t="s">
        <v>13</v>
      </c>
      <c r="H178" s="490"/>
      <c r="I178" s="425">
        <f t="shared" si="88"/>
        <v>0</v>
      </c>
      <c r="J178" s="425">
        <f t="shared" si="89"/>
        <v>0</v>
      </c>
      <c r="K178" s="463">
        <f t="shared" si="90"/>
        <v>0</v>
      </c>
      <c r="L178" s="424">
        <v>4.6100000000000003</v>
      </c>
      <c r="M178" s="425">
        <f t="shared" si="91"/>
        <v>3612124.0100000012</v>
      </c>
      <c r="N178" s="425">
        <f t="shared" si="92"/>
        <v>89717.692307692312</v>
      </c>
      <c r="O178" s="463">
        <f t="shared" si="93"/>
        <v>0</v>
      </c>
      <c r="P178" s="427">
        <v>1.61</v>
      </c>
      <c r="Q178" s="425">
        <f t="shared" si="94"/>
        <v>1261501.0100000005</v>
      </c>
      <c r="R178" s="425">
        <f t="shared" si="95"/>
        <v>31333.076923076926</v>
      </c>
      <c r="S178" s="463">
        <f t="shared" si="96"/>
        <v>0</v>
      </c>
      <c r="T178" s="427">
        <v>1.94</v>
      </c>
      <c r="U178" s="425">
        <f t="shared" si="97"/>
        <v>1520069.5400000005</v>
      </c>
      <c r="V178" s="425">
        <f t="shared" si="98"/>
        <v>37755.38461538461</v>
      </c>
      <c r="W178" s="463">
        <f t="shared" si="99"/>
        <v>0</v>
      </c>
      <c r="X178" s="427"/>
      <c r="Y178" s="425">
        <f t="shared" si="100"/>
        <v>0</v>
      </c>
      <c r="Z178" s="425">
        <f t="shared" si="101"/>
        <v>0</v>
      </c>
      <c r="AA178" s="463">
        <f t="shared" si="102"/>
        <v>0</v>
      </c>
      <c r="AB178" s="427"/>
      <c r="AC178" s="425">
        <f t="shared" si="103"/>
        <v>0</v>
      </c>
      <c r="AD178" s="425">
        <f t="shared" si="104"/>
        <v>0</v>
      </c>
      <c r="AE178" s="463">
        <f t="shared" si="105"/>
        <v>0</v>
      </c>
    </row>
    <row r="179" spans="1:31" ht="49.5" customHeight="1">
      <c r="A179" s="430" t="str">
        <f>L_CViec!A52</f>
        <v>2.3</v>
      </c>
      <c r="B179" s="491" t="str">
        <f>L_CViec!B52</f>
        <v>Lập Phiếu đo đạc chỉnh lý thửa đất (Công/100 thửa chỉnh lý)</v>
      </c>
      <c r="C179" s="429" t="s">
        <v>329</v>
      </c>
      <c r="D179" s="428">
        <f>L_CViec!Q52</f>
        <v>1</v>
      </c>
      <c r="E179" s="429" t="str">
        <f>L_CViec!R52</f>
        <v>1KTV6</v>
      </c>
      <c r="F179" s="425">
        <f>L_CViec!S52</f>
        <v>343700.50000000006</v>
      </c>
      <c r="G179" s="924" t="s">
        <v>622</v>
      </c>
      <c r="H179" s="490">
        <v>3</v>
      </c>
      <c r="I179" s="425">
        <f t="shared" si="88"/>
        <v>1031101.5000000002</v>
      </c>
      <c r="J179" s="425">
        <f t="shared" si="89"/>
        <v>29192.307692307691</v>
      </c>
      <c r="K179" s="463">
        <f t="shared" si="90"/>
        <v>0</v>
      </c>
      <c r="L179" s="424">
        <v>3</v>
      </c>
      <c r="M179" s="425">
        <f t="shared" si="91"/>
        <v>1031101.5000000002</v>
      </c>
      <c r="N179" s="425">
        <f t="shared" si="92"/>
        <v>29192.307692307691</v>
      </c>
      <c r="O179" s="463">
        <f t="shared" si="93"/>
        <v>0</v>
      </c>
      <c r="P179" s="427">
        <v>3</v>
      </c>
      <c r="Q179" s="425">
        <f t="shared" si="94"/>
        <v>1031101.5000000002</v>
      </c>
      <c r="R179" s="425">
        <f t="shared" si="95"/>
        <v>29192.307692307691</v>
      </c>
      <c r="S179" s="463">
        <f t="shared" si="96"/>
        <v>0</v>
      </c>
      <c r="T179" s="427">
        <v>3</v>
      </c>
      <c r="U179" s="425">
        <f t="shared" si="97"/>
        <v>1031101.5000000002</v>
      </c>
      <c r="V179" s="425">
        <f t="shared" si="98"/>
        <v>29192.307692307691</v>
      </c>
      <c r="W179" s="463">
        <f t="shared" si="99"/>
        <v>0</v>
      </c>
      <c r="X179" s="427">
        <v>3</v>
      </c>
      <c r="Y179" s="425">
        <f t="shared" si="100"/>
        <v>1031101.5000000002</v>
      </c>
      <c r="Z179" s="425">
        <f t="shared" si="101"/>
        <v>29192.307692307691</v>
      </c>
      <c r="AA179" s="463">
        <f t="shared" si="102"/>
        <v>0</v>
      </c>
      <c r="AB179" s="427">
        <v>3</v>
      </c>
      <c r="AC179" s="425">
        <f t="shared" si="103"/>
        <v>1031101.5000000002</v>
      </c>
      <c r="AD179" s="425">
        <f t="shared" si="104"/>
        <v>29192.307692307691</v>
      </c>
      <c r="AE179" s="463">
        <f t="shared" si="105"/>
        <v>0</v>
      </c>
    </row>
    <row r="180" spans="1:31" ht="26">
      <c r="A180" s="430" t="str">
        <f>L_CViec!A53</f>
        <v>2.4</v>
      </c>
      <c r="B180" s="491" t="str">
        <f>L_CViec!B53</f>
        <v>Bổ sung sổ mục kê (công nhóm/100 thửa chỉnh lý)</v>
      </c>
      <c r="C180" s="429" t="s">
        <v>329</v>
      </c>
      <c r="D180" s="428">
        <f>L_CViec!Q53</f>
        <v>1</v>
      </c>
      <c r="E180" s="429" t="str">
        <f>L_CViec!R53</f>
        <v>1KTV6</v>
      </c>
      <c r="F180" s="425">
        <f>L_CViec!S53</f>
        <v>343700.50000000006</v>
      </c>
      <c r="G180" s="924" t="s">
        <v>622</v>
      </c>
      <c r="H180" s="490">
        <v>2.6</v>
      </c>
      <c r="I180" s="425">
        <f t="shared" si="88"/>
        <v>893621.30000000016</v>
      </c>
      <c r="J180" s="425">
        <f t="shared" si="89"/>
        <v>25300</v>
      </c>
      <c r="K180" s="463">
        <f t="shared" si="90"/>
        <v>0</v>
      </c>
      <c r="L180" s="424">
        <v>2.6</v>
      </c>
      <c r="M180" s="425">
        <f t="shared" si="91"/>
        <v>893621.30000000016</v>
      </c>
      <c r="N180" s="425">
        <f t="shared" si="92"/>
        <v>25300</v>
      </c>
      <c r="O180" s="463">
        <f t="shared" si="93"/>
        <v>0</v>
      </c>
      <c r="P180" s="427">
        <v>2.6</v>
      </c>
      <c r="Q180" s="425">
        <f t="shared" si="94"/>
        <v>893621.30000000016</v>
      </c>
      <c r="R180" s="425">
        <f t="shared" si="95"/>
        <v>25300</v>
      </c>
      <c r="S180" s="463">
        <f t="shared" si="96"/>
        <v>0</v>
      </c>
      <c r="T180" s="427">
        <v>2.6</v>
      </c>
      <c r="U180" s="425">
        <f t="shared" si="97"/>
        <v>893621.30000000016</v>
      </c>
      <c r="V180" s="425">
        <f t="shared" si="98"/>
        <v>25300</v>
      </c>
      <c r="W180" s="463">
        <f t="shared" si="99"/>
        <v>0</v>
      </c>
      <c r="X180" s="427">
        <v>2.6</v>
      </c>
      <c r="Y180" s="425">
        <f t="shared" si="100"/>
        <v>893621.30000000016</v>
      </c>
      <c r="Z180" s="425">
        <f t="shared" si="101"/>
        <v>25300</v>
      </c>
      <c r="AA180" s="463">
        <f t="shared" si="102"/>
        <v>0</v>
      </c>
      <c r="AB180" s="427">
        <v>2.6</v>
      </c>
      <c r="AC180" s="425">
        <f t="shared" si="103"/>
        <v>893621.30000000016</v>
      </c>
      <c r="AD180" s="425">
        <f t="shared" si="104"/>
        <v>25300</v>
      </c>
      <c r="AE180" s="463">
        <f t="shared" si="105"/>
        <v>0</v>
      </c>
    </row>
    <row r="181" spans="1:31" ht="26">
      <c r="A181" s="430" t="str">
        <f>L_CViec!A54</f>
        <v>2.5</v>
      </c>
      <c r="B181" s="491" t="str">
        <f>L_CViec!B54</f>
        <v>Biên tập bản đồ và in (công nhóm/mảnh)</v>
      </c>
      <c r="C181" s="429" t="s">
        <v>317</v>
      </c>
      <c r="D181" s="428">
        <f>L_CViec!Q54</f>
        <v>1</v>
      </c>
      <c r="E181" s="429" t="str">
        <f>L_CViec!R54</f>
        <v>1KTV6</v>
      </c>
      <c r="F181" s="425">
        <f>L_CViec!S54</f>
        <v>343700.50000000006</v>
      </c>
      <c r="G181" s="924" t="s">
        <v>622</v>
      </c>
      <c r="H181" s="490">
        <v>0.51</v>
      </c>
      <c r="I181" s="425">
        <f t="shared" si="88"/>
        <v>175287.25500000003</v>
      </c>
      <c r="J181" s="425">
        <f t="shared" si="89"/>
        <v>4962.6923076923076</v>
      </c>
      <c r="K181" s="463">
        <f t="shared" si="90"/>
        <v>0</v>
      </c>
      <c r="L181" s="424">
        <v>0.6</v>
      </c>
      <c r="M181" s="425">
        <f>$F181*L181/6.25</f>
        <v>32995.248</v>
      </c>
      <c r="N181" s="425">
        <f>$D181*L181*$J$5/6.25</f>
        <v>934.15384615384608</v>
      </c>
      <c r="O181" s="463">
        <f>$D181*L181*$J$6/6.25</f>
        <v>0</v>
      </c>
      <c r="P181" s="427">
        <v>0.68</v>
      </c>
      <c r="Q181" s="425">
        <f>$F181*P181/25</f>
        <v>9348.6536000000015</v>
      </c>
      <c r="R181" s="425">
        <f>$D181*P181*$J$5/25</f>
        <v>264.67692307692306</v>
      </c>
      <c r="S181" s="463">
        <f>$D181*P181*$J$6/25</f>
        <v>0</v>
      </c>
      <c r="T181" s="427">
        <v>0.77</v>
      </c>
      <c r="U181" s="425">
        <f>$F181*T181/100</f>
        <v>2646.4938500000007</v>
      </c>
      <c r="V181" s="425">
        <f>$D181*T181*$J$5/100</f>
        <v>74.926923076923075</v>
      </c>
      <c r="W181" s="463">
        <f>$D181*T181*$J$6/100</f>
        <v>0</v>
      </c>
      <c r="X181" s="427">
        <v>0.85</v>
      </c>
      <c r="Y181" s="425">
        <f>$F181*X181/900</f>
        <v>324.60602777777785</v>
      </c>
      <c r="Z181" s="425">
        <f>$D181*X181*$J$5/900</f>
        <v>9.1901709401709404</v>
      </c>
      <c r="AA181" s="463">
        <f>$D181*X181*$J$6/900</f>
        <v>0</v>
      </c>
      <c r="AB181" s="427">
        <v>1</v>
      </c>
      <c r="AC181" s="425">
        <f>$F181*AB181/3600</f>
        <v>95.472361111111127</v>
      </c>
      <c r="AD181" s="425">
        <f>$D181*AB181*$J$5/3600</f>
        <v>2.7029914529914527</v>
      </c>
      <c r="AE181" s="463">
        <f>$D181*AB181*$J$6/3600</f>
        <v>0</v>
      </c>
    </row>
    <row r="182" spans="1:31" ht="26">
      <c r="A182" s="430" t="str">
        <f>L_CViec!A55</f>
        <v>2.6</v>
      </c>
      <c r="B182" s="491" t="str">
        <f>L_CViec!B55</f>
        <v>Xác nhận hồ sơ các cấp (công nhóm/mảnh)</v>
      </c>
      <c r="C182" s="429" t="s">
        <v>317</v>
      </c>
      <c r="D182" s="428">
        <f>L_CViec!Q55</f>
        <v>1</v>
      </c>
      <c r="E182" s="429" t="str">
        <f>L_CViec!R55</f>
        <v>1KTV6</v>
      </c>
      <c r="F182" s="425">
        <f>L_CViec!S55</f>
        <v>343700.50000000006</v>
      </c>
      <c r="G182" s="924" t="s">
        <v>622</v>
      </c>
      <c r="H182" s="490">
        <v>0.4</v>
      </c>
      <c r="I182" s="425">
        <f t="shared" si="88"/>
        <v>137480.20000000004</v>
      </c>
      <c r="J182" s="425">
        <f t="shared" si="89"/>
        <v>3892.3076923076924</v>
      </c>
      <c r="K182" s="463">
        <f t="shared" si="90"/>
        <v>0</v>
      </c>
      <c r="L182" s="424">
        <v>0.6</v>
      </c>
      <c r="M182" s="425">
        <f>$F182*L182/6.25</f>
        <v>32995.248</v>
      </c>
      <c r="N182" s="425">
        <f>$D182*L182*$J$5/6.25</f>
        <v>934.15384615384608</v>
      </c>
      <c r="O182" s="463">
        <f>$D182*L182*$J$6/6.25</f>
        <v>0</v>
      </c>
      <c r="P182" s="427">
        <v>0.8</v>
      </c>
      <c r="Q182" s="425">
        <f>$F182*P182/25</f>
        <v>10998.416000000003</v>
      </c>
      <c r="R182" s="425">
        <f>$D182*P182*$J$5/25</f>
        <v>311.38461538461542</v>
      </c>
      <c r="S182" s="463">
        <f>$D182*P182*$J$6/25</f>
        <v>0</v>
      </c>
      <c r="T182" s="427">
        <v>1.1000000000000001</v>
      </c>
      <c r="U182" s="425">
        <f>$F182*T182/100</f>
        <v>3780.7055000000009</v>
      </c>
      <c r="V182" s="425">
        <f>$D182*T182*$J$5/100</f>
        <v>107.03846153846155</v>
      </c>
      <c r="W182" s="463">
        <f>$D182*T182*$J$6/100</f>
        <v>0</v>
      </c>
      <c r="X182" s="427">
        <v>1.7</v>
      </c>
      <c r="Y182" s="425">
        <f>$F182*X182/900</f>
        <v>649.21205555555571</v>
      </c>
      <c r="Z182" s="425">
        <f>$D182*X182*$J$5/900</f>
        <v>18.380341880341881</v>
      </c>
      <c r="AA182" s="463">
        <f>$D182*X182*$J$6/900</f>
        <v>0</v>
      </c>
      <c r="AB182" s="427">
        <v>2</v>
      </c>
      <c r="AC182" s="425">
        <f>$F182*AB182/3600</f>
        <v>190.94472222222225</v>
      </c>
      <c r="AD182" s="425">
        <f>$D182*AB182*$J$5/3600</f>
        <v>5.4059829059829054</v>
      </c>
      <c r="AE182" s="463">
        <f>$D182*AB182*$J$6/3600</f>
        <v>0</v>
      </c>
    </row>
    <row r="183" spans="1:31" ht="26">
      <c r="A183" s="492" t="str">
        <f>L_CViec!A56</f>
        <v>2.7</v>
      </c>
      <c r="B183" s="498" t="str">
        <f>L_CViec!B56</f>
        <v>Giao nộp sản phẩm (công nhóm/mảnh)</v>
      </c>
      <c r="C183" s="440" t="s">
        <v>317</v>
      </c>
      <c r="D183" s="473">
        <f>L_CViec!Q56</f>
        <v>2</v>
      </c>
      <c r="E183" s="440" t="str">
        <f>L_CViec!R56</f>
        <v>2KTV6</v>
      </c>
      <c r="F183" s="444">
        <f>L_CViec!S56</f>
        <v>687401.00000000012</v>
      </c>
      <c r="G183" s="924" t="s">
        <v>622</v>
      </c>
      <c r="H183" s="493">
        <v>0.1</v>
      </c>
      <c r="I183" s="444">
        <f t="shared" si="88"/>
        <v>68740.10000000002</v>
      </c>
      <c r="J183" s="444">
        <f t="shared" si="89"/>
        <v>1946.1538461538462</v>
      </c>
      <c r="K183" s="474">
        <f t="shared" si="90"/>
        <v>0</v>
      </c>
      <c r="L183" s="470">
        <v>0.63</v>
      </c>
      <c r="M183" s="444">
        <f>$F183*L183/6.25</f>
        <v>69290.020800000013</v>
      </c>
      <c r="N183" s="444">
        <f>$D183*L183*$J$5/6.25</f>
        <v>1961.7230769230769</v>
      </c>
      <c r="O183" s="474">
        <f>$D183*L183*$J$6/6.25</f>
        <v>0</v>
      </c>
      <c r="P183" s="443">
        <v>0.85</v>
      </c>
      <c r="Q183" s="444">
        <f>$F183*P183/25</f>
        <v>23371.634000000005</v>
      </c>
      <c r="R183" s="444">
        <f>$D183*P183*$J$5/25</f>
        <v>661.69230769230762</v>
      </c>
      <c r="S183" s="474">
        <f>$D183*P183*$J$6/25</f>
        <v>0</v>
      </c>
      <c r="T183" s="443">
        <v>1.27</v>
      </c>
      <c r="U183" s="444">
        <f>$F183*T183/100</f>
        <v>8729.9927000000007</v>
      </c>
      <c r="V183" s="444">
        <f>$D183*T183*$J$5/100</f>
        <v>247.16153846153847</v>
      </c>
      <c r="W183" s="474">
        <f>$D183*T183*$J$6/100</f>
        <v>0</v>
      </c>
      <c r="X183" s="443">
        <v>1.7</v>
      </c>
      <c r="Y183" s="444">
        <f>$F183*X183/900</f>
        <v>1298.4241111111114</v>
      </c>
      <c r="Z183" s="444">
        <f>$D183*X183*$J$5/900</f>
        <v>36.760683760683762</v>
      </c>
      <c r="AA183" s="474">
        <f>$D183*X183*$J$6/900</f>
        <v>0</v>
      </c>
      <c r="AB183" s="443">
        <v>2</v>
      </c>
      <c r="AC183" s="444">
        <f>$F183*AB183/3600</f>
        <v>381.88944444444451</v>
      </c>
      <c r="AD183" s="444">
        <f>$D183*AB183*$J$5/3600</f>
        <v>10.811965811965811</v>
      </c>
      <c r="AE183" s="474">
        <f>$D183*AB183*$J$6/3600</f>
        <v>0</v>
      </c>
    </row>
    <row r="184" spans="1:31" s="356" customFormat="1">
      <c r="A184" s="411"/>
      <c r="B184" s="1112" t="s">
        <v>219</v>
      </c>
      <c r="C184" s="1112"/>
      <c r="D184" s="1112"/>
      <c r="E184" s="1112"/>
      <c r="F184" s="1112"/>
      <c r="G184" s="1112"/>
      <c r="H184" s="1112"/>
      <c r="I184" s="1112"/>
      <c r="J184" s="1112"/>
      <c r="K184" s="1112"/>
      <c r="L184" s="415"/>
      <c r="M184" s="412"/>
      <c r="N184" s="412"/>
      <c r="O184" s="412"/>
      <c r="P184" s="412"/>
      <c r="Q184" s="412"/>
      <c r="R184" s="412"/>
      <c r="S184" s="412"/>
      <c r="T184" s="412"/>
      <c r="U184" s="412"/>
      <c r="V184" s="412"/>
      <c r="W184" s="412"/>
      <c r="X184" s="412"/>
      <c r="Y184" s="412"/>
      <c r="Z184" s="412"/>
      <c r="AA184" s="412"/>
      <c r="AB184" s="412"/>
      <c r="AC184" s="412"/>
      <c r="AD184" s="412"/>
      <c r="AE184" s="499"/>
    </row>
    <row r="185" spans="1:31" ht="15" customHeight="1">
      <c r="A185" s="430"/>
      <c r="B185" s="1104" t="s">
        <v>483</v>
      </c>
      <c r="C185" s="1104"/>
      <c r="D185" s="1104"/>
      <c r="E185" s="1104"/>
      <c r="F185" s="1104"/>
      <c r="G185" s="1104"/>
      <c r="H185" s="1104"/>
      <c r="I185" s="1104"/>
      <c r="J185" s="1104"/>
      <c r="K185" s="1104"/>
      <c r="L185" s="425"/>
      <c r="M185" s="431"/>
      <c r="N185" s="431"/>
      <c r="O185" s="431"/>
      <c r="P185" s="431"/>
      <c r="Q185" s="431"/>
      <c r="R185" s="431"/>
      <c r="S185" s="431"/>
      <c r="T185" s="431"/>
      <c r="U185" s="431"/>
      <c r="V185" s="431"/>
      <c r="W185" s="431"/>
      <c r="X185" s="431"/>
      <c r="Y185" s="431"/>
      <c r="Z185" s="431"/>
      <c r="AA185" s="431"/>
      <c r="AB185" s="431"/>
      <c r="AC185" s="431"/>
      <c r="AD185" s="431"/>
      <c r="AE185" s="500"/>
    </row>
    <row r="186" spans="1:31" ht="26.25" customHeight="1">
      <c r="A186" s="430"/>
      <c r="B186" s="1108" t="s">
        <v>484</v>
      </c>
      <c r="C186" s="1049"/>
      <c r="D186" s="1049"/>
      <c r="E186" s="1049"/>
      <c r="F186" s="1049"/>
      <c r="G186" s="1049"/>
      <c r="H186" s="1049"/>
      <c r="I186" s="1049"/>
      <c r="J186" s="1049"/>
      <c r="K186" s="1049"/>
      <c r="L186" s="1049"/>
      <c r="M186" s="1049"/>
      <c r="N186" s="1049"/>
      <c r="O186" s="1049"/>
      <c r="P186" s="1049"/>
      <c r="Q186" s="1049"/>
      <c r="R186" s="1049"/>
      <c r="S186" s="1049"/>
      <c r="T186" s="1049"/>
      <c r="U186" s="1049"/>
      <c r="V186" s="1049"/>
      <c r="W186" s="1049"/>
      <c r="X186" s="1049"/>
      <c r="Y186" s="1049"/>
      <c r="Z186" s="1049"/>
      <c r="AA186" s="1049"/>
      <c r="AB186" s="1049"/>
      <c r="AC186" s="1049"/>
      <c r="AD186" s="1050"/>
      <c r="AE186" s="500"/>
    </row>
    <row r="187" spans="1:31" ht="20.25" customHeight="1">
      <c r="A187" s="430"/>
      <c r="B187" s="1104" t="s">
        <v>485</v>
      </c>
      <c r="C187" s="1104"/>
      <c r="D187" s="1104"/>
      <c r="E187" s="1104"/>
      <c r="F187" s="1104"/>
      <c r="G187" s="1104"/>
      <c r="H187" s="1104"/>
      <c r="I187" s="1104"/>
      <c r="J187" s="1104"/>
      <c r="K187" s="1104"/>
      <c r="L187" s="425"/>
      <c r="M187" s="431"/>
      <c r="N187" s="431"/>
      <c r="O187" s="431"/>
      <c r="P187" s="431"/>
      <c r="Q187" s="431"/>
      <c r="R187" s="431"/>
      <c r="S187" s="431"/>
      <c r="T187" s="431"/>
      <c r="U187" s="431"/>
      <c r="V187" s="431"/>
      <c r="W187" s="431"/>
      <c r="X187" s="431"/>
      <c r="Y187" s="431"/>
      <c r="Z187" s="431"/>
      <c r="AA187" s="431"/>
      <c r="AB187" s="431"/>
      <c r="AC187" s="431"/>
      <c r="AD187" s="431"/>
      <c r="AE187" s="500"/>
    </row>
    <row r="188" spans="1:31" ht="30.65" customHeight="1">
      <c r="A188" s="430"/>
      <c r="B188" s="1108" t="s">
        <v>486</v>
      </c>
      <c r="C188" s="1049"/>
      <c r="D188" s="1049"/>
      <c r="E188" s="1049"/>
      <c r="F188" s="1049"/>
      <c r="G188" s="1049"/>
      <c r="H188" s="1049"/>
      <c r="I188" s="1049"/>
      <c r="J188" s="1049"/>
      <c r="K188" s="1049"/>
      <c r="L188" s="1049"/>
      <c r="M188" s="1049"/>
      <c r="N188" s="1049"/>
      <c r="O188" s="1049"/>
      <c r="P188" s="1049"/>
      <c r="Q188" s="1049"/>
      <c r="R188" s="1049"/>
      <c r="S188" s="1049"/>
      <c r="T188" s="1049"/>
      <c r="U188" s="1049"/>
      <c r="V188" s="1049"/>
      <c r="W188" s="1049"/>
      <c r="X188" s="1049"/>
      <c r="Y188" s="1049"/>
      <c r="Z188" s="1049"/>
      <c r="AA188" s="1049"/>
      <c r="AB188" s="1049"/>
      <c r="AC188" s="1049"/>
      <c r="AD188" s="1050"/>
      <c r="AE188" s="500"/>
    </row>
    <row r="189" spans="1:31" ht="31.15" customHeight="1">
      <c r="A189" s="430"/>
      <c r="B189" s="1108" t="s">
        <v>487</v>
      </c>
      <c r="C189" s="1049"/>
      <c r="D189" s="1049"/>
      <c r="E189" s="1049"/>
      <c r="F189" s="1049"/>
      <c r="G189" s="1049"/>
      <c r="H189" s="1049"/>
      <c r="I189" s="1049"/>
      <c r="J189" s="1049"/>
      <c r="K189" s="1049"/>
      <c r="L189" s="1049"/>
      <c r="M189" s="1049"/>
      <c r="N189" s="1049"/>
      <c r="O189" s="1049"/>
      <c r="P189" s="1049"/>
      <c r="Q189" s="1049"/>
      <c r="R189" s="1049"/>
      <c r="S189" s="1049"/>
      <c r="T189" s="1049"/>
      <c r="U189" s="1049"/>
      <c r="V189" s="1049"/>
      <c r="W189" s="1049"/>
      <c r="X189" s="1049"/>
      <c r="Y189" s="1049"/>
      <c r="Z189" s="1049"/>
      <c r="AA189" s="1049"/>
      <c r="AB189" s="1049"/>
      <c r="AC189" s="1049"/>
      <c r="AD189" s="1050"/>
      <c r="AE189" s="500"/>
    </row>
    <row r="190" spans="1:31" ht="31.15" customHeight="1">
      <c r="A190" s="430"/>
      <c r="B190" s="1108" t="s">
        <v>488</v>
      </c>
      <c r="C190" s="1049"/>
      <c r="D190" s="1049"/>
      <c r="E190" s="1049"/>
      <c r="F190" s="1049"/>
      <c r="G190" s="1049"/>
      <c r="H190" s="1049"/>
      <c r="I190" s="1049"/>
      <c r="J190" s="1049"/>
      <c r="K190" s="1049"/>
      <c r="L190" s="1049"/>
      <c r="M190" s="1049"/>
      <c r="N190" s="1049"/>
      <c r="O190" s="1049"/>
      <c r="P190" s="1049"/>
      <c r="Q190" s="1049"/>
      <c r="R190" s="1049"/>
      <c r="S190" s="1049"/>
      <c r="T190" s="1049"/>
      <c r="U190" s="1049"/>
      <c r="V190" s="1049"/>
      <c r="W190" s="1049"/>
      <c r="X190" s="1049"/>
      <c r="Y190" s="1049"/>
      <c r="Z190" s="1049"/>
      <c r="AA190" s="1049"/>
      <c r="AB190" s="1049"/>
      <c r="AC190" s="1049"/>
      <c r="AD190" s="1050"/>
      <c r="AE190" s="500"/>
    </row>
    <row r="191" spans="1:31" ht="31.15" customHeight="1" thickBot="1">
      <c r="A191" s="501"/>
      <c r="B191" s="1109" t="s">
        <v>489</v>
      </c>
      <c r="C191" s="1110"/>
      <c r="D191" s="1110"/>
      <c r="E191" s="1110"/>
      <c r="F191" s="1110"/>
      <c r="G191" s="1110"/>
      <c r="H191" s="1110"/>
      <c r="I191" s="1110"/>
      <c r="J191" s="1110"/>
      <c r="K191" s="1110"/>
      <c r="L191" s="1110"/>
      <c r="M191" s="1110"/>
      <c r="N191" s="1110"/>
      <c r="O191" s="1110"/>
      <c r="P191" s="1110"/>
      <c r="Q191" s="1110"/>
      <c r="R191" s="1110"/>
      <c r="S191" s="1110"/>
      <c r="T191" s="1110"/>
      <c r="U191" s="1110"/>
      <c r="V191" s="1110"/>
      <c r="W191" s="1110"/>
      <c r="X191" s="1110"/>
      <c r="Y191" s="1110"/>
      <c r="Z191" s="1110"/>
      <c r="AA191" s="1110"/>
      <c r="AB191" s="1110"/>
      <c r="AC191" s="1110"/>
      <c r="AD191" s="1111"/>
      <c r="AE191" s="502"/>
    </row>
    <row r="192" spans="1:31">
      <c r="B192" s="482"/>
      <c r="G192" s="925"/>
    </row>
    <row r="193" spans="1:31" s="369" customFormat="1" ht="14" thickBot="1">
      <c r="A193" s="363" t="str">
        <f>L_CViec!A57</f>
        <v>V</v>
      </c>
      <c r="B193" s="400" t="str">
        <f>L_CViec!B57</f>
        <v>TRÍCH ĐO ĐỊA CHÍNH THỬA ĐẤT:</v>
      </c>
      <c r="C193" s="365"/>
      <c r="D193" s="365"/>
      <c r="E193" s="365"/>
      <c r="F193" s="363"/>
      <c r="G193" s="926" t="s">
        <v>434</v>
      </c>
      <c r="H193" s="367"/>
      <c r="I193" s="367"/>
      <c r="J193" s="366"/>
      <c r="K193" s="366"/>
      <c r="L193" s="366"/>
      <c r="M193" s="367"/>
      <c r="N193" s="367"/>
      <c r="O193" s="368" t="s">
        <v>434</v>
      </c>
      <c r="P193" s="366"/>
      <c r="Q193" s="366"/>
      <c r="R193" s="367"/>
      <c r="S193" s="367"/>
      <c r="T193" s="366"/>
      <c r="U193" s="366"/>
      <c r="V193" s="366"/>
      <c r="W193" s="367"/>
      <c r="X193" s="367"/>
      <c r="Y193" s="366"/>
      <c r="Z193" s="366"/>
      <c r="AA193" s="366"/>
      <c r="AB193" s="367"/>
      <c r="AC193" s="367"/>
      <c r="AD193" s="366"/>
      <c r="AE193" s="366"/>
    </row>
    <row r="194" spans="1:31" s="369" customFormat="1">
      <c r="A194" s="1090" t="s">
        <v>2</v>
      </c>
      <c r="B194" s="1088" t="s">
        <v>74</v>
      </c>
      <c r="C194" s="1074" t="s">
        <v>70</v>
      </c>
      <c r="D194" s="401" t="s">
        <v>76</v>
      </c>
      <c r="E194" s="503"/>
      <c r="F194" s="404" t="s">
        <v>73</v>
      </c>
      <c r="G194" s="87" t="s">
        <v>75</v>
      </c>
      <c r="H194" s="460" t="s">
        <v>77</v>
      </c>
      <c r="I194" s="1055" t="s">
        <v>80</v>
      </c>
      <c r="J194" s="402" t="s">
        <v>72</v>
      </c>
      <c r="K194" s="404" t="s">
        <v>78</v>
      </c>
      <c r="L194" s="460" t="s">
        <v>77</v>
      </c>
      <c r="M194" s="1055" t="s">
        <v>80</v>
      </c>
      <c r="N194" s="402" t="s">
        <v>72</v>
      </c>
      <c r="O194" s="404" t="s">
        <v>78</v>
      </c>
      <c r="P194" s="460" t="s">
        <v>77</v>
      </c>
      <c r="Q194" s="1055" t="s">
        <v>80</v>
      </c>
      <c r="R194" s="402" t="s">
        <v>72</v>
      </c>
      <c r="S194" s="404" t="s">
        <v>78</v>
      </c>
      <c r="T194" s="460" t="s">
        <v>77</v>
      </c>
      <c r="U194" s="1055" t="s">
        <v>80</v>
      </c>
      <c r="V194" s="402" t="s">
        <v>72</v>
      </c>
      <c r="W194" s="404" t="s">
        <v>78</v>
      </c>
      <c r="X194" s="460" t="s">
        <v>77</v>
      </c>
      <c r="Y194" s="1055" t="s">
        <v>80</v>
      </c>
      <c r="Z194" s="402" t="s">
        <v>72</v>
      </c>
      <c r="AA194" s="404" t="s">
        <v>78</v>
      </c>
      <c r="AB194" s="460" t="s">
        <v>77</v>
      </c>
      <c r="AC194" s="1055" t="s">
        <v>80</v>
      </c>
      <c r="AD194" s="402" t="s">
        <v>72</v>
      </c>
      <c r="AE194" s="404" t="s">
        <v>78</v>
      </c>
    </row>
    <row r="195" spans="1:31" s="369" customFormat="1" ht="18.75" customHeight="1" thickBot="1">
      <c r="A195" s="1105"/>
      <c r="B195" s="1106"/>
      <c r="C195" s="1107"/>
      <c r="D195" s="504" t="s">
        <v>52</v>
      </c>
      <c r="E195" s="505"/>
      <c r="F195" s="506" t="s">
        <v>56</v>
      </c>
      <c r="G195" s="927" t="s">
        <v>71</v>
      </c>
      <c r="H195" s="507" t="s">
        <v>52</v>
      </c>
      <c r="I195" s="1056"/>
      <c r="J195" s="508">
        <f>J148</f>
        <v>0.1</v>
      </c>
      <c r="K195" s="506" t="s">
        <v>79</v>
      </c>
      <c r="L195" s="507" t="s">
        <v>52</v>
      </c>
      <c r="M195" s="1056"/>
      <c r="N195" s="508">
        <f>N148</f>
        <v>0.1</v>
      </c>
      <c r="O195" s="506" t="s">
        <v>79</v>
      </c>
      <c r="P195" s="507" t="s">
        <v>52</v>
      </c>
      <c r="Q195" s="1056"/>
      <c r="R195" s="508">
        <f>R148</f>
        <v>0.1</v>
      </c>
      <c r="S195" s="506" t="s">
        <v>79</v>
      </c>
      <c r="T195" s="507" t="s">
        <v>52</v>
      </c>
      <c r="U195" s="1056"/>
      <c r="V195" s="508">
        <f>V148</f>
        <v>0.1</v>
      </c>
      <c r="W195" s="506" t="s">
        <v>79</v>
      </c>
      <c r="X195" s="507" t="s">
        <v>52</v>
      </c>
      <c r="Y195" s="1056"/>
      <c r="Z195" s="508">
        <f>Z148</f>
        <v>0.1</v>
      </c>
      <c r="AA195" s="506" t="s">
        <v>79</v>
      </c>
      <c r="AB195" s="507" t="s">
        <v>52</v>
      </c>
      <c r="AC195" s="1056"/>
      <c r="AD195" s="508">
        <f>AD148</f>
        <v>0.1</v>
      </c>
      <c r="AE195" s="506" t="s">
        <v>79</v>
      </c>
    </row>
    <row r="196" spans="1:31" ht="68.150000000000006" customHeight="1">
      <c r="A196" s="509">
        <v>1</v>
      </c>
      <c r="B196" s="510" t="str">
        <f>L_CViec!B58</f>
        <v xml:space="preserve"> Đất tại các phường</v>
      </c>
      <c r="C196" s="511"/>
      <c r="D196" s="512"/>
      <c r="E196" s="511"/>
      <c r="F196" s="513"/>
      <c r="G196" s="928"/>
      <c r="H196" s="514" t="s">
        <v>392</v>
      </c>
      <c r="I196" s="515"/>
      <c r="J196" s="515"/>
      <c r="K196" s="516"/>
      <c r="L196" s="514" t="s">
        <v>212</v>
      </c>
      <c r="M196" s="515"/>
      <c r="N196" s="515"/>
      <c r="O196" s="517"/>
      <c r="P196" s="514" t="s">
        <v>213</v>
      </c>
      <c r="Q196" s="515"/>
      <c r="R196" s="515"/>
      <c r="S196" s="516"/>
      <c r="T196" s="514" t="s">
        <v>214</v>
      </c>
      <c r="U196" s="515"/>
      <c r="V196" s="515"/>
      <c r="W196" s="516"/>
      <c r="X196" s="514" t="s">
        <v>215</v>
      </c>
      <c r="Y196" s="515"/>
      <c r="Z196" s="515"/>
      <c r="AA196" s="516"/>
      <c r="AB196" s="515" t="s">
        <v>216</v>
      </c>
      <c r="AC196" s="515"/>
      <c r="AD196" s="515"/>
      <c r="AE196" s="516"/>
    </row>
    <row r="197" spans="1:31">
      <c r="A197" s="430" t="s">
        <v>359</v>
      </c>
      <c r="B197" s="431" t="str">
        <f>L_CViec!B59</f>
        <v>Ngoại nghiệp</v>
      </c>
      <c r="C197" s="429"/>
      <c r="D197" s="428">
        <f>L_CViec!Q59</f>
        <v>3</v>
      </c>
      <c r="E197" s="429"/>
      <c r="F197" s="489">
        <f>L_CViec!S59</f>
        <v>983031.50000000023</v>
      </c>
      <c r="G197" s="929"/>
      <c r="H197" s="427">
        <v>1.92</v>
      </c>
      <c r="I197" s="425">
        <f>$F197*H197*$J$3</f>
        <v>2359275.6000000006</v>
      </c>
      <c r="J197" s="425">
        <f>$D197*H197*$J$4*$J$3</f>
        <v>70061.538461538454</v>
      </c>
      <c r="K197" s="463">
        <f>$D197*H197*$J$6</f>
        <v>0</v>
      </c>
      <c r="L197" s="427">
        <v>2.2799999999999998</v>
      </c>
      <c r="M197" s="425">
        <f>$F197*L197*$J$3</f>
        <v>2801639.7750000004</v>
      </c>
      <c r="N197" s="425">
        <f>$D197*L197*$J$4*$J$3</f>
        <v>83198.076923076907</v>
      </c>
      <c r="O197" s="463">
        <f>$D197*L197*$J$6</f>
        <v>0</v>
      </c>
      <c r="P197" s="427">
        <v>2.42</v>
      </c>
      <c r="Q197" s="425">
        <f>$F197*P197*$J$3</f>
        <v>2973670.2875000006</v>
      </c>
      <c r="R197" s="425">
        <f>$D197*P197*$J$4*$J$3</f>
        <v>88306.730769230766</v>
      </c>
      <c r="S197" s="463">
        <f>$D197*P197*$J$6</f>
        <v>0</v>
      </c>
      <c r="T197" s="427">
        <v>2.96</v>
      </c>
      <c r="U197" s="425">
        <f>$F197*T197*$J$3</f>
        <v>3637216.5500000007</v>
      </c>
      <c r="V197" s="425">
        <f>$D197*T197*$J$4*$J$3</f>
        <v>108011.53846153844</v>
      </c>
      <c r="W197" s="463">
        <f>$D197*T197*$J$6</f>
        <v>0</v>
      </c>
      <c r="X197" s="427">
        <v>4.0599999999999996</v>
      </c>
      <c r="Y197" s="425">
        <f>$F197*X197*$J$3</f>
        <v>4988884.8625000007</v>
      </c>
      <c r="Z197" s="425">
        <f>$D197*X197*$J$4*$J$3</f>
        <v>148150.96153846153</v>
      </c>
      <c r="AA197" s="463">
        <f>$D197*X197*$J$6</f>
        <v>0</v>
      </c>
      <c r="AB197" s="490">
        <v>6.24</v>
      </c>
      <c r="AC197" s="425">
        <f>$F197*AB197*$J$3</f>
        <v>7667645.700000002</v>
      </c>
      <c r="AD197" s="425">
        <f>$D197*AB197*$J$4*$J$3</f>
        <v>227699.99999999997</v>
      </c>
      <c r="AE197" s="463">
        <f>$D197*AB197*$J$6</f>
        <v>0</v>
      </c>
    </row>
    <row r="198" spans="1:31">
      <c r="A198" s="430" t="s">
        <v>269</v>
      </c>
      <c r="B198" s="431" t="str">
        <f>L_CViec!B60</f>
        <v>Nội nghiệp</v>
      </c>
      <c r="C198" s="429"/>
      <c r="D198" s="428">
        <f>L_CViec!Q60</f>
        <v>3</v>
      </c>
      <c r="E198" s="429"/>
      <c r="F198" s="489">
        <f>L_CViec!S60</f>
        <v>983031.50000000023</v>
      </c>
      <c r="G198" s="929"/>
      <c r="H198" s="427">
        <v>0.48</v>
      </c>
      <c r="I198" s="425">
        <f>$F198*H198</f>
        <v>471855.12000000011</v>
      </c>
      <c r="J198" s="425">
        <f>$D198*H198*$J$5</f>
        <v>14012.307692307691</v>
      </c>
      <c r="K198" s="463">
        <f>$D198*H198*$J$6</f>
        <v>0</v>
      </c>
      <c r="L198" s="427">
        <v>0.56999999999999995</v>
      </c>
      <c r="M198" s="425">
        <f>$F198*L198</f>
        <v>560327.95500000007</v>
      </c>
      <c r="N198" s="425">
        <f>$D198*L198*$J$5</f>
        <v>16639.615384615383</v>
      </c>
      <c r="O198" s="463">
        <f>$D198*L198*$J$6</f>
        <v>0</v>
      </c>
      <c r="P198" s="427">
        <v>0.6</v>
      </c>
      <c r="Q198" s="425">
        <f>$F198*P198</f>
        <v>589818.90000000014</v>
      </c>
      <c r="R198" s="425">
        <f>$D198*P198*$J$5</f>
        <v>17515.384615384613</v>
      </c>
      <c r="S198" s="463">
        <f>$D198*P198*$J$6</f>
        <v>0</v>
      </c>
      <c r="T198" s="427">
        <v>0.74</v>
      </c>
      <c r="U198" s="425">
        <f>$F198*T198</f>
        <v>727443.31000000017</v>
      </c>
      <c r="V198" s="425">
        <f>$D198*T198*$J$5</f>
        <v>21602.307692307688</v>
      </c>
      <c r="W198" s="463">
        <f>$D198*T198*$J$6</f>
        <v>0</v>
      </c>
      <c r="X198" s="427">
        <v>1.02</v>
      </c>
      <c r="Y198" s="425">
        <f>$F198*X198</f>
        <v>1002692.1300000002</v>
      </c>
      <c r="Z198" s="425">
        <f>$D198*X198*$J$5</f>
        <v>29776.153846153848</v>
      </c>
      <c r="AA198" s="463">
        <f>$D198*X198*$J$6</f>
        <v>0</v>
      </c>
      <c r="AB198" s="490">
        <v>1.56</v>
      </c>
      <c r="AC198" s="425">
        <f>$F198*AB198</f>
        <v>1533529.1400000004</v>
      </c>
      <c r="AD198" s="425">
        <f>$D198*AB198*$J$5</f>
        <v>45539.999999999993</v>
      </c>
      <c r="AE198" s="463">
        <f>$D198*AB198*$J$6</f>
        <v>0</v>
      </c>
    </row>
    <row r="199" spans="1:31">
      <c r="A199" s="432">
        <v>2</v>
      </c>
      <c r="B199" s="433" t="str">
        <f>L_CViec!B61</f>
        <v>Đất tại các xã</v>
      </c>
      <c r="C199" s="429"/>
      <c r="D199" s="417"/>
      <c r="E199" s="429"/>
      <c r="F199" s="463"/>
      <c r="G199" s="929"/>
      <c r="H199" s="518"/>
      <c r="I199" s="519"/>
      <c r="J199" s="519"/>
      <c r="K199" s="463">
        <f>D199*H199*$J$6</f>
        <v>0</v>
      </c>
      <c r="L199" s="518"/>
      <c r="M199" s="519"/>
      <c r="N199" s="519"/>
      <c r="O199" s="463">
        <f>H199*L199*$J$6</f>
        <v>0</v>
      </c>
      <c r="P199" s="518"/>
      <c r="Q199" s="519"/>
      <c r="R199" s="519"/>
      <c r="S199" s="463">
        <f>L199*P199*$J$6</f>
        <v>0</v>
      </c>
      <c r="T199" s="518"/>
      <c r="U199" s="519"/>
      <c r="V199" s="519"/>
      <c r="W199" s="463">
        <f>P199*T199*$J$6</f>
        <v>0</v>
      </c>
      <c r="X199" s="518"/>
      <c r="Y199" s="519"/>
      <c r="Z199" s="519"/>
      <c r="AA199" s="463">
        <f>T199*X199*$J$6</f>
        <v>0</v>
      </c>
      <c r="AB199" s="520"/>
      <c r="AC199" s="519"/>
      <c r="AD199" s="519"/>
      <c r="AE199" s="463">
        <f>X199*AB199*$J$6</f>
        <v>0</v>
      </c>
    </row>
    <row r="200" spans="1:31">
      <c r="A200" s="430" t="s">
        <v>268</v>
      </c>
      <c r="B200" s="431" t="str">
        <f>L_CViec!B62</f>
        <v>Ngoại nghiệp</v>
      </c>
      <c r="C200" s="429"/>
      <c r="D200" s="428">
        <f>L_CViec!Q62</f>
        <v>3</v>
      </c>
      <c r="E200" s="429"/>
      <c r="F200" s="463">
        <f>L_CViec!S62</f>
        <v>983031.50000000023</v>
      </c>
      <c r="G200" s="929"/>
      <c r="H200" s="427">
        <v>1.28</v>
      </c>
      <c r="I200" s="425">
        <f>$F200*H200*$J$3</f>
        <v>1572850.4000000004</v>
      </c>
      <c r="J200" s="425">
        <f>$D200*H200*$J$4*$J$3</f>
        <v>46707.692307692305</v>
      </c>
      <c r="K200" s="463">
        <f>$D200*H200*$J$6</f>
        <v>0</v>
      </c>
      <c r="L200" s="427">
        <v>1.52</v>
      </c>
      <c r="M200" s="425">
        <f>$F200*L200*$J$3</f>
        <v>1867759.8500000006</v>
      </c>
      <c r="N200" s="425">
        <f>$D200*L200*$J$4*$J$3</f>
        <v>55465.384615384617</v>
      </c>
      <c r="O200" s="463">
        <f>$D200*L200*$J$6</f>
        <v>0</v>
      </c>
      <c r="P200" s="427">
        <v>1.62</v>
      </c>
      <c r="Q200" s="425">
        <f>$F200*P200*$J$3</f>
        <v>1990638.7875000006</v>
      </c>
      <c r="R200" s="425">
        <f>$D200*P200*$J$4*$J$3</f>
        <v>59114.423076923078</v>
      </c>
      <c r="S200" s="463">
        <f>$D200*P200*$J$6</f>
        <v>0</v>
      </c>
      <c r="T200" s="427">
        <v>1.97</v>
      </c>
      <c r="U200" s="425">
        <f>$F200*T200*$J$3</f>
        <v>2420715.0687500006</v>
      </c>
      <c r="V200" s="425">
        <f>$D200*T200*$J$4*$J$3</f>
        <v>71886.057692307688</v>
      </c>
      <c r="W200" s="463">
        <f>$D200*T200*$J$6</f>
        <v>0</v>
      </c>
      <c r="X200" s="427">
        <v>2.7</v>
      </c>
      <c r="Y200" s="425">
        <f>$F200*X200*$J$3</f>
        <v>3317731.3125000009</v>
      </c>
      <c r="Z200" s="425">
        <f>$D200*X200*$J$4*$J$3</f>
        <v>98524.038461538468</v>
      </c>
      <c r="AA200" s="463">
        <f>$D200*X200*$J$6</f>
        <v>0</v>
      </c>
      <c r="AB200" s="490">
        <v>4.16</v>
      </c>
      <c r="AC200" s="425">
        <f>$F200*AB200*$J$3</f>
        <v>5111763.8000000007</v>
      </c>
      <c r="AD200" s="425">
        <f>$D200*AB200*$J$4*$J$3</f>
        <v>151800</v>
      </c>
      <c r="AE200" s="463">
        <f>$D200*AB200*$J$6</f>
        <v>0</v>
      </c>
    </row>
    <row r="201" spans="1:31">
      <c r="A201" s="430" t="s">
        <v>34</v>
      </c>
      <c r="B201" s="431" t="str">
        <f>L_CViec!B63</f>
        <v>Nội nghiệp</v>
      </c>
      <c r="C201" s="429"/>
      <c r="D201" s="428">
        <f>L_CViec!Q63</f>
        <v>3</v>
      </c>
      <c r="E201" s="429"/>
      <c r="F201" s="463">
        <f>L_CViec!S63</f>
        <v>983031.50000000023</v>
      </c>
      <c r="G201" s="929"/>
      <c r="H201" s="427">
        <v>0.32</v>
      </c>
      <c r="I201" s="425">
        <f>$F201*H201</f>
        <v>314570.08000000007</v>
      </c>
      <c r="J201" s="425">
        <f>$D201*H201*$J$5</f>
        <v>9341.538461538461</v>
      </c>
      <c r="K201" s="463">
        <f>$D201*H201*$J$6</f>
        <v>0</v>
      </c>
      <c r="L201" s="427">
        <v>0.38</v>
      </c>
      <c r="M201" s="425">
        <f>$F201*L201</f>
        <v>373551.97000000009</v>
      </c>
      <c r="N201" s="425">
        <f>$D201*L201*$J$5</f>
        <v>11093.076923076924</v>
      </c>
      <c r="O201" s="463">
        <f>$D201*L201*$J$6</f>
        <v>0</v>
      </c>
      <c r="P201" s="427">
        <v>0.4</v>
      </c>
      <c r="Q201" s="425">
        <f>$F201*P201</f>
        <v>393212.60000000009</v>
      </c>
      <c r="R201" s="425">
        <f>$D201*P201*$J$5</f>
        <v>11676.923076923078</v>
      </c>
      <c r="S201" s="463">
        <f>$D201*P201*$J$6</f>
        <v>0</v>
      </c>
      <c r="T201" s="427">
        <v>0.49</v>
      </c>
      <c r="U201" s="425">
        <f>$F201*T201</f>
        <v>481685.43500000011</v>
      </c>
      <c r="V201" s="425">
        <f>$D201*T201*$J$5</f>
        <v>14304.230769230768</v>
      </c>
      <c r="W201" s="463">
        <f>$D201*T201*$J$6</f>
        <v>0</v>
      </c>
      <c r="X201" s="427">
        <v>0.67</v>
      </c>
      <c r="Y201" s="425">
        <f>$F201*X201</f>
        <v>658631.10500000021</v>
      </c>
      <c r="Z201" s="425">
        <f>$D201*X201*$J$5</f>
        <v>19558.846153846156</v>
      </c>
      <c r="AA201" s="463">
        <f>$D201*X201*$J$6</f>
        <v>0</v>
      </c>
      <c r="AB201" s="490">
        <v>1.04</v>
      </c>
      <c r="AC201" s="425">
        <f>$F201*AB201</f>
        <v>1022352.7600000002</v>
      </c>
      <c r="AD201" s="425">
        <f>$D201*AB201*$J$5</f>
        <v>30360</v>
      </c>
      <c r="AE201" s="463">
        <f>$D201*AB201*$J$6</f>
        <v>0</v>
      </c>
    </row>
    <row r="202" spans="1:31">
      <c r="A202" s="521" t="s">
        <v>219</v>
      </c>
      <c r="B202" s="522"/>
      <c r="C202" s="523"/>
      <c r="D202" s="523"/>
      <c r="E202" s="523"/>
      <c r="F202" s="524"/>
      <c r="G202" s="930"/>
      <c r="H202" s="525"/>
      <c r="I202" s="526"/>
      <c r="J202" s="420"/>
      <c r="K202" s="420"/>
      <c r="L202" s="420"/>
      <c r="M202" s="522"/>
      <c r="N202" s="522"/>
      <c r="O202" s="522"/>
      <c r="P202" s="522"/>
      <c r="Q202" s="522"/>
      <c r="R202" s="522"/>
      <c r="S202" s="522"/>
      <c r="T202" s="522"/>
      <c r="U202" s="522"/>
      <c r="V202" s="522"/>
      <c r="W202" s="522"/>
      <c r="X202" s="522"/>
      <c r="Y202" s="522"/>
      <c r="Z202" s="522"/>
      <c r="AA202" s="522"/>
      <c r="AB202" s="522"/>
      <c r="AC202" s="522"/>
      <c r="AD202" s="522"/>
      <c r="AE202" s="527"/>
    </row>
    <row r="203" spans="1:31" ht="26.5" customHeight="1">
      <c r="A203" s="1103" t="s">
        <v>477</v>
      </c>
      <c r="B203" s="1104"/>
      <c r="C203" s="1104"/>
      <c r="D203" s="1104"/>
      <c r="E203" s="1104"/>
      <c r="F203" s="1104"/>
      <c r="G203" s="1104"/>
      <c r="H203" s="1104"/>
      <c r="I203" s="1104"/>
      <c r="J203" s="1104"/>
      <c r="K203" s="1104"/>
      <c r="L203" s="425"/>
      <c r="M203" s="431"/>
      <c r="N203" s="431"/>
      <c r="O203" s="431"/>
      <c r="P203" s="431"/>
      <c r="Q203" s="431"/>
      <c r="R203" s="431"/>
      <c r="S203" s="431"/>
      <c r="T203" s="431"/>
      <c r="U203" s="431"/>
      <c r="V203" s="431"/>
      <c r="W203" s="431"/>
      <c r="X203" s="431"/>
      <c r="Y203" s="431"/>
      <c r="Z203" s="431"/>
      <c r="AA203" s="431"/>
      <c r="AB203" s="431"/>
      <c r="AC203" s="431"/>
      <c r="AD203" s="431"/>
      <c r="AE203" s="500"/>
    </row>
    <row r="204" spans="1:31" ht="26.5" customHeight="1">
      <c r="A204" s="1048" t="s">
        <v>478</v>
      </c>
      <c r="B204" s="1049"/>
      <c r="C204" s="1049"/>
      <c r="D204" s="1049"/>
      <c r="E204" s="1049"/>
      <c r="F204" s="1049"/>
      <c r="G204" s="1049"/>
      <c r="H204" s="1049"/>
      <c r="I204" s="1049"/>
      <c r="J204" s="1049"/>
      <c r="K204" s="1049"/>
      <c r="L204" s="1049"/>
      <c r="M204" s="1049"/>
      <c r="N204" s="1049"/>
      <c r="O204" s="1049"/>
      <c r="P204" s="1049"/>
      <c r="Q204" s="1049"/>
      <c r="R204" s="1049"/>
      <c r="S204" s="1049"/>
      <c r="T204" s="1049"/>
      <c r="U204" s="1049"/>
      <c r="V204" s="1049"/>
      <c r="W204" s="1049"/>
      <c r="X204" s="1049"/>
      <c r="Y204" s="1049"/>
      <c r="Z204" s="1049"/>
      <c r="AA204" s="1049"/>
      <c r="AB204" s="1049"/>
      <c r="AC204" s="1049"/>
      <c r="AD204" s="1050"/>
      <c r="AE204" s="500"/>
    </row>
    <row r="205" spans="1:31" ht="26.5" customHeight="1">
      <c r="A205" s="1048" t="s">
        <v>479</v>
      </c>
      <c r="B205" s="1049"/>
      <c r="C205" s="1049"/>
      <c r="D205" s="1049"/>
      <c r="E205" s="1049"/>
      <c r="F205" s="1049"/>
      <c r="G205" s="1049"/>
      <c r="H205" s="1049"/>
      <c r="I205" s="1049"/>
      <c r="J205" s="1049"/>
      <c r="K205" s="1049"/>
      <c r="L205" s="1049"/>
      <c r="M205" s="1049"/>
      <c r="N205" s="1049"/>
      <c r="O205" s="1049"/>
      <c r="P205" s="1049"/>
      <c r="Q205" s="1049"/>
      <c r="R205" s="1049"/>
      <c r="S205" s="1049"/>
      <c r="T205" s="1049"/>
      <c r="U205" s="1049"/>
      <c r="V205" s="1049"/>
      <c r="W205" s="1049"/>
      <c r="X205" s="1049"/>
      <c r="Y205" s="1049"/>
      <c r="Z205" s="1049"/>
      <c r="AA205" s="1049"/>
      <c r="AB205" s="1049"/>
      <c r="AC205" s="1049"/>
      <c r="AD205" s="1050"/>
      <c r="AE205" s="500"/>
    </row>
    <row r="206" spans="1:31" ht="26.5" customHeight="1">
      <c r="A206" s="1048" t="s">
        <v>480</v>
      </c>
      <c r="B206" s="1049"/>
      <c r="C206" s="1049"/>
      <c r="D206" s="1049"/>
      <c r="E206" s="1049"/>
      <c r="F206" s="1049"/>
      <c r="G206" s="1049"/>
      <c r="H206" s="1049"/>
      <c r="I206" s="1049"/>
      <c r="J206" s="1049"/>
      <c r="K206" s="1049"/>
      <c r="L206" s="1049"/>
      <c r="M206" s="1049"/>
      <c r="N206" s="1049"/>
      <c r="O206" s="1049"/>
      <c r="P206" s="1049"/>
      <c r="Q206" s="1049"/>
      <c r="R206" s="1049"/>
      <c r="S206" s="1049"/>
      <c r="T206" s="1049"/>
      <c r="U206" s="1049"/>
      <c r="V206" s="1049"/>
      <c r="W206" s="1049"/>
      <c r="X206" s="1049"/>
      <c r="Y206" s="1049"/>
      <c r="Z206" s="1049"/>
      <c r="AA206" s="1049"/>
      <c r="AB206" s="1049"/>
      <c r="AC206" s="1049"/>
      <c r="AD206" s="1050"/>
      <c r="AE206" s="500"/>
    </row>
    <row r="207" spans="1:31" ht="26.5" customHeight="1">
      <c r="A207" s="1048" t="s">
        <v>481</v>
      </c>
      <c r="B207" s="1049"/>
      <c r="C207" s="1049"/>
      <c r="D207" s="1049"/>
      <c r="E207" s="1049"/>
      <c r="F207" s="1049"/>
      <c r="G207" s="1049"/>
      <c r="H207" s="1049"/>
      <c r="I207" s="1049"/>
      <c r="J207" s="1049"/>
      <c r="K207" s="1049"/>
      <c r="L207" s="1049"/>
      <c r="M207" s="1049"/>
      <c r="N207" s="1049"/>
      <c r="O207" s="1049"/>
      <c r="P207" s="1049"/>
      <c r="Q207" s="1049"/>
      <c r="R207" s="1049"/>
      <c r="S207" s="1049"/>
      <c r="T207" s="1049"/>
      <c r="U207" s="1049"/>
      <c r="V207" s="1049"/>
      <c r="W207" s="1049"/>
      <c r="X207" s="1049"/>
      <c r="Y207" s="1049"/>
      <c r="Z207" s="1049"/>
      <c r="AA207" s="1049"/>
      <c r="AB207" s="1049"/>
      <c r="AC207" s="1049"/>
      <c r="AD207" s="1050"/>
      <c r="AE207" s="500"/>
    </row>
    <row r="208" spans="1:31" ht="26.5" customHeight="1">
      <c r="A208" s="1048" t="s">
        <v>482</v>
      </c>
      <c r="B208" s="1049"/>
      <c r="C208" s="1049"/>
      <c r="D208" s="1049"/>
      <c r="E208" s="1049"/>
      <c r="F208" s="1049"/>
      <c r="G208" s="1049"/>
      <c r="H208" s="1049"/>
      <c r="I208" s="1049"/>
      <c r="J208" s="1049"/>
      <c r="K208" s="1049"/>
      <c r="L208" s="1049"/>
      <c r="M208" s="1049"/>
      <c r="N208" s="1049"/>
      <c r="O208" s="1049"/>
      <c r="P208" s="1049"/>
      <c r="Q208" s="1049"/>
      <c r="R208" s="1049"/>
      <c r="S208" s="1049"/>
      <c r="T208" s="1049"/>
      <c r="U208" s="1049"/>
      <c r="V208" s="1049"/>
      <c r="W208" s="1049"/>
      <c r="X208" s="1049"/>
      <c r="Y208" s="1049"/>
      <c r="Z208" s="1049"/>
      <c r="AA208" s="1049"/>
      <c r="AB208" s="1049"/>
      <c r="AC208" s="1049"/>
      <c r="AD208" s="1050"/>
      <c r="AE208" s="500"/>
    </row>
    <row r="209" spans="1:31" ht="26.5" customHeight="1">
      <c r="A209" s="1048" t="s">
        <v>472</v>
      </c>
      <c r="B209" s="1049"/>
      <c r="C209" s="1049"/>
      <c r="D209" s="1049"/>
      <c r="E209" s="1049"/>
      <c r="F209" s="1049"/>
      <c r="G209" s="1049"/>
      <c r="H209" s="1049"/>
      <c r="I209" s="1049"/>
      <c r="J209" s="1049"/>
      <c r="K209" s="1049"/>
      <c r="L209" s="1049"/>
      <c r="M209" s="1049"/>
      <c r="N209" s="1049"/>
      <c r="O209" s="1049"/>
      <c r="P209" s="1049"/>
      <c r="Q209" s="1049"/>
      <c r="R209" s="1049"/>
      <c r="S209" s="1049"/>
      <c r="T209" s="1049"/>
      <c r="U209" s="1049"/>
      <c r="V209" s="1049"/>
      <c r="W209" s="1049"/>
      <c r="X209" s="1049"/>
      <c r="Y209" s="1049"/>
      <c r="Z209" s="1049"/>
      <c r="AA209" s="1049"/>
      <c r="AB209" s="1049"/>
      <c r="AC209" s="1049"/>
      <c r="AD209" s="1050"/>
      <c r="AE209" s="500"/>
    </row>
    <row r="210" spans="1:31" ht="42.65" customHeight="1">
      <c r="A210" s="1048" t="s">
        <v>473</v>
      </c>
      <c r="B210" s="1049"/>
      <c r="C210" s="1049"/>
      <c r="D210" s="1049"/>
      <c r="E210" s="1049"/>
      <c r="F210" s="1049"/>
      <c r="G210" s="1049"/>
      <c r="H210" s="1049"/>
      <c r="I210" s="1049"/>
      <c r="J210" s="1049"/>
      <c r="K210" s="1049"/>
      <c r="L210" s="1049"/>
      <c r="M210" s="1049"/>
      <c r="N210" s="1049"/>
      <c r="O210" s="1049"/>
      <c r="P210" s="1049"/>
      <c r="Q210" s="1049"/>
      <c r="R210" s="1049"/>
      <c r="S210" s="1049"/>
      <c r="T210" s="1049"/>
      <c r="U210" s="1049"/>
      <c r="V210" s="1049"/>
      <c r="W210" s="1049"/>
      <c r="X210" s="1049"/>
      <c r="Y210" s="1049"/>
      <c r="Z210" s="1049"/>
      <c r="AA210" s="1049"/>
      <c r="AB210" s="1049"/>
      <c r="AC210" s="1049"/>
      <c r="AD210" s="1050"/>
      <c r="AE210" s="500"/>
    </row>
    <row r="211" spans="1:31" ht="36" customHeight="1">
      <c r="A211" s="1048" t="s">
        <v>474</v>
      </c>
      <c r="B211" s="1049"/>
      <c r="C211" s="1049"/>
      <c r="D211" s="1049"/>
      <c r="E211" s="1049"/>
      <c r="F211" s="1049"/>
      <c r="G211" s="1049"/>
      <c r="H211" s="1049"/>
      <c r="I211" s="1049"/>
      <c r="J211" s="1049"/>
      <c r="K211" s="1049"/>
      <c r="L211" s="1049"/>
      <c r="M211" s="1049"/>
      <c r="N211" s="1049"/>
      <c r="O211" s="1049"/>
      <c r="P211" s="1049"/>
      <c r="Q211" s="1049"/>
      <c r="R211" s="1049"/>
      <c r="S211" s="1049"/>
      <c r="T211" s="1049"/>
      <c r="U211" s="1049"/>
      <c r="V211" s="1049"/>
      <c r="W211" s="1049"/>
      <c r="X211" s="1049"/>
      <c r="Y211" s="1049"/>
      <c r="Z211" s="1049"/>
      <c r="AA211" s="1049"/>
      <c r="AB211" s="1049"/>
      <c r="AC211" s="1049"/>
      <c r="AD211" s="1050"/>
      <c r="AE211" s="500"/>
    </row>
    <row r="212" spans="1:31" ht="36" customHeight="1">
      <c r="A212" s="1048" t="s">
        <v>475</v>
      </c>
      <c r="B212" s="1049"/>
      <c r="C212" s="1049"/>
      <c r="D212" s="1049"/>
      <c r="E212" s="1049"/>
      <c r="F212" s="1049"/>
      <c r="G212" s="1049"/>
      <c r="H212" s="1049"/>
      <c r="I212" s="1049"/>
      <c r="J212" s="1049"/>
      <c r="K212" s="1049"/>
      <c r="L212" s="1049"/>
      <c r="M212" s="1049"/>
      <c r="N212" s="1049"/>
      <c r="O212" s="1049"/>
      <c r="P212" s="1049"/>
      <c r="Q212" s="1049"/>
      <c r="R212" s="1049"/>
      <c r="S212" s="1049"/>
      <c r="T212" s="1049"/>
      <c r="U212" s="1049"/>
      <c r="V212" s="1049"/>
      <c r="W212" s="1049"/>
      <c r="X212" s="1049"/>
      <c r="Y212" s="1049"/>
      <c r="Z212" s="1049"/>
      <c r="AA212" s="1049"/>
      <c r="AB212" s="1049"/>
      <c r="AC212" s="1049"/>
      <c r="AD212" s="1050"/>
      <c r="AE212" s="500"/>
    </row>
    <row r="213" spans="1:31" ht="36" customHeight="1" thickBot="1">
      <c r="A213" s="1051" t="s">
        <v>476</v>
      </c>
      <c r="B213" s="1052"/>
      <c r="C213" s="1052"/>
      <c r="D213" s="1052"/>
      <c r="E213" s="1052"/>
      <c r="F213" s="1052"/>
      <c r="G213" s="1052"/>
      <c r="H213" s="1052"/>
      <c r="I213" s="1052"/>
      <c r="J213" s="1052"/>
      <c r="K213" s="1052"/>
      <c r="L213" s="1052"/>
      <c r="M213" s="1052"/>
      <c r="N213" s="1052"/>
      <c r="O213" s="1052"/>
      <c r="P213" s="1052"/>
      <c r="Q213" s="1052"/>
      <c r="R213" s="1052"/>
      <c r="S213" s="1052"/>
      <c r="T213" s="1052"/>
      <c r="U213" s="1052"/>
      <c r="V213" s="1052"/>
      <c r="W213" s="1052"/>
      <c r="X213" s="1052"/>
      <c r="Y213" s="1052"/>
      <c r="Z213" s="1052"/>
      <c r="AA213" s="1052"/>
      <c r="AB213" s="1052"/>
      <c r="AC213" s="1052"/>
      <c r="AD213" s="1053"/>
      <c r="AE213" s="502"/>
    </row>
    <row r="214" spans="1:31" s="369" customFormat="1">
      <c r="A214" s="528" t="str">
        <f>L_CViec!A64</f>
        <v>VI</v>
      </c>
      <c r="B214" s="1054" t="str">
        <f>L_CViec!B64</f>
        <v>ĐO ĐẠC CHỈNH LÝ BẢN TRÍCH ĐO ĐỊA CHÍNH HOẶC CHỈNH LÝ RIÊNG TỪNG THỬA ĐẤT CỦA BẢN ĐỒ ĐỊA CHÍNH</v>
      </c>
      <c r="C214" s="1054"/>
      <c r="D214" s="1054"/>
      <c r="E214" s="1054"/>
      <c r="F214" s="1054"/>
      <c r="G214" s="1054"/>
      <c r="H214" s="1054"/>
      <c r="I214" s="1054"/>
      <c r="J214" s="1054"/>
      <c r="K214" s="1054"/>
      <c r="L214" s="531"/>
      <c r="M214" s="531"/>
      <c r="N214" s="531"/>
      <c r="O214" s="531"/>
      <c r="P214" s="531"/>
      <c r="Q214" s="531"/>
      <c r="R214" s="531"/>
      <c r="S214" s="531"/>
      <c r="T214" s="531"/>
      <c r="U214" s="531"/>
      <c r="V214" s="531"/>
      <c r="W214" s="531"/>
      <c r="X214" s="531"/>
      <c r="Y214" s="531"/>
      <c r="Z214" s="531"/>
      <c r="AA214" s="531"/>
      <c r="AB214" s="531"/>
      <c r="AC214" s="531"/>
      <c r="AD214" s="531"/>
    </row>
    <row r="215" spans="1:31" ht="27.65" customHeight="1">
      <c r="A215" s="393">
        <v>1</v>
      </c>
      <c r="B215" s="1046" t="s">
        <v>447</v>
      </c>
      <c r="C215" s="1046"/>
      <c r="D215" s="1046"/>
      <c r="E215" s="1046"/>
      <c r="F215" s="1046"/>
      <c r="G215" s="1046"/>
      <c r="H215" s="1046"/>
      <c r="I215" s="1046"/>
      <c r="J215" s="1046"/>
      <c r="K215" s="1046"/>
      <c r="L215" s="1046"/>
      <c r="M215" s="1046"/>
      <c r="N215" s="1046"/>
      <c r="O215" s="1046"/>
      <c r="P215" s="1046"/>
      <c r="Q215" s="1046"/>
      <c r="R215" s="1046"/>
      <c r="S215" s="1046"/>
      <c r="T215" s="1046"/>
      <c r="U215" s="1046"/>
      <c r="V215" s="1046"/>
      <c r="W215" s="1046"/>
      <c r="X215" s="1046"/>
      <c r="Y215" s="1046"/>
      <c r="Z215" s="1046"/>
      <c r="AA215" s="1046"/>
      <c r="AB215" s="1046"/>
      <c r="AC215" s="1046"/>
      <c r="AD215" s="1046"/>
    </row>
    <row r="216" spans="1:31" ht="27.65" customHeight="1">
      <c r="A216" s="393">
        <v>2</v>
      </c>
      <c r="B216" s="1046" t="s">
        <v>445</v>
      </c>
      <c r="C216" s="1046"/>
      <c r="D216" s="1046"/>
      <c r="E216" s="1046"/>
      <c r="F216" s="1046"/>
      <c r="G216" s="1046"/>
      <c r="H216" s="1046"/>
      <c r="I216" s="1046"/>
      <c r="J216" s="1046"/>
      <c r="K216" s="1046"/>
      <c r="L216" s="1046"/>
      <c r="M216" s="1046"/>
      <c r="N216" s="1046"/>
      <c r="O216" s="1046"/>
      <c r="P216" s="1046"/>
      <c r="Q216" s="1046"/>
      <c r="R216" s="1046"/>
      <c r="S216" s="1046"/>
      <c r="T216" s="1046"/>
      <c r="U216" s="1046"/>
      <c r="V216" s="1046"/>
      <c r="W216" s="1046"/>
      <c r="X216" s="1046"/>
      <c r="Y216" s="1046"/>
      <c r="Z216" s="1046"/>
      <c r="AA216" s="1046"/>
      <c r="AB216" s="1046"/>
      <c r="AC216" s="1046"/>
      <c r="AD216" s="1046"/>
    </row>
    <row r="217" spans="1:31">
      <c r="A217" s="393"/>
      <c r="B217" s="1046"/>
      <c r="C217" s="1046"/>
      <c r="D217" s="1046"/>
      <c r="E217" s="1046"/>
      <c r="F217" s="1046"/>
      <c r="G217" s="1046"/>
      <c r="H217" s="1046"/>
      <c r="I217" s="1046"/>
      <c r="J217" s="1046"/>
      <c r="K217" s="1046"/>
      <c r="L217" s="530"/>
      <c r="M217" s="530"/>
      <c r="N217" s="530"/>
      <c r="O217" s="530"/>
      <c r="P217" s="530"/>
      <c r="Q217" s="530"/>
      <c r="R217" s="530"/>
      <c r="S217" s="530"/>
      <c r="T217" s="530"/>
      <c r="U217" s="530"/>
      <c r="V217" s="530"/>
      <c r="W217" s="530"/>
      <c r="X217" s="530"/>
      <c r="Y217" s="530"/>
      <c r="Z217" s="530"/>
      <c r="AA217" s="530"/>
      <c r="AB217" s="530"/>
      <c r="AC217" s="530"/>
      <c r="AD217" s="530"/>
    </row>
    <row r="218" spans="1:31" s="369" customFormat="1">
      <c r="A218" s="528" t="str">
        <f>L_CViec!A65</f>
        <v>VII</v>
      </c>
      <c r="B218" s="1054" t="str">
        <f>L_CViec!B65</f>
        <v>ĐO ĐẠC TÀI SẢN GẮN LIỀN VỚI ĐẤT</v>
      </c>
      <c r="C218" s="1054"/>
      <c r="D218" s="1054"/>
      <c r="E218" s="1054"/>
      <c r="F218" s="1054"/>
      <c r="G218" s="1054"/>
      <c r="H218" s="1054"/>
      <c r="I218" s="1054"/>
      <c r="J218" s="1054"/>
      <c r="K218" s="1054"/>
      <c r="L218" s="531"/>
      <c r="M218" s="531"/>
      <c r="N218" s="531"/>
      <c r="O218" s="531"/>
      <c r="P218" s="531"/>
      <c r="Q218" s="531"/>
      <c r="R218" s="531"/>
      <c r="S218" s="531"/>
      <c r="T218" s="531"/>
      <c r="U218" s="531"/>
      <c r="V218" s="531"/>
      <c r="W218" s="531"/>
      <c r="X218" s="531"/>
      <c r="Y218" s="531"/>
      <c r="Z218" s="531"/>
      <c r="AA218" s="531"/>
      <c r="AB218" s="531"/>
      <c r="AC218" s="531"/>
      <c r="AD218" s="531"/>
    </row>
    <row r="219" spans="1:31" s="356" customFormat="1" ht="50.25" customHeight="1">
      <c r="A219" s="528" t="s">
        <v>448</v>
      </c>
      <c r="B219" s="1047" t="s">
        <v>449</v>
      </c>
      <c r="C219" s="1047"/>
      <c r="D219" s="1047"/>
      <c r="E219" s="1047"/>
      <c r="F219" s="1047"/>
      <c r="G219" s="1047"/>
      <c r="H219" s="1047"/>
      <c r="I219" s="1047"/>
      <c r="J219" s="1047"/>
      <c r="K219" s="1047"/>
      <c r="L219" s="1047"/>
      <c r="M219" s="1047"/>
      <c r="N219" s="1047"/>
      <c r="O219" s="1047"/>
      <c r="P219" s="1047"/>
      <c r="Q219" s="1047"/>
      <c r="R219" s="1047"/>
      <c r="S219" s="1047"/>
      <c r="T219" s="1047"/>
      <c r="U219" s="1047"/>
      <c r="V219" s="1047"/>
      <c r="W219" s="1047"/>
      <c r="X219" s="1047"/>
      <c r="Y219" s="1047"/>
      <c r="Z219" s="1047"/>
      <c r="AA219" s="1047"/>
      <c r="AB219" s="1047"/>
      <c r="AC219" s="1047"/>
      <c r="AD219" s="1047"/>
    </row>
    <row r="220" spans="1:31" s="356" customFormat="1" ht="33" customHeight="1">
      <c r="A220" s="528" t="s">
        <v>450</v>
      </c>
      <c r="B220" s="1047" t="s">
        <v>456</v>
      </c>
      <c r="C220" s="1047"/>
      <c r="D220" s="1047"/>
      <c r="E220" s="1047"/>
      <c r="F220" s="1047"/>
      <c r="G220" s="1047"/>
      <c r="H220" s="1047"/>
      <c r="I220" s="1047"/>
      <c r="J220" s="1047"/>
      <c r="K220" s="1047"/>
      <c r="L220" s="1047"/>
      <c r="M220" s="1047"/>
      <c r="N220" s="1047"/>
      <c r="O220" s="1047"/>
      <c r="P220" s="1047"/>
      <c r="Q220" s="1047"/>
      <c r="R220" s="1047"/>
      <c r="S220" s="1047"/>
      <c r="T220" s="1047"/>
      <c r="U220" s="1047"/>
      <c r="V220" s="1047"/>
      <c r="W220" s="1047"/>
      <c r="X220" s="1047"/>
      <c r="Y220" s="1047"/>
      <c r="Z220" s="1047"/>
      <c r="AA220" s="1047"/>
      <c r="AB220" s="1047"/>
      <c r="AC220" s="1047"/>
      <c r="AD220" s="1047"/>
    </row>
    <row r="221" spans="1:31" ht="33" customHeight="1">
      <c r="A221" s="393">
        <v>1</v>
      </c>
      <c r="B221" s="1046" t="s">
        <v>457</v>
      </c>
      <c r="C221" s="1046"/>
      <c r="D221" s="1046"/>
      <c r="E221" s="1046"/>
      <c r="F221" s="1046"/>
      <c r="G221" s="1046"/>
      <c r="H221" s="1046"/>
      <c r="I221" s="1046"/>
      <c r="J221" s="1046"/>
      <c r="K221" s="1046"/>
      <c r="L221" s="1046"/>
      <c r="M221" s="1046"/>
      <c r="N221" s="1046"/>
      <c r="O221" s="1046"/>
      <c r="P221" s="1046"/>
      <c r="Q221" s="1046"/>
      <c r="R221" s="1046"/>
      <c r="S221" s="1046"/>
      <c r="T221" s="1046"/>
      <c r="U221" s="1046"/>
      <c r="V221" s="1046"/>
      <c r="W221" s="1046"/>
      <c r="X221" s="1046"/>
      <c r="Y221" s="1046"/>
      <c r="Z221" s="1046"/>
      <c r="AA221" s="1046"/>
      <c r="AB221" s="1046"/>
      <c r="AC221" s="1046"/>
      <c r="AD221" s="1046"/>
    </row>
    <row r="222" spans="1:31">
      <c r="A222" s="393">
        <v>2</v>
      </c>
      <c r="B222" s="1046" t="s">
        <v>458</v>
      </c>
      <c r="C222" s="1046"/>
      <c r="D222" s="1046"/>
      <c r="E222" s="1046"/>
      <c r="F222" s="1046"/>
      <c r="G222" s="1046"/>
      <c r="H222" s="1046"/>
      <c r="I222" s="1046"/>
      <c r="J222" s="1046"/>
      <c r="K222" s="1046"/>
      <c r="L222" s="530"/>
      <c r="M222" s="530"/>
      <c r="N222" s="530"/>
      <c r="O222" s="530"/>
      <c r="P222" s="530"/>
      <c r="Q222" s="530"/>
      <c r="R222" s="530"/>
      <c r="S222" s="530"/>
      <c r="T222" s="530"/>
      <c r="U222" s="530"/>
      <c r="V222" s="530"/>
      <c r="W222" s="530"/>
      <c r="X222" s="530"/>
      <c r="Y222" s="530"/>
      <c r="Z222" s="530"/>
      <c r="AA222" s="530"/>
      <c r="AB222" s="530"/>
      <c r="AC222" s="530"/>
      <c r="AD222" s="530"/>
    </row>
    <row r="223" spans="1:31" s="356" customFormat="1" ht="27.75" customHeight="1">
      <c r="A223" s="528" t="s">
        <v>453</v>
      </c>
      <c r="B223" s="1047" t="s">
        <v>451</v>
      </c>
      <c r="C223" s="1047"/>
      <c r="D223" s="1047"/>
      <c r="E223" s="1047"/>
      <c r="F223" s="1047"/>
      <c r="G223" s="1047"/>
      <c r="H223" s="1047"/>
      <c r="I223" s="1047"/>
      <c r="J223" s="1047"/>
      <c r="K223" s="1047"/>
      <c r="L223" s="1047"/>
      <c r="M223" s="1047"/>
      <c r="N223" s="1047"/>
      <c r="O223" s="1047"/>
      <c r="P223" s="1047"/>
      <c r="Q223" s="1047"/>
      <c r="R223" s="1047"/>
      <c r="S223" s="1047"/>
      <c r="T223" s="1047"/>
      <c r="U223" s="1047"/>
      <c r="V223" s="1047"/>
      <c r="W223" s="1047"/>
      <c r="X223" s="1047"/>
      <c r="Y223" s="1047"/>
      <c r="Z223" s="1047"/>
      <c r="AA223" s="1047"/>
      <c r="AB223" s="1047"/>
      <c r="AC223" s="1047"/>
      <c r="AD223" s="1047"/>
    </row>
    <row r="224" spans="1:31" ht="33" customHeight="1">
      <c r="A224" s="393">
        <v>1</v>
      </c>
      <c r="B224" s="1046" t="s">
        <v>454</v>
      </c>
      <c r="C224" s="1046"/>
      <c r="D224" s="1046"/>
      <c r="E224" s="1046"/>
      <c r="F224" s="1046"/>
      <c r="G224" s="1046"/>
      <c r="H224" s="1046"/>
      <c r="I224" s="1046"/>
      <c r="J224" s="1046"/>
      <c r="K224" s="1046"/>
      <c r="L224" s="1046"/>
      <c r="M224" s="1046"/>
      <c r="N224" s="1046"/>
      <c r="O224" s="1046"/>
      <c r="P224" s="1046"/>
      <c r="Q224" s="1046"/>
      <c r="R224" s="1046"/>
      <c r="S224" s="1046"/>
      <c r="T224" s="1046"/>
      <c r="U224" s="1046"/>
      <c r="V224" s="1046"/>
      <c r="W224" s="1046"/>
      <c r="X224" s="1046"/>
      <c r="Y224" s="1046"/>
      <c r="Z224" s="1046"/>
      <c r="AA224" s="1046"/>
      <c r="AB224" s="1046"/>
      <c r="AC224" s="1046"/>
      <c r="AD224" s="1046"/>
    </row>
    <row r="225" spans="1:30" ht="54" customHeight="1">
      <c r="A225" s="393">
        <v>2</v>
      </c>
      <c r="B225" s="1046" t="s">
        <v>452</v>
      </c>
      <c r="C225" s="1046"/>
      <c r="D225" s="1046"/>
      <c r="E225" s="1046"/>
      <c r="F225" s="1046"/>
      <c r="G225" s="1046"/>
      <c r="H225" s="1046"/>
      <c r="I225" s="1046"/>
      <c r="J225" s="1046"/>
      <c r="K225" s="1046"/>
      <c r="L225" s="1046"/>
      <c r="M225" s="1046"/>
      <c r="N225" s="1046"/>
      <c r="O225" s="1046"/>
      <c r="P225" s="1046"/>
      <c r="Q225" s="1046"/>
      <c r="R225" s="1046"/>
      <c r="S225" s="1046"/>
      <c r="T225" s="1046"/>
      <c r="U225" s="1046"/>
      <c r="V225" s="1046"/>
      <c r="W225" s="1046"/>
      <c r="X225" s="1046"/>
      <c r="Y225" s="1046"/>
      <c r="Z225" s="1046"/>
      <c r="AA225" s="1046"/>
      <c r="AB225" s="1046"/>
      <c r="AC225" s="1046"/>
      <c r="AD225" s="1046"/>
    </row>
    <row r="226" spans="1:30" ht="39.65" customHeight="1">
      <c r="A226" s="393">
        <v>3</v>
      </c>
      <c r="B226" s="1046" t="s">
        <v>455</v>
      </c>
      <c r="C226" s="1046"/>
      <c r="D226" s="1046"/>
      <c r="E226" s="1046"/>
      <c r="F226" s="1046"/>
      <c r="G226" s="1046"/>
      <c r="H226" s="1046"/>
      <c r="I226" s="1046"/>
      <c r="J226" s="1046"/>
      <c r="K226" s="1046"/>
      <c r="L226" s="1046"/>
      <c r="M226" s="1046"/>
      <c r="N226" s="1046"/>
      <c r="O226" s="1046"/>
      <c r="P226" s="1046"/>
      <c r="Q226" s="1046"/>
      <c r="R226" s="1046"/>
      <c r="S226" s="1046"/>
      <c r="T226" s="1046"/>
      <c r="U226" s="1046"/>
      <c r="V226" s="1046"/>
      <c r="W226" s="1046"/>
      <c r="X226" s="1046"/>
      <c r="Y226" s="1046"/>
      <c r="Z226" s="1046"/>
      <c r="AA226" s="1046"/>
      <c r="AB226" s="1046"/>
      <c r="AC226" s="1046"/>
      <c r="AD226" s="1046"/>
    </row>
    <row r="227" spans="1:30" s="356" customFormat="1" ht="34.9" customHeight="1" thickBot="1">
      <c r="A227" s="529" t="s">
        <v>459</v>
      </c>
      <c r="B227" s="1047" t="s">
        <v>460</v>
      </c>
      <c r="C227" s="1047"/>
      <c r="D227" s="1047"/>
      <c r="E227" s="1047"/>
      <c r="F227" s="1047"/>
      <c r="G227" s="1047"/>
      <c r="H227" s="1047"/>
      <c r="I227" s="1047"/>
      <c r="J227" s="1047"/>
      <c r="K227" s="1047"/>
      <c r="L227" s="1047"/>
      <c r="M227" s="1047"/>
      <c r="N227" s="1047"/>
      <c r="O227" s="1047"/>
      <c r="P227" s="1047"/>
      <c r="Q227" s="1047"/>
      <c r="R227" s="1047"/>
      <c r="S227" s="1047"/>
      <c r="T227" s="1047"/>
      <c r="U227" s="1047"/>
      <c r="V227" s="1047"/>
      <c r="W227" s="1047"/>
      <c r="X227" s="1047"/>
      <c r="Y227" s="1047"/>
      <c r="Z227" s="1047"/>
      <c r="AA227" s="1047"/>
      <c r="AB227" s="1047"/>
      <c r="AC227" s="1047"/>
      <c r="AD227" s="1047"/>
    </row>
    <row r="228" spans="1:30">
      <c r="L228" s="359"/>
    </row>
    <row r="229" spans="1:30">
      <c r="L229" s="359"/>
    </row>
  </sheetData>
  <mergeCells count="147">
    <mergeCell ref="A127:A131"/>
    <mergeCell ref="B127:B131"/>
    <mergeCell ref="C127:C131"/>
    <mergeCell ref="L134:O134"/>
    <mergeCell ref="A137:A141"/>
    <mergeCell ref="A123:A124"/>
    <mergeCell ref="B123:B124"/>
    <mergeCell ref="C123:C124"/>
    <mergeCell ref="E123:E124"/>
    <mergeCell ref="H134:K134"/>
    <mergeCell ref="B186:AD186"/>
    <mergeCell ref="B188:AD188"/>
    <mergeCell ref="B189:AD189"/>
    <mergeCell ref="B190:AD190"/>
    <mergeCell ref="B191:AD191"/>
    <mergeCell ref="B185:K185"/>
    <mergeCell ref="B187:K187"/>
    <mergeCell ref="B184:K184"/>
    <mergeCell ref="P134:S134"/>
    <mergeCell ref="T134:W134"/>
    <mergeCell ref="B134:G134"/>
    <mergeCell ref="B137:B141"/>
    <mergeCell ref="C137:C141"/>
    <mergeCell ref="A203:K203"/>
    <mergeCell ref="E147:E148"/>
    <mergeCell ref="H149:K149"/>
    <mergeCell ref="A204:AD204"/>
    <mergeCell ref="A205:AD205"/>
    <mergeCell ref="A206:AD206"/>
    <mergeCell ref="A207:AD207"/>
    <mergeCell ref="A208:AD208"/>
    <mergeCell ref="Y194:Y195"/>
    <mergeCell ref="T149:W149"/>
    <mergeCell ref="X149:AA149"/>
    <mergeCell ref="AC194:AC195"/>
    <mergeCell ref="I194:I195"/>
    <mergeCell ref="A194:A195"/>
    <mergeCell ref="B194:B195"/>
    <mergeCell ref="C194:C195"/>
    <mergeCell ref="A147:A148"/>
    <mergeCell ref="B147:B148"/>
    <mergeCell ref="Y147:Y148"/>
    <mergeCell ref="Q147:Q148"/>
    <mergeCell ref="M194:M195"/>
    <mergeCell ref="Q194:Q195"/>
    <mergeCell ref="I147:I148"/>
    <mergeCell ref="M147:M148"/>
    <mergeCell ref="A1:J1"/>
    <mergeCell ref="B21:B30"/>
    <mergeCell ref="N54:O54"/>
    <mergeCell ref="AC147:AC148"/>
    <mergeCell ref="L149:O149"/>
    <mergeCell ref="P149:S149"/>
    <mergeCell ref="B78:B87"/>
    <mergeCell ref="B61:B62"/>
    <mergeCell ref="C78:C87"/>
    <mergeCell ref="C88:C97"/>
    <mergeCell ref="U147:U148"/>
    <mergeCell ref="B88:B97"/>
    <mergeCell ref="C98:C107"/>
    <mergeCell ref="C147:C148"/>
    <mergeCell ref="B109:B113"/>
    <mergeCell ref="E58:E59"/>
    <mergeCell ref="A41:A50"/>
    <mergeCell ref="A98:A107"/>
    <mergeCell ref="B98:B107"/>
    <mergeCell ref="B41:B50"/>
    <mergeCell ref="B9:B10"/>
    <mergeCell ref="A9:A10"/>
    <mergeCell ref="E9:E10"/>
    <mergeCell ref="C68:C77"/>
    <mergeCell ref="C3:I3"/>
    <mergeCell ref="C4:I4"/>
    <mergeCell ref="C5:I5"/>
    <mergeCell ref="C11:C20"/>
    <mergeCell ref="A11:A20"/>
    <mergeCell ref="B11:B20"/>
    <mergeCell ref="B68:B77"/>
    <mergeCell ref="A78:A87"/>
    <mergeCell ref="B58:B59"/>
    <mergeCell ref="A61:A62"/>
    <mergeCell ref="A58:A59"/>
    <mergeCell ref="A68:A77"/>
    <mergeCell ref="A56:J56"/>
    <mergeCell ref="A31:A40"/>
    <mergeCell ref="B31:B40"/>
    <mergeCell ref="A21:A30"/>
    <mergeCell ref="C21:C30"/>
    <mergeCell ref="Q123:Q124"/>
    <mergeCell ref="M123:M124"/>
    <mergeCell ref="P125:S125"/>
    <mergeCell ref="L125:O125"/>
    <mergeCell ref="H125:K125"/>
    <mergeCell ref="Q58:Q59"/>
    <mergeCell ref="I58:I59"/>
    <mergeCell ref="I123:I124"/>
    <mergeCell ref="A63:A67"/>
    <mergeCell ref="B63:B67"/>
    <mergeCell ref="L60:O60"/>
    <mergeCell ref="P60:S60"/>
    <mergeCell ref="C61:C62"/>
    <mergeCell ref="C63:C67"/>
    <mergeCell ref="A109:A113"/>
    <mergeCell ref="A120:J120"/>
    <mergeCell ref="U194:U195"/>
    <mergeCell ref="A88:A97"/>
    <mergeCell ref="AB149:AE149"/>
    <mergeCell ref="C6:I6"/>
    <mergeCell ref="C7:I7"/>
    <mergeCell ref="T60:W60"/>
    <mergeCell ref="X60:AA60"/>
    <mergeCell ref="AB60:AE60"/>
    <mergeCell ref="U123:U124"/>
    <mergeCell ref="T125:W125"/>
    <mergeCell ref="U58:U59"/>
    <mergeCell ref="H60:K60"/>
    <mergeCell ref="I9:I10"/>
    <mergeCell ref="C9:C10"/>
    <mergeCell ref="AC58:AC59"/>
    <mergeCell ref="C31:C40"/>
    <mergeCell ref="C41:C50"/>
    <mergeCell ref="Y58:Y59"/>
    <mergeCell ref="M58:M59"/>
    <mergeCell ref="C58:C59"/>
    <mergeCell ref="A52:J52"/>
    <mergeCell ref="A53:J53"/>
    <mergeCell ref="A54:J54"/>
    <mergeCell ref="A55:J55"/>
    <mergeCell ref="B221:AD221"/>
    <mergeCell ref="B223:AD223"/>
    <mergeCell ref="B224:AD224"/>
    <mergeCell ref="B225:AD225"/>
    <mergeCell ref="B226:AD226"/>
    <mergeCell ref="B227:AD227"/>
    <mergeCell ref="A209:AD209"/>
    <mergeCell ref="A210:AD210"/>
    <mergeCell ref="A211:AD211"/>
    <mergeCell ref="A212:AD212"/>
    <mergeCell ref="A213:AD213"/>
    <mergeCell ref="B215:AD215"/>
    <mergeCell ref="B216:AD216"/>
    <mergeCell ref="B219:AD219"/>
    <mergeCell ref="B220:AD220"/>
    <mergeCell ref="B218:K218"/>
    <mergeCell ref="B222:K222"/>
    <mergeCell ref="B214:K214"/>
    <mergeCell ref="B217:K217"/>
  </mergeCells>
  <phoneticPr fontId="0" type="noConversion"/>
  <printOptions horizontalCentered="1"/>
  <pageMargins left="0.43307086614173229" right="0.23622047244094491" top="0.31496062992125984" bottom="0.43307086614173229" header="0.51181102362204722" footer="0.15748031496062992"/>
  <pageSetup paperSize="9" scale="60" firstPageNumber="62" pageOrder="overThenDown" orientation="landscape" useFirstPageNumber="1" horizontalDpi="4294967295" verticalDpi="4294967295" r:id="rId1"/>
  <headerFooter alignWithMargins="0"/>
  <colBreaks count="1" manualBreakCount="1">
    <brk id="10" max="55" man="1"/>
  </colBreaks>
  <ignoredErrors>
    <ignoredError sqref="A115 G67 G174:G178 G150:I162 G163:H171 G84:G87 G88:H97 G109:G113 B127:G131 G19:G51 A109 A132 A197:A198 G68:G77 G78:G82 G98:H107 B132:G132 A133:A141 B133:G141 B142:G142 A199:A201" numberStoredAsText="1"/>
    <ignoredError sqref="I12:I47 I62 I69:I77 L62:AE67 I80:I87 L116:AE117 L147:AE147 L146:M146 P146:AE146 L149:AE171 L148:M148 O148:Q148 S148:U148 W148:Y148 AA148:AC148 AE148 L125:AE131 L124:M124 W124:AE124 S124:U124 O124:Q124 L196:AE197 L195:M195 O195:Q195 S195:U195 W195:Y195 AA195:AC195 AE195 L202:AE203 Z198:AE198 L198:Y198 I198:K198 L118:AE123 L114:AE114 L187:AE187 AE186 L192:AE194 AE188 AE189 AE190 AE191 L214:AE214 AE204 AE205 AE206 AE207 AE208 AE209 AE210 AE211 AE212 AE213 L217:AE218 AE215 AE216 L222:AE222 AE219 AE220 AE221 AE225 AE223 AE224 M115:O115 Q115:S115 Y115:AA115 U115:W115 AC115:AE115 J51 I48:I51 L68:AE77 I78:I79 L78:AE87 L88:AE97 L98:AE107 L108:AE113 L132:AE132 L133:AE141 L142:AE143 L144:AE145 L172:AE178 L179:AE182 L183:AE185 Z199:AE201 L199:Y201 I199:K201" formula="1"/>
    <ignoredError sqref="I163:I171 I88:I97 I98:I107" numberStoredAsText="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304"/>
  <sheetViews>
    <sheetView showZeros="0" topLeftCell="A211" zoomScaleNormal="100" workbookViewId="0">
      <selection activeCell="E231" sqref="E231"/>
    </sheetView>
  </sheetViews>
  <sheetFormatPr defaultColWidth="9" defaultRowHeight="13"/>
  <cols>
    <col min="1" max="1" width="6.69140625" style="573" customWidth="1"/>
    <col min="2" max="2" width="22.69140625" style="573" customWidth="1"/>
    <col min="3" max="3" width="8.69140625" style="731" customWidth="1"/>
    <col min="4" max="4" width="8.84375" style="731" customWidth="1"/>
    <col min="5" max="5" width="10.84375" style="732" customWidth="1"/>
    <col min="6" max="6" width="8.23046875" style="573" customWidth="1"/>
    <col min="7" max="9" width="8.4609375" style="573" customWidth="1"/>
    <col min="10" max="11" width="8.4609375" style="733" customWidth="1"/>
    <col min="12" max="14" width="8.4609375" style="573" customWidth="1"/>
    <col min="15" max="15" width="7.84375" style="573" bestFit="1" customWidth="1"/>
    <col min="16" max="16" width="8.23046875" style="573" customWidth="1"/>
    <col min="17" max="17" width="8.69140625" style="573" bestFit="1" customWidth="1"/>
    <col min="18" max="18" width="9.69140625" style="573" customWidth="1"/>
    <col min="19" max="16384" width="9" style="573"/>
  </cols>
  <sheetData>
    <row r="1" spans="1:15" s="571" customFormat="1" ht="18">
      <c r="A1" s="1139" t="s">
        <v>617</v>
      </c>
      <c r="B1" s="1139"/>
      <c r="C1" s="1139"/>
      <c r="D1" s="1139"/>
      <c r="E1" s="1139"/>
      <c r="F1" s="1139"/>
      <c r="G1" s="1139"/>
      <c r="H1" s="1139"/>
      <c r="I1" s="1139"/>
      <c r="J1" s="1139"/>
      <c r="K1" s="1139"/>
      <c r="L1" s="1139"/>
      <c r="M1" s="1139"/>
      <c r="N1" s="1139"/>
      <c r="O1" s="570"/>
    </row>
    <row r="3" spans="1:15" s="569" customFormat="1">
      <c r="A3" s="561" t="str">
        <f>L_CViec!A7</f>
        <v>I</v>
      </c>
      <c r="B3" s="1140" t="str">
        <f>L_CViec!B7</f>
        <v>LƯỚI ĐỊA CHÍNH:</v>
      </c>
      <c r="C3" s="1140"/>
      <c r="D3" s="1140"/>
      <c r="E3" s="1140"/>
      <c r="F3" s="1140"/>
      <c r="G3" s="1140"/>
      <c r="H3" s="1140"/>
      <c r="I3" s="1140"/>
      <c r="J3" s="1140"/>
      <c r="K3" s="1140"/>
      <c r="L3" s="1140"/>
      <c r="M3" s="1140"/>
      <c r="N3" s="1140"/>
    </row>
    <row r="4" spans="1:15" s="572" customFormat="1">
      <c r="A4" s="561">
        <v>1.1000000000000001</v>
      </c>
      <c r="B4" s="1140" t="s">
        <v>397</v>
      </c>
      <c r="C4" s="1140"/>
      <c r="D4" s="1140"/>
      <c r="E4" s="1140"/>
      <c r="F4" s="1140"/>
      <c r="G4" s="1140"/>
      <c r="H4" s="1140"/>
      <c r="I4" s="1140"/>
      <c r="J4" s="1140"/>
      <c r="K4" s="1140"/>
      <c r="L4" s="1140"/>
      <c r="M4" s="1140"/>
      <c r="N4" s="1140"/>
      <c r="O4" s="569"/>
    </row>
    <row r="5" spans="1:15" s="369" customFormat="1" ht="12.75" customHeight="1">
      <c r="A5" s="1102" t="s">
        <v>88</v>
      </c>
      <c r="B5" s="1100" t="s">
        <v>86</v>
      </c>
      <c r="C5" s="1100" t="s">
        <v>70</v>
      </c>
      <c r="D5" s="1100" t="s">
        <v>87</v>
      </c>
      <c r="E5" s="1126" t="s">
        <v>229</v>
      </c>
      <c r="F5" s="1100" t="s">
        <v>89</v>
      </c>
      <c r="G5" s="1100" t="s">
        <v>241</v>
      </c>
      <c r="H5" s="1100"/>
      <c r="I5" s="1100"/>
      <c r="J5" s="1100"/>
      <c r="K5" s="1100" t="s">
        <v>80</v>
      </c>
      <c r="L5" s="1100"/>
      <c r="M5" s="1100"/>
      <c r="N5" s="1125"/>
    </row>
    <row r="6" spans="1:15" s="369" customFormat="1" ht="54" customHeight="1">
      <c r="A6" s="1102"/>
      <c r="B6" s="1100"/>
      <c r="C6" s="1100"/>
      <c r="D6" s="1100"/>
      <c r="E6" s="1126"/>
      <c r="F6" s="1100"/>
      <c r="G6" s="374" t="str">
        <f>L_CViec!B8</f>
        <v xml:space="preserve">Chọn vị trí điểm, chôn mốc </v>
      </c>
      <c r="H6" s="374" t="str">
        <f>L_CViec!B9</f>
        <v>Xây tường vây</v>
      </c>
      <c r="I6" s="374" t="str">
        <f>L_CViec!B10</f>
        <v>Tiếp điểm</v>
      </c>
      <c r="J6" s="374" t="str">
        <f>L_CViec!B11</f>
        <v>Đo ngắm</v>
      </c>
      <c r="K6" s="374" t="str">
        <f>G6</f>
        <v xml:space="preserve">Chọn vị trí điểm, chôn mốc </v>
      </c>
      <c r="L6" s="374" t="str">
        <f>H6</f>
        <v>Xây tường vây</v>
      </c>
      <c r="M6" s="374" t="str">
        <f>I6</f>
        <v>Tiếp điểm</v>
      </c>
      <c r="N6" s="532" t="str">
        <f>J6</f>
        <v>Đo ngắm</v>
      </c>
    </row>
    <row r="7" spans="1:15">
      <c r="A7" s="533">
        <v>1</v>
      </c>
      <c r="B7" s="534" t="s">
        <v>90</v>
      </c>
      <c r="C7" s="535" t="s">
        <v>91</v>
      </c>
      <c r="D7" s="535">
        <v>18</v>
      </c>
      <c r="E7" s="562">
        <f>VLOOKUP(B7,GiaVL!$B$4:'GiaVL'!$D$185,3,0)</f>
        <v>210000</v>
      </c>
      <c r="F7" s="536">
        <f>E7/D7/26</f>
        <v>448.71794871794867</v>
      </c>
      <c r="G7" s="563">
        <v>3.35</v>
      </c>
      <c r="H7" s="563">
        <v>2.59</v>
      </c>
      <c r="I7" s="563">
        <v>0.65</v>
      </c>
      <c r="J7" s="564">
        <v>2.02</v>
      </c>
      <c r="K7" s="537">
        <f t="shared" ref="K7:K30" si="0">$F7*G7</f>
        <v>1503.2051282051282</v>
      </c>
      <c r="L7" s="537">
        <f t="shared" ref="L7:L30" si="1">$F7*H7</f>
        <v>1162.1794871794871</v>
      </c>
      <c r="M7" s="537">
        <f t="shared" ref="M7:M30" si="2">$F7*I7</f>
        <v>291.66666666666663</v>
      </c>
      <c r="N7" s="538">
        <f t="shared" ref="N7:N30" si="3">$F7*J7</f>
        <v>906.41025641025635</v>
      </c>
    </row>
    <row r="8" spans="1:15">
      <c r="A8" s="539">
        <v>2</v>
      </c>
      <c r="B8" s="540" t="s">
        <v>92</v>
      </c>
      <c r="C8" s="541" t="s">
        <v>91</v>
      </c>
      <c r="D8" s="541">
        <v>12</v>
      </c>
      <c r="E8" s="562">
        <f>VLOOKUP(B8,GiaVL!$B$4:'GiaVL'!$D$185,3,0)</f>
        <v>100000</v>
      </c>
      <c r="F8" s="542">
        <f t="shared" ref="F8:F30" si="4">E8/D8/26</f>
        <v>320.51282051282055</v>
      </c>
      <c r="G8" s="545">
        <v>3.35</v>
      </c>
      <c r="H8" s="545">
        <v>2.59</v>
      </c>
      <c r="I8" s="545">
        <v>0.65</v>
      </c>
      <c r="J8" s="565">
        <v>2.02</v>
      </c>
      <c r="K8" s="543">
        <f t="shared" si="0"/>
        <v>1073.717948717949</v>
      </c>
      <c r="L8" s="543">
        <f t="shared" si="1"/>
        <v>830.1282051282052</v>
      </c>
      <c r="M8" s="543">
        <f t="shared" si="2"/>
        <v>208.33333333333337</v>
      </c>
      <c r="N8" s="544">
        <f t="shared" si="3"/>
        <v>647.43589743589757</v>
      </c>
    </row>
    <row r="9" spans="1:15">
      <c r="A9" s="539">
        <v>3</v>
      </c>
      <c r="B9" s="540" t="s">
        <v>597</v>
      </c>
      <c r="C9" s="541" t="s">
        <v>91</v>
      </c>
      <c r="D9" s="541">
        <v>18</v>
      </c>
      <c r="E9" s="562">
        <f>VLOOKUP(B9,GiaVL!$B$4:'GiaVL'!$D$185,3,0)</f>
        <v>240000</v>
      </c>
      <c r="F9" s="542">
        <f t="shared" si="4"/>
        <v>512.82051282051282</v>
      </c>
      <c r="G9" s="545">
        <v>8.93</v>
      </c>
      <c r="H9" s="545">
        <v>6.91</v>
      </c>
      <c r="I9" s="545">
        <v>1.31</v>
      </c>
      <c r="J9" s="565">
        <v>4.04</v>
      </c>
      <c r="K9" s="543">
        <f t="shared" si="0"/>
        <v>4579.4871794871797</v>
      </c>
      <c r="L9" s="543">
        <f t="shared" si="1"/>
        <v>3543.5897435897436</v>
      </c>
      <c r="M9" s="543">
        <f t="shared" si="2"/>
        <v>671.79487179487182</v>
      </c>
      <c r="N9" s="544">
        <f t="shared" si="3"/>
        <v>2071.7948717948716</v>
      </c>
    </row>
    <row r="10" spans="1:15">
      <c r="A10" s="533">
        <v>4</v>
      </c>
      <c r="B10" s="540" t="s">
        <v>93</v>
      </c>
      <c r="C10" s="541" t="s">
        <v>94</v>
      </c>
      <c r="D10" s="541">
        <v>24</v>
      </c>
      <c r="E10" s="562">
        <f>VLOOKUP(B10,GiaVL!$B$4:'GiaVL'!$D$185,3,0)</f>
        <v>159000</v>
      </c>
      <c r="F10" s="542">
        <f t="shared" si="4"/>
        <v>254.80769230769232</v>
      </c>
      <c r="G10" s="545">
        <v>0.21</v>
      </c>
      <c r="H10" s="545">
        <v>0.65</v>
      </c>
      <c r="I10" s="545"/>
      <c r="J10" s="565"/>
      <c r="K10" s="543">
        <f t="shared" si="0"/>
        <v>53.509615384615387</v>
      </c>
      <c r="L10" s="543">
        <f t="shared" si="1"/>
        <v>165.625</v>
      </c>
      <c r="M10" s="543">
        <f t="shared" si="2"/>
        <v>0</v>
      </c>
      <c r="N10" s="544">
        <f t="shared" si="3"/>
        <v>0</v>
      </c>
    </row>
    <row r="11" spans="1:15">
      <c r="A11" s="539">
        <v>5</v>
      </c>
      <c r="B11" s="540" t="s">
        <v>393</v>
      </c>
      <c r="C11" s="541" t="s">
        <v>94</v>
      </c>
      <c r="D11" s="541">
        <v>24</v>
      </c>
      <c r="E11" s="562">
        <f>VLOOKUP(B11,GiaVL!$B$4:'GiaVL'!$D$185,3,0)</f>
        <v>50000</v>
      </c>
      <c r="F11" s="542">
        <f t="shared" si="4"/>
        <v>80.128205128205138</v>
      </c>
      <c r="G11" s="545">
        <v>7.0000000000000007E-2</v>
      </c>
      <c r="H11" s="545">
        <v>0.22</v>
      </c>
      <c r="I11" s="545"/>
      <c r="J11" s="565"/>
      <c r="K11" s="543">
        <f t="shared" si="0"/>
        <v>5.6089743589743604</v>
      </c>
      <c r="L11" s="543">
        <f t="shared" si="1"/>
        <v>17.628205128205131</v>
      </c>
      <c r="M11" s="543">
        <f t="shared" si="2"/>
        <v>0</v>
      </c>
      <c r="N11" s="544">
        <f t="shared" si="3"/>
        <v>0</v>
      </c>
    </row>
    <row r="12" spans="1:15">
      <c r="A12" s="539">
        <v>6</v>
      </c>
      <c r="B12" s="540" t="s">
        <v>95</v>
      </c>
      <c r="C12" s="541" t="s">
        <v>91</v>
      </c>
      <c r="D12" s="541">
        <v>12</v>
      </c>
      <c r="E12" s="562">
        <f>VLOOKUP(B12,GiaVL!$B$4:'GiaVL'!$D$185,3,0)</f>
        <v>12000</v>
      </c>
      <c r="F12" s="542">
        <f t="shared" si="4"/>
        <v>38.46153846153846</v>
      </c>
      <c r="G12" s="545">
        <v>0.14000000000000001</v>
      </c>
      <c r="H12" s="545"/>
      <c r="I12" s="545"/>
      <c r="J12" s="565">
        <v>0.1</v>
      </c>
      <c r="K12" s="543">
        <f t="shared" si="0"/>
        <v>5.384615384615385</v>
      </c>
      <c r="L12" s="543">
        <f t="shared" si="1"/>
        <v>0</v>
      </c>
      <c r="M12" s="543">
        <f t="shared" si="2"/>
        <v>0</v>
      </c>
      <c r="N12" s="544">
        <f t="shared" si="3"/>
        <v>3.8461538461538463</v>
      </c>
    </row>
    <row r="13" spans="1:15">
      <c r="A13" s="533">
        <v>7</v>
      </c>
      <c r="B13" s="540" t="s">
        <v>96</v>
      </c>
      <c r="C13" s="541" t="s">
        <v>91</v>
      </c>
      <c r="D13" s="541">
        <v>12</v>
      </c>
      <c r="E13" s="562">
        <f>VLOOKUP(B13,GiaVL!$B$4:'GiaVL'!$D$185,3,0)</f>
        <v>80000</v>
      </c>
      <c r="F13" s="542">
        <f t="shared" si="4"/>
        <v>256.41025641025641</v>
      </c>
      <c r="G13" s="545">
        <v>7.0000000000000007E-2</v>
      </c>
      <c r="H13" s="545">
        <v>0.22</v>
      </c>
      <c r="I13" s="545"/>
      <c r="J13" s="565">
        <v>0.1</v>
      </c>
      <c r="K13" s="543">
        <f t="shared" si="0"/>
        <v>17.948717948717949</v>
      </c>
      <c r="L13" s="543">
        <f t="shared" si="1"/>
        <v>56.410256410256409</v>
      </c>
      <c r="M13" s="543">
        <f t="shared" si="2"/>
        <v>0</v>
      </c>
      <c r="N13" s="544">
        <f t="shared" si="3"/>
        <v>25.641025641025642</v>
      </c>
    </row>
    <row r="14" spans="1:15">
      <c r="A14" s="539">
        <v>8</v>
      </c>
      <c r="B14" s="540" t="s">
        <v>97</v>
      </c>
      <c r="C14" s="541" t="s">
        <v>91</v>
      </c>
      <c r="D14" s="541">
        <v>12</v>
      </c>
      <c r="E14" s="562">
        <f>VLOOKUP(B14,GiaVL!$B$4:'GiaVL'!$D$185,3,0)</f>
        <v>60000</v>
      </c>
      <c r="F14" s="542">
        <f t="shared" si="4"/>
        <v>192.30769230769232</v>
      </c>
      <c r="G14" s="545">
        <v>0.28000000000000003</v>
      </c>
      <c r="H14" s="545">
        <v>0.22</v>
      </c>
      <c r="I14" s="545">
        <v>0.04</v>
      </c>
      <c r="J14" s="565">
        <v>0.1</v>
      </c>
      <c r="K14" s="543">
        <f t="shared" si="0"/>
        <v>53.846153846153854</v>
      </c>
      <c r="L14" s="543">
        <f t="shared" si="1"/>
        <v>42.307692307692314</v>
      </c>
      <c r="M14" s="543">
        <f t="shared" si="2"/>
        <v>7.6923076923076934</v>
      </c>
      <c r="N14" s="544">
        <f t="shared" si="3"/>
        <v>19.230769230769234</v>
      </c>
    </row>
    <row r="15" spans="1:15">
      <c r="A15" s="539">
        <v>9</v>
      </c>
      <c r="B15" s="540" t="s">
        <v>98</v>
      </c>
      <c r="C15" s="541" t="s">
        <v>99</v>
      </c>
      <c r="D15" s="541">
        <v>12</v>
      </c>
      <c r="E15" s="562">
        <f>VLOOKUP(B15,GiaVL!$B$4:'GiaVL'!$D$185,3,0)</f>
        <v>145000</v>
      </c>
      <c r="F15" s="542">
        <f t="shared" si="4"/>
        <v>464.74358974358978</v>
      </c>
      <c r="G15" s="545">
        <v>8.93</v>
      </c>
      <c r="H15" s="545">
        <v>6.91</v>
      </c>
      <c r="I15" s="545">
        <v>1.31</v>
      </c>
      <c r="J15" s="565">
        <v>4.04</v>
      </c>
      <c r="K15" s="543">
        <f t="shared" si="0"/>
        <v>4150.1602564102568</v>
      </c>
      <c r="L15" s="543">
        <f t="shared" si="1"/>
        <v>3211.3782051282055</v>
      </c>
      <c r="M15" s="543">
        <f t="shared" si="2"/>
        <v>608.81410256410265</v>
      </c>
      <c r="N15" s="544">
        <f t="shared" si="3"/>
        <v>1877.5641025641028</v>
      </c>
    </row>
    <row r="16" spans="1:15">
      <c r="A16" s="533">
        <v>10</v>
      </c>
      <c r="B16" s="540" t="s">
        <v>115</v>
      </c>
      <c r="C16" s="541" t="s">
        <v>91</v>
      </c>
      <c r="D16" s="541">
        <v>48</v>
      </c>
      <c r="E16" s="562">
        <f>VLOOKUP(B16,GiaVL!$B$4:'GiaVL'!$D$185,3,0)</f>
        <v>350000</v>
      </c>
      <c r="F16" s="542">
        <f t="shared" si="4"/>
        <v>280.44871794871796</v>
      </c>
      <c r="G16" s="545">
        <v>1.67</v>
      </c>
      <c r="H16" s="545">
        <v>1.3</v>
      </c>
      <c r="I16" s="545">
        <v>0.25</v>
      </c>
      <c r="J16" s="565">
        <v>0.6</v>
      </c>
      <c r="K16" s="543">
        <f t="shared" si="0"/>
        <v>468.34935897435895</v>
      </c>
      <c r="L16" s="543">
        <f t="shared" si="1"/>
        <v>364.58333333333337</v>
      </c>
      <c r="M16" s="543">
        <f t="shared" si="2"/>
        <v>70.112179487179489</v>
      </c>
      <c r="N16" s="544">
        <f t="shared" si="3"/>
        <v>168.26923076923077</v>
      </c>
    </row>
    <row r="17" spans="1:14">
      <c r="A17" s="539">
        <v>11</v>
      </c>
      <c r="B17" s="540" t="s">
        <v>100</v>
      </c>
      <c r="C17" s="541" t="s">
        <v>91</v>
      </c>
      <c r="D17" s="541">
        <v>48</v>
      </c>
      <c r="E17" s="562">
        <f>VLOOKUP(B17,GiaVL!$B$4:'GiaVL'!$D$185,3,0)</f>
        <v>210000</v>
      </c>
      <c r="F17" s="542">
        <f t="shared" si="4"/>
        <v>168.26923076923077</v>
      </c>
      <c r="G17" s="545"/>
      <c r="H17" s="545"/>
      <c r="I17" s="545"/>
      <c r="J17" s="565">
        <v>0.2</v>
      </c>
      <c r="K17" s="543">
        <f t="shared" si="0"/>
        <v>0</v>
      </c>
      <c r="L17" s="543">
        <f t="shared" si="1"/>
        <v>0</v>
      </c>
      <c r="M17" s="543">
        <f t="shared" si="2"/>
        <v>0</v>
      </c>
      <c r="N17" s="544">
        <f t="shared" si="3"/>
        <v>33.653846153846153</v>
      </c>
    </row>
    <row r="18" spans="1:14">
      <c r="A18" s="539">
        <v>12</v>
      </c>
      <c r="B18" s="540" t="s">
        <v>101</v>
      </c>
      <c r="C18" s="541" t="s">
        <v>91</v>
      </c>
      <c r="D18" s="541">
        <v>12</v>
      </c>
      <c r="E18" s="562">
        <f>VLOOKUP(B18,GiaVL!$B$4:'GiaVL'!$D$185,3,0)</f>
        <v>50000</v>
      </c>
      <c r="F18" s="542">
        <f t="shared" si="4"/>
        <v>160.25641025641028</v>
      </c>
      <c r="G18" s="545">
        <v>8.93</v>
      </c>
      <c r="H18" s="545">
        <v>6.91</v>
      </c>
      <c r="I18" s="545">
        <v>1.31</v>
      </c>
      <c r="J18" s="565">
        <v>4.04</v>
      </c>
      <c r="K18" s="543">
        <f t="shared" si="0"/>
        <v>1431.0897435897436</v>
      </c>
      <c r="L18" s="543">
        <f t="shared" si="1"/>
        <v>1107.3717948717951</v>
      </c>
      <c r="M18" s="543">
        <f t="shared" si="2"/>
        <v>209.93589743589746</v>
      </c>
      <c r="N18" s="544">
        <f t="shared" si="3"/>
        <v>647.43589743589757</v>
      </c>
    </row>
    <row r="19" spans="1:14">
      <c r="A19" s="533">
        <v>13</v>
      </c>
      <c r="B19" s="540" t="s">
        <v>102</v>
      </c>
      <c r="C19" s="541" t="s">
        <v>103</v>
      </c>
      <c r="D19" s="541">
        <v>9</v>
      </c>
      <c r="E19" s="562">
        <f>VLOOKUP(B19,GiaVL!$B$4:'GiaVL'!$D$185,3,0)</f>
        <v>10000</v>
      </c>
      <c r="F19" s="542">
        <f t="shared" si="4"/>
        <v>42.735042735042732</v>
      </c>
      <c r="G19" s="545">
        <v>0.28000000000000003</v>
      </c>
      <c r="H19" s="545">
        <v>0.22</v>
      </c>
      <c r="I19" s="545">
        <v>0.04</v>
      </c>
      <c r="J19" s="565">
        <v>0.1</v>
      </c>
      <c r="K19" s="543">
        <f t="shared" si="0"/>
        <v>11.965811965811966</v>
      </c>
      <c r="L19" s="543">
        <f t="shared" si="1"/>
        <v>9.4017094017094021</v>
      </c>
      <c r="M19" s="543">
        <f t="shared" si="2"/>
        <v>1.7094017094017093</v>
      </c>
      <c r="N19" s="544">
        <f t="shared" si="3"/>
        <v>4.2735042735042734</v>
      </c>
    </row>
    <row r="20" spans="1:14">
      <c r="A20" s="539">
        <v>14</v>
      </c>
      <c r="B20" s="540" t="s">
        <v>104</v>
      </c>
      <c r="C20" s="541" t="s">
        <v>91</v>
      </c>
      <c r="D20" s="541">
        <v>24</v>
      </c>
      <c r="E20" s="562">
        <f>VLOOKUP(B20,GiaVL!$B$4:'GiaVL'!$D$185,3,0)</f>
        <v>100000</v>
      </c>
      <c r="F20" s="542">
        <f t="shared" si="4"/>
        <v>160.25641025641028</v>
      </c>
      <c r="G20" s="545">
        <v>1.67</v>
      </c>
      <c r="H20" s="545"/>
      <c r="I20" s="545">
        <v>0.25</v>
      </c>
      <c r="J20" s="565">
        <v>0.6</v>
      </c>
      <c r="K20" s="543">
        <f t="shared" si="0"/>
        <v>267.62820512820514</v>
      </c>
      <c r="L20" s="543">
        <f t="shared" si="1"/>
        <v>0</v>
      </c>
      <c r="M20" s="543">
        <f t="shared" si="2"/>
        <v>40.064102564102569</v>
      </c>
      <c r="N20" s="544">
        <f t="shared" si="3"/>
        <v>96.15384615384616</v>
      </c>
    </row>
    <row r="21" spans="1:14">
      <c r="A21" s="539">
        <v>15</v>
      </c>
      <c r="B21" s="540" t="s">
        <v>105</v>
      </c>
      <c r="C21" s="541" t="s">
        <v>91</v>
      </c>
      <c r="D21" s="541">
        <v>60</v>
      </c>
      <c r="E21" s="562">
        <f>VLOOKUP(B21,GiaVL!$B$4:'GiaVL'!$D$185,3,0)</f>
        <v>1380000</v>
      </c>
      <c r="F21" s="542">
        <f t="shared" si="4"/>
        <v>884.61538461538464</v>
      </c>
      <c r="G21" s="545">
        <v>0.28000000000000003</v>
      </c>
      <c r="H21" s="545"/>
      <c r="I21" s="545">
        <v>0.04</v>
      </c>
      <c r="J21" s="565"/>
      <c r="K21" s="543">
        <f t="shared" si="0"/>
        <v>247.69230769230774</v>
      </c>
      <c r="L21" s="543">
        <f t="shared" si="1"/>
        <v>0</v>
      </c>
      <c r="M21" s="543">
        <f t="shared" si="2"/>
        <v>35.384615384615387</v>
      </c>
      <c r="N21" s="544">
        <f t="shared" si="3"/>
        <v>0</v>
      </c>
    </row>
    <row r="22" spans="1:14">
      <c r="A22" s="533">
        <v>16</v>
      </c>
      <c r="B22" s="540" t="s">
        <v>106</v>
      </c>
      <c r="C22" s="541" t="s">
        <v>94</v>
      </c>
      <c r="D22" s="541">
        <v>9</v>
      </c>
      <c r="E22" s="562">
        <f>VLOOKUP(B22,GiaVL!$B$4:'GiaVL'!$D$185,3,0)</f>
        <v>210000</v>
      </c>
      <c r="F22" s="542">
        <f t="shared" si="4"/>
        <v>897.43589743589735</v>
      </c>
      <c r="G22" s="545">
        <v>8.93</v>
      </c>
      <c r="H22" s="545">
        <v>6.91</v>
      </c>
      <c r="I22" s="545">
        <v>1.31</v>
      </c>
      <c r="J22" s="565">
        <v>4.04</v>
      </c>
      <c r="K22" s="543">
        <f t="shared" si="0"/>
        <v>8014.1025641025626</v>
      </c>
      <c r="L22" s="543">
        <f t="shared" si="1"/>
        <v>6201.2820512820508</v>
      </c>
      <c r="M22" s="543">
        <f t="shared" si="2"/>
        <v>1175.6410256410256</v>
      </c>
      <c r="N22" s="544">
        <f t="shared" si="3"/>
        <v>3625.6410256410254</v>
      </c>
    </row>
    <row r="23" spans="1:14">
      <c r="A23" s="539">
        <v>17</v>
      </c>
      <c r="B23" s="540" t="s">
        <v>108</v>
      </c>
      <c r="C23" s="541" t="s">
        <v>91</v>
      </c>
      <c r="D23" s="541">
        <v>12</v>
      </c>
      <c r="E23" s="562">
        <f>VLOOKUP(B23,GiaVL!$B$4:'GiaVL'!$D$185,3,0)</f>
        <v>18000</v>
      </c>
      <c r="F23" s="542">
        <f t="shared" si="4"/>
        <v>57.692307692307693</v>
      </c>
      <c r="G23" s="545">
        <v>0.28000000000000003</v>
      </c>
      <c r="H23" s="545">
        <v>0.22</v>
      </c>
      <c r="I23" s="545">
        <v>0.04</v>
      </c>
      <c r="J23" s="565">
        <v>0.1</v>
      </c>
      <c r="K23" s="543">
        <f t="shared" si="0"/>
        <v>16.153846153846157</v>
      </c>
      <c r="L23" s="543">
        <f t="shared" si="1"/>
        <v>12.692307692307693</v>
      </c>
      <c r="M23" s="543">
        <f t="shared" si="2"/>
        <v>2.3076923076923079</v>
      </c>
      <c r="N23" s="544">
        <f t="shared" si="3"/>
        <v>5.7692307692307701</v>
      </c>
    </row>
    <row r="24" spans="1:14">
      <c r="A24" s="539">
        <v>18</v>
      </c>
      <c r="B24" s="540" t="s">
        <v>109</v>
      </c>
      <c r="C24" s="541" t="s">
        <v>91</v>
      </c>
      <c r="D24" s="541">
        <v>12</v>
      </c>
      <c r="E24" s="562">
        <f>VLOOKUP(B24,GiaVL!$B$4:'GiaVL'!$D$185,3,0)</f>
        <v>50000</v>
      </c>
      <c r="F24" s="542">
        <f t="shared" si="4"/>
        <v>160.25641025641028</v>
      </c>
      <c r="G24" s="545">
        <v>7.0000000000000007E-2</v>
      </c>
      <c r="H24" s="545">
        <v>0.22</v>
      </c>
      <c r="I24" s="545"/>
      <c r="J24" s="565"/>
      <c r="K24" s="543">
        <f t="shared" si="0"/>
        <v>11.217948717948721</v>
      </c>
      <c r="L24" s="543">
        <f t="shared" si="1"/>
        <v>35.256410256410263</v>
      </c>
      <c r="M24" s="543">
        <f t="shared" si="2"/>
        <v>0</v>
      </c>
      <c r="N24" s="544">
        <f t="shared" si="3"/>
        <v>0</v>
      </c>
    </row>
    <row r="25" spans="1:14">
      <c r="A25" s="533">
        <v>19</v>
      </c>
      <c r="B25" s="540" t="s">
        <v>110</v>
      </c>
      <c r="C25" s="541" t="s">
        <v>91</v>
      </c>
      <c r="D25" s="541">
        <v>12</v>
      </c>
      <c r="E25" s="562">
        <f>VLOOKUP(B25,GiaVL!$B$4:'GiaVL'!$D$185,3,0)</f>
        <v>80000</v>
      </c>
      <c r="F25" s="542">
        <f t="shared" si="4"/>
        <v>256.41025641025641</v>
      </c>
      <c r="G25" s="545">
        <v>0.21</v>
      </c>
      <c r="H25" s="545">
        <v>0.22</v>
      </c>
      <c r="I25" s="545"/>
      <c r="J25" s="565"/>
      <c r="K25" s="543">
        <f t="shared" si="0"/>
        <v>53.846153846153847</v>
      </c>
      <c r="L25" s="543">
        <f t="shared" si="1"/>
        <v>56.410256410256409</v>
      </c>
      <c r="M25" s="543">
        <f t="shared" si="2"/>
        <v>0</v>
      </c>
      <c r="N25" s="544">
        <f t="shared" si="3"/>
        <v>0</v>
      </c>
    </row>
    <row r="26" spans="1:14">
      <c r="A26" s="539">
        <v>20</v>
      </c>
      <c r="B26" s="540" t="s">
        <v>111</v>
      </c>
      <c r="C26" s="541" t="s">
        <v>99</v>
      </c>
      <c r="D26" s="541">
        <v>6</v>
      </c>
      <c r="E26" s="562">
        <f>VLOOKUP(B26,GiaVL!$B$4:'GiaVL'!$D$185,3,0)</f>
        <v>15000</v>
      </c>
      <c r="F26" s="542">
        <f t="shared" si="4"/>
        <v>96.15384615384616</v>
      </c>
      <c r="G26" s="545">
        <v>8.93</v>
      </c>
      <c r="H26" s="545"/>
      <c r="I26" s="545"/>
      <c r="J26" s="565">
        <v>3.22</v>
      </c>
      <c r="K26" s="543">
        <f t="shared" si="0"/>
        <v>858.65384615384619</v>
      </c>
      <c r="L26" s="543">
        <f t="shared" si="1"/>
        <v>0</v>
      </c>
      <c r="M26" s="543">
        <f t="shared" si="2"/>
        <v>0</v>
      </c>
      <c r="N26" s="544">
        <f t="shared" si="3"/>
        <v>309.61538461538464</v>
      </c>
    </row>
    <row r="27" spans="1:14">
      <c r="A27" s="539">
        <v>21</v>
      </c>
      <c r="B27" s="540" t="s">
        <v>223</v>
      </c>
      <c r="C27" s="541" t="s">
        <v>103</v>
      </c>
      <c r="D27" s="541">
        <v>9</v>
      </c>
      <c r="E27" s="562">
        <f>VLOOKUP(B27,GiaVL!$B$4:'GiaVL'!$D$185,3,0)</f>
        <v>30000</v>
      </c>
      <c r="F27" s="542">
        <f t="shared" si="4"/>
        <v>128.2051282051282</v>
      </c>
      <c r="G27" s="545"/>
      <c r="H27" s="545"/>
      <c r="I27" s="545"/>
      <c r="J27" s="565"/>
      <c r="K27" s="543">
        <f t="shared" si="0"/>
        <v>0</v>
      </c>
      <c r="L27" s="543">
        <f t="shared" si="1"/>
        <v>0</v>
      </c>
      <c r="M27" s="543">
        <f t="shared" si="2"/>
        <v>0</v>
      </c>
      <c r="N27" s="544">
        <f t="shared" si="3"/>
        <v>0</v>
      </c>
    </row>
    <row r="28" spans="1:14">
      <c r="A28" s="533">
        <v>22</v>
      </c>
      <c r="B28" s="545" t="s">
        <v>112</v>
      </c>
      <c r="C28" s="546" t="s">
        <v>91</v>
      </c>
      <c r="D28" s="546">
        <v>24</v>
      </c>
      <c r="E28" s="562">
        <f>VLOOKUP(B28,GiaVL!$B$4:'GiaVL'!$D$185,3,0)</f>
        <v>50000</v>
      </c>
      <c r="F28" s="542">
        <f t="shared" si="4"/>
        <v>80.128205128205138</v>
      </c>
      <c r="G28" s="545"/>
      <c r="H28" s="545"/>
      <c r="I28" s="545"/>
      <c r="J28" s="565"/>
      <c r="K28" s="543">
        <f t="shared" si="0"/>
        <v>0</v>
      </c>
      <c r="L28" s="543">
        <f t="shared" si="1"/>
        <v>0</v>
      </c>
      <c r="M28" s="543">
        <f t="shared" si="2"/>
        <v>0</v>
      </c>
      <c r="N28" s="544">
        <f t="shared" si="3"/>
        <v>0</v>
      </c>
    </row>
    <row r="29" spans="1:14">
      <c r="A29" s="539">
        <v>23</v>
      </c>
      <c r="B29" s="540" t="s">
        <v>113</v>
      </c>
      <c r="C29" s="541" t="s">
        <v>91</v>
      </c>
      <c r="D29" s="541">
        <v>36</v>
      </c>
      <c r="E29" s="562">
        <f>VLOOKUP(B29,GiaVL!$B$4:'GiaVL'!$D$185,3,0)</f>
        <v>120000</v>
      </c>
      <c r="F29" s="542">
        <f t="shared" si="4"/>
        <v>128.2051282051282</v>
      </c>
      <c r="G29" s="545">
        <v>0.33</v>
      </c>
      <c r="H29" s="545"/>
      <c r="I29" s="545"/>
      <c r="J29" s="565"/>
      <c r="K29" s="543">
        <f t="shared" si="0"/>
        <v>42.307692307692307</v>
      </c>
      <c r="L29" s="543">
        <f t="shared" si="1"/>
        <v>0</v>
      </c>
      <c r="M29" s="543">
        <f t="shared" si="2"/>
        <v>0</v>
      </c>
      <c r="N29" s="544">
        <f t="shared" si="3"/>
        <v>0</v>
      </c>
    </row>
    <row r="30" spans="1:14">
      <c r="A30" s="539">
        <v>24</v>
      </c>
      <c r="B30" s="540" t="s">
        <v>114</v>
      </c>
      <c r="C30" s="541" t="s">
        <v>91</v>
      </c>
      <c r="D30" s="541">
        <v>12</v>
      </c>
      <c r="E30" s="562">
        <f>VLOOKUP(B30,GiaVL!$B$4:'GiaVL'!$D$185,3,0)</f>
        <v>15000</v>
      </c>
      <c r="F30" s="542">
        <f t="shared" si="4"/>
        <v>48.07692307692308</v>
      </c>
      <c r="G30" s="545">
        <v>1.8</v>
      </c>
      <c r="H30" s="545"/>
      <c r="I30" s="545"/>
      <c r="J30" s="565"/>
      <c r="K30" s="543">
        <f t="shared" si="0"/>
        <v>86.538461538461547</v>
      </c>
      <c r="L30" s="543">
        <f t="shared" si="1"/>
        <v>0</v>
      </c>
      <c r="M30" s="543">
        <f t="shared" si="2"/>
        <v>0</v>
      </c>
      <c r="N30" s="544">
        <f t="shared" si="3"/>
        <v>0</v>
      </c>
    </row>
    <row r="31" spans="1:14">
      <c r="A31" s="547"/>
      <c r="B31" s="548" t="s">
        <v>519</v>
      </c>
      <c r="C31" s="549"/>
      <c r="D31" s="549"/>
      <c r="E31" s="550"/>
      <c r="F31" s="548"/>
      <c r="G31" s="548"/>
      <c r="H31" s="548"/>
      <c r="I31" s="548"/>
      <c r="J31" s="551"/>
      <c r="K31" s="552">
        <f>SUM(K7:K30)</f>
        <v>22952.414529914531</v>
      </c>
      <c r="L31" s="552">
        <f>SUM(L7:L30)</f>
        <v>16816.24465811966</v>
      </c>
      <c r="M31" s="552">
        <f>SUM(M7:M30)</f>
        <v>3323.4561965811972</v>
      </c>
      <c r="N31" s="552">
        <f>SUM(N7:N30)</f>
        <v>10442.735042735041</v>
      </c>
    </row>
    <row r="32" spans="1:14" s="572" customFormat="1" ht="16.5" customHeight="1">
      <c r="A32" s="1124">
        <v>1.1000000000000001</v>
      </c>
      <c r="B32" s="1127" t="str">
        <f>B4</f>
        <v>Chọn điểm, chôn mốc; xây tường vây; tiếp điểm; đo ngắm</v>
      </c>
      <c r="C32" s="1127"/>
      <c r="D32" s="549">
        <v>1</v>
      </c>
      <c r="E32" s="550"/>
      <c r="F32" s="548"/>
      <c r="G32" s="566">
        <v>0.6</v>
      </c>
      <c r="H32" s="566">
        <v>0.65</v>
      </c>
      <c r="I32" s="566">
        <v>0.65</v>
      </c>
      <c r="J32" s="567">
        <v>0.55000000000000004</v>
      </c>
      <c r="K32" s="552">
        <f>G32*K$31</f>
        <v>13771.448717948719</v>
      </c>
      <c r="L32" s="552">
        <f>H32*L$31</f>
        <v>10930.559027777779</v>
      </c>
      <c r="M32" s="552">
        <f>I32*M$31</f>
        <v>2160.2465277777783</v>
      </c>
      <c r="N32" s="568">
        <f>J32*N$31</f>
        <v>5743.5042735042734</v>
      </c>
    </row>
    <row r="33" spans="1:15" s="572" customFormat="1" ht="15" customHeight="1">
      <c r="A33" s="1124"/>
      <c r="B33" s="1127"/>
      <c r="C33" s="1127"/>
      <c r="D33" s="549">
        <v>2</v>
      </c>
      <c r="E33" s="550"/>
      <c r="F33" s="548"/>
      <c r="G33" s="566">
        <v>0.75</v>
      </c>
      <c r="H33" s="566">
        <v>0.85</v>
      </c>
      <c r="I33" s="566">
        <v>0.85</v>
      </c>
      <c r="J33" s="567">
        <v>0.8</v>
      </c>
      <c r="K33" s="552">
        <f t="shared" ref="K33:N36" si="5">G33*K$31</f>
        <v>17214.310897435898</v>
      </c>
      <c r="L33" s="552">
        <f t="shared" si="5"/>
        <v>14293.807959401711</v>
      </c>
      <c r="M33" s="552">
        <f t="shared" si="5"/>
        <v>2824.9377670940175</v>
      </c>
      <c r="N33" s="568">
        <f t="shared" si="5"/>
        <v>8354.1880341880333</v>
      </c>
    </row>
    <row r="34" spans="1:15" s="572" customFormat="1" ht="15" customHeight="1">
      <c r="A34" s="1124"/>
      <c r="B34" s="1127"/>
      <c r="C34" s="1127"/>
      <c r="D34" s="549">
        <v>3</v>
      </c>
      <c r="E34" s="550"/>
      <c r="F34" s="548"/>
      <c r="G34" s="566">
        <v>1</v>
      </c>
      <c r="H34" s="566">
        <v>1</v>
      </c>
      <c r="I34" s="566">
        <v>1</v>
      </c>
      <c r="J34" s="567">
        <v>1</v>
      </c>
      <c r="K34" s="552">
        <f t="shared" si="5"/>
        <v>22952.414529914531</v>
      </c>
      <c r="L34" s="552">
        <f t="shared" si="5"/>
        <v>16816.24465811966</v>
      </c>
      <c r="M34" s="552">
        <f t="shared" si="5"/>
        <v>3323.4561965811972</v>
      </c>
      <c r="N34" s="568">
        <f t="shared" si="5"/>
        <v>10442.735042735041</v>
      </c>
    </row>
    <row r="35" spans="1:15" s="572" customFormat="1" ht="15" customHeight="1">
      <c r="A35" s="1124"/>
      <c r="B35" s="1127"/>
      <c r="C35" s="1127"/>
      <c r="D35" s="549">
        <v>4</v>
      </c>
      <c r="E35" s="550"/>
      <c r="F35" s="548"/>
      <c r="G35" s="566">
        <v>1.3</v>
      </c>
      <c r="H35" s="566">
        <v>1.3</v>
      </c>
      <c r="I35" s="566">
        <v>1.25</v>
      </c>
      <c r="J35" s="567">
        <v>1.35</v>
      </c>
      <c r="K35" s="552">
        <f t="shared" si="5"/>
        <v>29838.138888888891</v>
      </c>
      <c r="L35" s="552">
        <f t="shared" si="5"/>
        <v>21861.118055555558</v>
      </c>
      <c r="M35" s="552">
        <f t="shared" si="5"/>
        <v>4154.3202457264961</v>
      </c>
      <c r="N35" s="568">
        <f t="shared" si="5"/>
        <v>14097.692307692307</v>
      </c>
    </row>
    <row r="36" spans="1:15" s="572" customFormat="1" ht="15" customHeight="1">
      <c r="A36" s="1124"/>
      <c r="B36" s="1127"/>
      <c r="C36" s="1127"/>
      <c r="D36" s="549">
        <v>5</v>
      </c>
      <c r="E36" s="550"/>
      <c r="F36" s="548"/>
      <c r="G36" s="566">
        <v>1.65</v>
      </c>
      <c r="H36" s="566">
        <v>1.65</v>
      </c>
      <c r="I36" s="566">
        <v>1.65</v>
      </c>
      <c r="J36" s="567">
        <v>1.8</v>
      </c>
      <c r="K36" s="552">
        <f t="shared" si="5"/>
        <v>37871.483974358976</v>
      </c>
      <c r="L36" s="552">
        <f t="shared" si="5"/>
        <v>27746.803685897437</v>
      </c>
      <c r="M36" s="552">
        <f t="shared" si="5"/>
        <v>5483.7027243589755</v>
      </c>
      <c r="N36" s="568">
        <f t="shared" si="5"/>
        <v>18796.923076923074</v>
      </c>
    </row>
    <row r="37" spans="1:15" s="574" customFormat="1" ht="52">
      <c r="A37" s="555"/>
      <c r="B37" s="549"/>
      <c r="C37" s="549"/>
      <c r="D37" s="549"/>
      <c r="E37" s="417"/>
      <c r="F37" s="417"/>
      <c r="G37" s="556" t="s">
        <v>118</v>
      </c>
      <c r="H37" s="556" t="s">
        <v>120</v>
      </c>
      <c r="I37" s="556" t="s">
        <v>119</v>
      </c>
      <c r="J37" s="556" t="s">
        <v>121</v>
      </c>
      <c r="K37" s="556" t="s">
        <v>118</v>
      </c>
      <c r="L37" s="556" t="s">
        <v>120</v>
      </c>
      <c r="M37" s="556" t="s">
        <v>119</v>
      </c>
      <c r="N37" s="557" t="s">
        <v>121</v>
      </c>
    </row>
    <row r="38" spans="1:15" s="572" customFormat="1" ht="12.75" customHeight="1">
      <c r="A38" s="558"/>
      <c r="B38" s="559"/>
      <c r="C38" s="549"/>
      <c r="D38" s="549">
        <v>1</v>
      </c>
      <c r="E38" s="566"/>
      <c r="F38" s="566"/>
      <c r="G38" s="566">
        <v>1.2</v>
      </c>
      <c r="H38" s="566">
        <v>0.75</v>
      </c>
      <c r="I38" s="566">
        <v>0.5</v>
      </c>
      <c r="J38" s="567">
        <v>0.1</v>
      </c>
      <c r="K38" s="552">
        <f>G38*K32</f>
        <v>16525.738461538462</v>
      </c>
      <c r="L38" s="552">
        <f>H38*M32</f>
        <v>1620.1848958333337</v>
      </c>
      <c r="M38" s="552">
        <f t="shared" ref="M38:N42" si="6">I38*M32</f>
        <v>1080.1232638888891</v>
      </c>
      <c r="N38" s="568">
        <f t="shared" si="6"/>
        <v>574.35042735042737</v>
      </c>
    </row>
    <row r="39" spans="1:15" s="572" customFormat="1">
      <c r="A39" s="558"/>
      <c r="B39" s="559"/>
      <c r="C39" s="549"/>
      <c r="D39" s="549">
        <v>2</v>
      </c>
      <c r="E39" s="566"/>
      <c r="F39" s="566"/>
      <c r="G39" s="566">
        <v>1.2</v>
      </c>
      <c r="H39" s="566">
        <v>0.75</v>
      </c>
      <c r="I39" s="566">
        <v>0.5</v>
      </c>
      <c r="J39" s="567">
        <v>0.1</v>
      </c>
      <c r="K39" s="552">
        <f>G39*K33</f>
        <v>20657.173076923078</v>
      </c>
      <c r="L39" s="552">
        <f>H39*M33</f>
        <v>2118.7033253205132</v>
      </c>
      <c r="M39" s="552">
        <f t="shared" si="6"/>
        <v>1412.4688835470088</v>
      </c>
      <c r="N39" s="568">
        <f t="shared" si="6"/>
        <v>835.41880341880335</v>
      </c>
    </row>
    <row r="40" spans="1:15" s="572" customFormat="1">
      <c r="A40" s="558"/>
      <c r="B40" s="559"/>
      <c r="C40" s="549"/>
      <c r="D40" s="549">
        <v>3</v>
      </c>
      <c r="E40" s="566"/>
      <c r="F40" s="566"/>
      <c r="G40" s="566">
        <v>1.2</v>
      </c>
      <c r="H40" s="566">
        <v>0.75</v>
      </c>
      <c r="I40" s="566">
        <v>0.5</v>
      </c>
      <c r="J40" s="567">
        <v>0.1</v>
      </c>
      <c r="K40" s="552">
        <f>G40*K34</f>
        <v>27542.897435897437</v>
      </c>
      <c r="L40" s="552">
        <f>H40*M34</f>
        <v>2492.5921474358979</v>
      </c>
      <c r="M40" s="552">
        <f t="shared" si="6"/>
        <v>1661.7280982905986</v>
      </c>
      <c r="N40" s="568">
        <f t="shared" si="6"/>
        <v>1044.2735042735042</v>
      </c>
    </row>
    <row r="41" spans="1:15" s="572" customFormat="1">
      <c r="A41" s="558"/>
      <c r="B41" s="559"/>
      <c r="C41" s="549"/>
      <c r="D41" s="549">
        <v>4</v>
      </c>
      <c r="E41" s="566"/>
      <c r="F41" s="566"/>
      <c r="G41" s="566">
        <v>1.2</v>
      </c>
      <c r="H41" s="566">
        <v>0.75</v>
      </c>
      <c r="I41" s="566">
        <v>0.5</v>
      </c>
      <c r="J41" s="567">
        <v>0.1</v>
      </c>
      <c r="K41" s="552">
        <f>G41*K35</f>
        <v>35805.76666666667</v>
      </c>
      <c r="L41" s="552">
        <f>H41*M35</f>
        <v>3115.7401842948721</v>
      </c>
      <c r="M41" s="552">
        <f t="shared" si="6"/>
        <v>2077.160122863248</v>
      </c>
      <c r="N41" s="568">
        <f t="shared" si="6"/>
        <v>1409.7692307692307</v>
      </c>
    </row>
    <row r="42" spans="1:15" s="572" customFormat="1">
      <c r="A42" s="558"/>
      <c r="B42" s="559"/>
      <c r="C42" s="549"/>
      <c r="D42" s="549">
        <v>5</v>
      </c>
      <c r="E42" s="566"/>
      <c r="F42" s="566"/>
      <c r="G42" s="566">
        <v>1.2</v>
      </c>
      <c r="H42" s="566">
        <v>0.75</v>
      </c>
      <c r="I42" s="566">
        <v>0.5</v>
      </c>
      <c r="J42" s="567">
        <v>0.1</v>
      </c>
      <c r="K42" s="552">
        <f>G42*K36</f>
        <v>45445.780769230769</v>
      </c>
      <c r="L42" s="552">
        <f>H42*M36</f>
        <v>4112.7770432692314</v>
      </c>
      <c r="M42" s="552">
        <f t="shared" si="6"/>
        <v>2741.8513621794878</v>
      </c>
      <c r="N42" s="568">
        <f t="shared" si="6"/>
        <v>1879.6923076923076</v>
      </c>
    </row>
    <row r="43" spans="1:15" s="575" customFormat="1" ht="68.25" customHeight="1" thickBot="1">
      <c r="A43" s="560"/>
      <c r="B43" s="1128" t="s">
        <v>509</v>
      </c>
      <c r="C43" s="1128"/>
      <c r="D43" s="1128"/>
      <c r="E43" s="1128"/>
      <c r="F43" s="1128"/>
      <c r="G43" s="1128"/>
      <c r="H43" s="1128"/>
      <c r="I43" s="1128"/>
      <c r="J43" s="1128"/>
      <c r="K43" s="1128"/>
      <c r="L43" s="1128"/>
      <c r="M43" s="1128"/>
      <c r="N43" s="1129"/>
      <c r="O43" s="583"/>
    </row>
    <row r="44" spans="1:15" s="576" customFormat="1">
      <c r="C44" s="577"/>
      <c r="D44" s="577"/>
      <c r="E44" s="578"/>
      <c r="J44" s="579"/>
      <c r="K44" s="579"/>
      <c r="O44" s="580"/>
    </row>
    <row r="45" spans="1:15" s="577" customFormat="1">
      <c r="A45" s="581">
        <v>1.2</v>
      </c>
      <c r="B45" s="582" t="s">
        <v>522</v>
      </c>
      <c r="E45" s="578"/>
      <c r="I45" s="583"/>
      <c r="J45" s="584"/>
      <c r="K45" s="584"/>
      <c r="L45" s="583"/>
      <c r="M45" s="583"/>
      <c r="N45" s="583"/>
      <c r="O45" s="583"/>
    </row>
    <row r="46" spans="1:15" s="369" customFormat="1" ht="18.75" customHeight="1">
      <c r="A46" s="1100" t="s">
        <v>88</v>
      </c>
      <c r="B46" s="1100" t="s">
        <v>86</v>
      </c>
      <c r="C46" s="1100" t="s">
        <v>70</v>
      </c>
      <c r="D46" s="1100" t="s">
        <v>87</v>
      </c>
      <c r="E46" s="1126" t="s">
        <v>229</v>
      </c>
      <c r="F46" s="1100" t="s">
        <v>89</v>
      </c>
      <c r="G46" s="1141" t="s">
        <v>241</v>
      </c>
      <c r="H46" s="1141" t="s">
        <v>80</v>
      </c>
      <c r="I46" s="585"/>
      <c r="J46" s="585"/>
      <c r="K46" s="585"/>
      <c r="L46" s="1145"/>
      <c r="M46" s="1145"/>
      <c r="N46" s="1145"/>
      <c r="O46" s="1145"/>
    </row>
    <row r="47" spans="1:15" s="369" customFormat="1" ht="18.75" customHeight="1">
      <c r="A47" s="1100"/>
      <c r="B47" s="1100"/>
      <c r="C47" s="1100"/>
      <c r="D47" s="1100"/>
      <c r="E47" s="1126"/>
      <c r="F47" s="1100"/>
      <c r="G47" s="1141"/>
      <c r="H47" s="1141"/>
      <c r="I47" s="586"/>
      <c r="J47" s="586"/>
      <c r="K47" s="586"/>
      <c r="L47" s="586"/>
      <c r="M47" s="586"/>
      <c r="N47" s="586"/>
      <c r="O47" s="586"/>
    </row>
    <row r="48" spans="1:15" ht="18.75" customHeight="1">
      <c r="A48" s="587">
        <v>1</v>
      </c>
      <c r="B48" s="588" t="s">
        <v>90</v>
      </c>
      <c r="C48" s="587" t="s">
        <v>91</v>
      </c>
      <c r="D48" s="587">
        <v>18</v>
      </c>
      <c r="E48" s="589">
        <f>VLOOKUP(B48,GiaVL!$B$4:'GiaVL'!$D$185,3,0)</f>
        <v>210000</v>
      </c>
      <c r="F48" s="590">
        <f>E48/D48/26</f>
        <v>448.71794871794867</v>
      </c>
      <c r="G48" s="591">
        <v>0.43</v>
      </c>
      <c r="H48" s="592">
        <f>$F48*G48</f>
        <v>192.94871794871793</v>
      </c>
      <c r="I48" s="593"/>
      <c r="J48" s="594"/>
      <c r="K48" s="594"/>
      <c r="L48" s="595"/>
      <c r="M48" s="596"/>
      <c r="N48" s="596"/>
      <c r="O48" s="596"/>
    </row>
    <row r="49" spans="1:18" ht="18.75" customHeight="1">
      <c r="A49" s="587">
        <v>2</v>
      </c>
      <c r="B49" s="588" t="s">
        <v>597</v>
      </c>
      <c r="C49" s="587" t="s">
        <v>91</v>
      </c>
      <c r="D49" s="587">
        <v>18</v>
      </c>
      <c r="E49" s="589">
        <f>VLOOKUP(B49,GiaVL!$B$4:'GiaVL'!$D$185,3,0)</f>
        <v>240000</v>
      </c>
      <c r="F49" s="590">
        <f t="shared" ref="F49:F54" si="7">E49/D49/26</f>
        <v>512.82051282051282</v>
      </c>
      <c r="G49" s="591">
        <v>1.1499999999999999</v>
      </c>
      <c r="H49" s="592">
        <f>$F49*G49</f>
        <v>589.74358974358972</v>
      </c>
      <c r="I49" s="593"/>
      <c r="J49" s="594"/>
      <c r="K49" s="594"/>
      <c r="L49" s="595"/>
      <c r="M49" s="596"/>
      <c r="N49" s="596"/>
      <c r="O49" s="596"/>
    </row>
    <row r="50" spans="1:18" ht="18.75" customHeight="1">
      <c r="A50" s="587">
        <v>3</v>
      </c>
      <c r="B50" s="588" t="s">
        <v>115</v>
      </c>
      <c r="C50" s="587" t="s">
        <v>91</v>
      </c>
      <c r="D50" s="587">
        <v>48</v>
      </c>
      <c r="E50" s="589">
        <f>VLOOKUP(B50,GiaVL!$B$4:'GiaVL'!$D$185,3,0)</f>
        <v>350000</v>
      </c>
      <c r="F50" s="590">
        <f t="shared" si="7"/>
        <v>280.44871794871796</v>
      </c>
      <c r="G50" s="591">
        <v>0.43</v>
      </c>
      <c r="H50" s="592">
        <f t="shared" ref="H50:H55" si="8">$F50*G50</f>
        <v>120.59294871794872</v>
      </c>
      <c r="I50" s="593"/>
      <c r="J50" s="594"/>
      <c r="K50" s="594"/>
      <c r="L50" s="595"/>
      <c r="M50" s="596"/>
      <c r="N50" s="596"/>
      <c r="O50" s="596"/>
    </row>
    <row r="51" spans="1:18" ht="18.75" customHeight="1">
      <c r="A51" s="587">
        <v>4</v>
      </c>
      <c r="B51" s="588" t="s">
        <v>106</v>
      </c>
      <c r="C51" s="587" t="s">
        <v>94</v>
      </c>
      <c r="D51" s="587">
        <v>9</v>
      </c>
      <c r="E51" s="589">
        <f>VLOOKUP(B51,GiaVL!$B$4:'GiaVL'!$D$185,3,0)</f>
        <v>210000</v>
      </c>
      <c r="F51" s="590">
        <f t="shared" si="7"/>
        <v>897.43589743589735</v>
      </c>
      <c r="G51" s="591">
        <v>1.1499999999999999</v>
      </c>
      <c r="H51" s="592">
        <f t="shared" si="8"/>
        <v>1032.0512820512818</v>
      </c>
      <c r="I51" s="593"/>
      <c r="J51" s="594"/>
      <c r="K51" s="594"/>
      <c r="L51" s="595"/>
      <c r="M51" s="596"/>
      <c r="N51" s="596"/>
      <c r="O51" s="596"/>
    </row>
    <row r="52" spans="1:18" ht="18.75" customHeight="1">
      <c r="A52" s="587">
        <v>5</v>
      </c>
      <c r="B52" s="588" t="s">
        <v>114</v>
      </c>
      <c r="C52" s="587" t="s">
        <v>91</v>
      </c>
      <c r="D52" s="587">
        <v>12</v>
      </c>
      <c r="E52" s="589">
        <f>VLOOKUP(B52,GiaVL!$B$4:'GiaVL'!$D$185,3,0)</f>
        <v>15000</v>
      </c>
      <c r="F52" s="590">
        <f t="shared" si="7"/>
        <v>48.07692307692308</v>
      </c>
      <c r="G52" s="591">
        <v>0.43</v>
      </c>
      <c r="H52" s="592">
        <f t="shared" si="8"/>
        <v>20.673076923076923</v>
      </c>
      <c r="I52" s="593"/>
      <c r="J52" s="594"/>
      <c r="K52" s="594"/>
      <c r="L52" s="595"/>
      <c r="M52" s="596"/>
      <c r="N52" s="596"/>
      <c r="O52" s="596"/>
    </row>
    <row r="53" spans="1:18" ht="18.75" customHeight="1">
      <c r="A53" s="587">
        <v>6</v>
      </c>
      <c r="B53" s="530" t="s">
        <v>564</v>
      </c>
      <c r="C53" s="587" t="s">
        <v>91</v>
      </c>
      <c r="D53" s="587">
        <v>72</v>
      </c>
      <c r="E53" s="589">
        <f>VLOOKUP(B53,GiaVL!$B$4:'GiaVL'!$D$185,3,0)</f>
        <v>4082000</v>
      </c>
      <c r="F53" s="590">
        <f t="shared" si="7"/>
        <v>2180.5555555555557</v>
      </c>
      <c r="G53" s="591">
        <v>1E-3</v>
      </c>
      <c r="H53" s="592">
        <f t="shared" si="8"/>
        <v>2.1805555555555558</v>
      </c>
      <c r="I53" s="593"/>
      <c r="J53" s="594"/>
      <c r="K53" s="594"/>
      <c r="L53" s="595"/>
      <c r="M53" s="596"/>
      <c r="N53" s="596"/>
      <c r="O53" s="596"/>
    </row>
    <row r="54" spans="1:18" s="14" customFormat="1" ht="18.75" customHeight="1">
      <c r="A54" s="873">
        <v>7</v>
      </c>
      <c r="B54" s="874" t="s">
        <v>599</v>
      </c>
      <c r="C54" s="873" t="s">
        <v>94</v>
      </c>
      <c r="D54" s="873">
        <v>36</v>
      </c>
      <c r="E54" s="875">
        <f>VLOOKUP(B54,GiaVL!$B$4:'GiaVL'!$D$185,3,0)</f>
        <v>175000</v>
      </c>
      <c r="F54" s="876">
        <f t="shared" si="7"/>
        <v>186.96581196581198</v>
      </c>
      <c r="G54" s="877">
        <v>0.32</v>
      </c>
      <c r="H54" s="878">
        <f t="shared" si="8"/>
        <v>59.829059829059837</v>
      </c>
      <c r="I54" s="879"/>
      <c r="J54" s="880"/>
      <c r="K54" s="880"/>
      <c r="L54" s="881"/>
      <c r="M54" s="882"/>
      <c r="N54" s="882"/>
      <c r="O54" s="882"/>
    </row>
    <row r="55" spans="1:18" ht="18.75" customHeight="1">
      <c r="A55" s="587">
        <v>8</v>
      </c>
      <c r="B55" s="530" t="s">
        <v>612</v>
      </c>
      <c r="C55" s="587" t="s">
        <v>117</v>
      </c>
      <c r="D55" s="587"/>
      <c r="E55" s="589">
        <f>VLOOKUP(B55,GiaVL!$B$4:'GiaVL'!$D$185,3,0)</f>
        <v>2226</v>
      </c>
      <c r="F55" s="590">
        <f>E55</f>
        <v>2226</v>
      </c>
      <c r="G55" s="591">
        <v>0.36</v>
      </c>
      <c r="H55" s="592">
        <f t="shared" si="8"/>
        <v>801.36</v>
      </c>
      <c r="I55" s="593"/>
      <c r="J55" s="594"/>
      <c r="K55" s="594"/>
      <c r="L55" s="595"/>
      <c r="M55" s="596"/>
      <c r="N55" s="596"/>
      <c r="O55" s="596"/>
    </row>
    <row r="56" spans="1:18" ht="19.5" customHeight="1">
      <c r="A56" s="693"/>
      <c r="B56" s="304" t="s">
        <v>519</v>
      </c>
      <c r="C56" s="601"/>
      <c r="D56" s="601"/>
      <c r="E56" s="694"/>
      <c r="F56" s="693"/>
      <c r="G56" s="693"/>
      <c r="H56" s="697">
        <f>SUM(H48:H55)</f>
        <v>2819.3792307692306</v>
      </c>
      <c r="I56" s="598"/>
      <c r="J56" s="598"/>
      <c r="K56" s="598"/>
      <c r="L56" s="598"/>
      <c r="M56" s="598">
        <f>SUM(M48:M55)*1.05</f>
        <v>0</v>
      </c>
      <c r="N56" s="598">
        <f>SUM(N48:N55)*1.05</f>
        <v>0</v>
      </c>
      <c r="O56" s="598"/>
    </row>
    <row r="58" spans="1:18" s="577" customFormat="1" ht="13.5" thickBot="1">
      <c r="A58" s="581" t="str">
        <f>L_CViec!A14</f>
        <v>II</v>
      </c>
      <c r="B58" s="599" t="str">
        <f>L_CViec!B14</f>
        <v>ĐO ĐẠC THÀNH LẬP BẢN ĐỒ ĐỊA CHÍNH</v>
      </c>
      <c r="E58" s="578"/>
      <c r="J58" s="579"/>
      <c r="K58" s="579"/>
    </row>
    <row r="59" spans="1:18" s="577" customFormat="1" ht="15" customHeight="1">
      <c r="A59" s="1101" t="s">
        <v>88</v>
      </c>
      <c r="B59" s="1099" t="s">
        <v>86</v>
      </c>
      <c r="C59" s="1099" t="s">
        <v>70</v>
      </c>
      <c r="D59" s="1099" t="s">
        <v>87</v>
      </c>
      <c r="E59" s="1099" t="s">
        <v>229</v>
      </c>
      <c r="F59" s="1099" t="s">
        <v>89</v>
      </c>
      <c r="G59" s="1120" t="s">
        <v>241</v>
      </c>
      <c r="H59" s="1120"/>
      <c r="I59" s="1120"/>
      <c r="J59" s="1120"/>
      <c r="K59" s="1120"/>
      <c r="L59" s="1120"/>
      <c r="M59" s="1142" t="s">
        <v>80</v>
      </c>
      <c r="N59" s="1142"/>
      <c r="O59" s="1142"/>
      <c r="P59" s="1142"/>
      <c r="Q59" s="1142"/>
      <c r="R59" s="1143"/>
    </row>
    <row r="60" spans="1:18" s="577" customFormat="1">
      <c r="A60" s="1102"/>
      <c r="B60" s="1100"/>
      <c r="C60" s="1100"/>
      <c r="D60" s="1100"/>
      <c r="E60" s="1100"/>
      <c r="F60" s="1100"/>
      <c r="G60" s="600" t="s">
        <v>22</v>
      </c>
      <c r="H60" s="600" t="s">
        <v>23</v>
      </c>
      <c r="I60" s="600" t="s">
        <v>32</v>
      </c>
      <c r="J60" s="600" t="s">
        <v>24</v>
      </c>
      <c r="K60" s="600" t="s">
        <v>25</v>
      </c>
      <c r="L60" s="600" t="s">
        <v>401</v>
      </c>
      <c r="M60" s="601" t="s">
        <v>22</v>
      </c>
      <c r="N60" s="601" t="s">
        <v>23</v>
      </c>
      <c r="O60" s="601" t="s">
        <v>32</v>
      </c>
      <c r="P60" s="601" t="s">
        <v>24</v>
      </c>
      <c r="Q60" s="601" t="s">
        <v>25</v>
      </c>
      <c r="R60" s="602" t="s">
        <v>401</v>
      </c>
    </row>
    <row r="61" spans="1:18" s="577" customFormat="1">
      <c r="A61" s="603" t="s">
        <v>220</v>
      </c>
      <c r="B61" s="604" t="s">
        <v>63</v>
      </c>
      <c r="C61" s="605"/>
      <c r="D61" s="605"/>
      <c r="E61" s="606"/>
      <c r="F61" s="605"/>
      <c r="G61" s="607"/>
      <c r="H61" s="607"/>
      <c r="I61" s="607"/>
      <c r="J61" s="608"/>
      <c r="K61" s="608"/>
      <c r="L61" s="609"/>
      <c r="M61" s="610"/>
      <c r="N61" s="610"/>
      <c r="O61" s="610"/>
      <c r="P61" s="611"/>
      <c r="Q61" s="612"/>
      <c r="R61" s="613"/>
    </row>
    <row r="62" spans="1:18" s="577" customFormat="1">
      <c r="A62" s="555" t="s">
        <v>27</v>
      </c>
      <c r="B62" s="548" t="s">
        <v>539</v>
      </c>
      <c r="C62" s="549"/>
      <c r="D62" s="549"/>
      <c r="E62" s="550"/>
      <c r="F62" s="549"/>
      <c r="G62" s="614"/>
      <c r="H62" s="614"/>
      <c r="I62" s="614"/>
      <c r="J62" s="614"/>
      <c r="K62" s="614"/>
      <c r="L62" s="615"/>
      <c r="M62" s="616"/>
      <c r="N62" s="616"/>
      <c r="O62" s="616"/>
      <c r="P62" s="616"/>
      <c r="Q62" s="617"/>
      <c r="R62" s="618"/>
    </row>
    <row r="63" spans="1:18" ht="17.25" customHeight="1">
      <c r="A63" s="539">
        <v>1</v>
      </c>
      <c r="B63" s="540" t="s">
        <v>90</v>
      </c>
      <c r="C63" s="541" t="s">
        <v>91</v>
      </c>
      <c r="D63" s="541">
        <v>18</v>
      </c>
      <c r="E63" s="619">
        <f>VLOOKUP(B63,GiaVL!$B$4:'GiaVL'!$D$185,3,0)</f>
        <v>210000</v>
      </c>
      <c r="F63" s="542">
        <f>E63/D63/26</f>
        <v>448.71794871794867</v>
      </c>
      <c r="G63" s="620">
        <v>4.41</v>
      </c>
      <c r="H63" s="620">
        <v>6.71</v>
      </c>
      <c r="I63" s="620">
        <v>7.92</v>
      </c>
      <c r="J63" s="620">
        <v>10.6</v>
      </c>
      <c r="K63" s="620">
        <v>32.76</v>
      </c>
      <c r="L63" s="620">
        <v>59.56</v>
      </c>
      <c r="M63" s="621">
        <f t="shared" ref="M63:R63" si="9">$F63*G63</f>
        <v>1978.8461538461538</v>
      </c>
      <c r="N63" s="621">
        <f t="shared" si="9"/>
        <v>3010.8974358974356</v>
      </c>
      <c r="O63" s="621">
        <f t="shared" si="9"/>
        <v>3553.8461538461534</v>
      </c>
      <c r="P63" s="621">
        <f t="shared" si="9"/>
        <v>4756.4102564102559</v>
      </c>
      <c r="Q63" s="621">
        <f>$F63*K63</f>
        <v>14699.999999999998</v>
      </c>
      <c r="R63" s="622">
        <f t="shared" si="9"/>
        <v>26725.641025641024</v>
      </c>
    </row>
    <row r="64" spans="1:18" ht="17.25" customHeight="1">
      <c r="A64" s="539">
        <v>2</v>
      </c>
      <c r="B64" s="540" t="s">
        <v>92</v>
      </c>
      <c r="C64" s="541" t="s">
        <v>91</v>
      </c>
      <c r="D64" s="541">
        <v>18</v>
      </c>
      <c r="E64" s="619">
        <f>VLOOKUP(B64,GiaVL!$B$4:'GiaVL'!$D$185,3,0)</f>
        <v>100000</v>
      </c>
      <c r="F64" s="542">
        <f t="shared" ref="F64:F80" si="10">E64/D64/26</f>
        <v>213.67521367521368</v>
      </c>
      <c r="G64" s="620">
        <v>4.41</v>
      </c>
      <c r="H64" s="620">
        <v>6.71</v>
      </c>
      <c r="I64" s="620">
        <v>7.92</v>
      </c>
      <c r="J64" s="620">
        <v>10.6</v>
      </c>
      <c r="K64" s="620">
        <v>32.76</v>
      </c>
      <c r="L64" s="620">
        <v>59.56</v>
      </c>
      <c r="M64" s="621">
        <f t="shared" ref="M64:M79" si="11">$F64*G64</f>
        <v>942.30769230769238</v>
      </c>
      <c r="N64" s="621">
        <f t="shared" ref="N64:N79" si="12">$F64*H64</f>
        <v>1433.7606837606838</v>
      </c>
      <c r="O64" s="621">
        <f t="shared" ref="O64:O79" si="13">$F64*I64</f>
        <v>1692.3076923076924</v>
      </c>
      <c r="P64" s="621">
        <f t="shared" ref="P64:P79" si="14">$F64*J64</f>
        <v>2264.9572649572651</v>
      </c>
      <c r="Q64" s="621">
        <f t="shared" ref="Q64:Q80" si="15">$F64*K64</f>
        <v>7000</v>
      </c>
      <c r="R64" s="622">
        <f t="shared" ref="R64:R79" si="16">$F64*L64</f>
        <v>12726.495726495728</v>
      </c>
    </row>
    <row r="65" spans="1:18" ht="17.25" customHeight="1">
      <c r="A65" s="539">
        <v>3</v>
      </c>
      <c r="B65" s="540" t="s">
        <v>597</v>
      </c>
      <c r="C65" s="541" t="s">
        <v>91</v>
      </c>
      <c r="D65" s="541">
        <v>18</v>
      </c>
      <c r="E65" s="619">
        <f>VLOOKUP(B65,GiaVL!$B$4:'GiaVL'!$D$185,3,0)</f>
        <v>240000</v>
      </c>
      <c r="F65" s="542">
        <f t="shared" si="10"/>
        <v>512.82051282051282</v>
      </c>
      <c r="G65" s="620">
        <v>8.82</v>
      </c>
      <c r="H65" s="620">
        <v>13.41</v>
      </c>
      <c r="I65" s="620">
        <v>15.84</v>
      </c>
      <c r="J65" s="620">
        <v>21.21</v>
      </c>
      <c r="K65" s="620">
        <v>65.53</v>
      </c>
      <c r="L65" s="620">
        <v>119.14</v>
      </c>
      <c r="M65" s="621">
        <f t="shared" si="11"/>
        <v>4523.0769230769229</v>
      </c>
      <c r="N65" s="621">
        <f t="shared" si="12"/>
        <v>6876.9230769230771</v>
      </c>
      <c r="O65" s="621">
        <f t="shared" si="13"/>
        <v>8123.0769230769229</v>
      </c>
      <c r="P65" s="621">
        <f t="shared" si="14"/>
        <v>10876.923076923078</v>
      </c>
      <c r="Q65" s="621">
        <f t="shared" si="15"/>
        <v>33605.128205128203</v>
      </c>
      <c r="R65" s="622">
        <f t="shared" si="16"/>
        <v>61097.435897435898</v>
      </c>
    </row>
    <row r="66" spans="1:18" ht="17.25" customHeight="1">
      <c r="A66" s="539">
        <v>4</v>
      </c>
      <c r="B66" s="540" t="s">
        <v>98</v>
      </c>
      <c r="C66" s="541" t="s">
        <v>99</v>
      </c>
      <c r="D66" s="541">
        <v>12</v>
      </c>
      <c r="E66" s="619">
        <f>VLOOKUP(B66,GiaVL!$B$4:'GiaVL'!$D$185,3,0)</f>
        <v>145000</v>
      </c>
      <c r="F66" s="542">
        <f t="shared" si="10"/>
        <v>464.74358974358978</v>
      </c>
      <c r="G66" s="620">
        <v>8.82</v>
      </c>
      <c r="H66" s="620">
        <v>13.41</v>
      </c>
      <c r="I66" s="620">
        <v>15.84</v>
      </c>
      <c r="J66" s="620">
        <v>21.21</v>
      </c>
      <c r="K66" s="620">
        <v>65.53</v>
      </c>
      <c r="L66" s="620">
        <v>119.14</v>
      </c>
      <c r="M66" s="621">
        <f t="shared" si="11"/>
        <v>4099.0384615384619</v>
      </c>
      <c r="N66" s="621">
        <f t="shared" si="12"/>
        <v>6232.211538461539</v>
      </c>
      <c r="O66" s="621">
        <f t="shared" si="13"/>
        <v>7361.5384615384619</v>
      </c>
      <c r="P66" s="621">
        <f t="shared" si="14"/>
        <v>9857.211538461539</v>
      </c>
      <c r="Q66" s="621">
        <f t="shared" si="15"/>
        <v>30454.647435897437</v>
      </c>
      <c r="R66" s="622">
        <f t="shared" si="16"/>
        <v>55369.551282051289</v>
      </c>
    </row>
    <row r="67" spans="1:18" ht="17.25" customHeight="1">
      <c r="A67" s="539">
        <v>5</v>
      </c>
      <c r="B67" s="540" t="s">
        <v>101</v>
      </c>
      <c r="C67" s="541" t="s">
        <v>91</v>
      </c>
      <c r="D67" s="541">
        <v>12</v>
      </c>
      <c r="E67" s="619">
        <f>VLOOKUP(B67,GiaVL!$B$4:'GiaVL'!$D$185,3,0)</f>
        <v>50000</v>
      </c>
      <c r="F67" s="542">
        <f t="shared" si="10"/>
        <v>160.25641025641028</v>
      </c>
      <c r="G67" s="620">
        <v>8.82</v>
      </c>
      <c r="H67" s="620">
        <v>13.41</v>
      </c>
      <c r="I67" s="620">
        <v>15.84</v>
      </c>
      <c r="J67" s="620">
        <v>21.21</v>
      </c>
      <c r="K67" s="620">
        <v>65.53</v>
      </c>
      <c r="L67" s="620">
        <v>119.14</v>
      </c>
      <c r="M67" s="621">
        <f t="shared" si="11"/>
        <v>1413.4615384615388</v>
      </c>
      <c r="N67" s="621">
        <f t="shared" si="12"/>
        <v>2149.0384615384619</v>
      </c>
      <c r="O67" s="621">
        <f t="shared" si="13"/>
        <v>2538.4615384615386</v>
      </c>
      <c r="P67" s="621">
        <f t="shared" si="14"/>
        <v>3399.0384615384619</v>
      </c>
      <c r="Q67" s="621">
        <f t="shared" si="15"/>
        <v>10501.602564102566</v>
      </c>
      <c r="R67" s="622">
        <f t="shared" si="16"/>
        <v>19092.948717948719</v>
      </c>
    </row>
    <row r="68" spans="1:18" ht="17.25" customHeight="1">
      <c r="A68" s="539">
        <v>6</v>
      </c>
      <c r="B68" s="540" t="s">
        <v>106</v>
      </c>
      <c r="C68" s="541" t="s">
        <v>94</v>
      </c>
      <c r="D68" s="541">
        <v>9</v>
      </c>
      <c r="E68" s="619">
        <f>VLOOKUP(B68,GiaVL!$B$4:'GiaVL'!$D$185,3,0)</f>
        <v>210000</v>
      </c>
      <c r="F68" s="542">
        <f>E68/D68/26</f>
        <v>897.43589743589735</v>
      </c>
      <c r="G68" s="620">
        <v>8.82</v>
      </c>
      <c r="H68" s="620">
        <v>13.41</v>
      </c>
      <c r="I68" s="620">
        <v>15.84</v>
      </c>
      <c r="J68" s="620">
        <v>21.21</v>
      </c>
      <c r="K68" s="620">
        <v>65.53</v>
      </c>
      <c r="L68" s="620">
        <v>119.14</v>
      </c>
      <c r="M68" s="621">
        <f>$F68*G68</f>
        <v>7915.3846153846152</v>
      </c>
      <c r="N68" s="621">
        <f t="shared" si="12"/>
        <v>12034.615384615383</v>
      </c>
      <c r="O68" s="621">
        <f t="shared" si="13"/>
        <v>14215.384615384613</v>
      </c>
      <c r="P68" s="621">
        <f t="shared" si="14"/>
        <v>19034.615384615383</v>
      </c>
      <c r="Q68" s="621">
        <f t="shared" si="15"/>
        <v>58808.974358974352</v>
      </c>
      <c r="R68" s="622">
        <f t="shared" si="16"/>
        <v>106920.51282051281</v>
      </c>
    </row>
    <row r="69" spans="1:18" ht="17.25" customHeight="1">
      <c r="A69" s="539">
        <v>7</v>
      </c>
      <c r="B69" s="540" t="s">
        <v>222</v>
      </c>
      <c r="C69" s="541" t="s">
        <v>91</v>
      </c>
      <c r="D69" s="541">
        <v>36</v>
      </c>
      <c r="E69" s="619">
        <f>VLOOKUP(B69,GiaVL!$B$4:'GiaVL'!$D$185,3,0)</f>
        <v>83000</v>
      </c>
      <c r="F69" s="542">
        <f t="shared" si="10"/>
        <v>88.675213675213683</v>
      </c>
      <c r="G69" s="620">
        <v>0.09</v>
      </c>
      <c r="H69" s="620">
        <v>0.09</v>
      </c>
      <c r="I69" s="620">
        <v>0.27</v>
      </c>
      <c r="J69" s="620">
        <v>0.44</v>
      </c>
      <c r="K69" s="620">
        <v>2</v>
      </c>
      <c r="L69" s="620">
        <v>3.64</v>
      </c>
      <c r="M69" s="621">
        <f t="shared" si="11"/>
        <v>7.9807692307692308</v>
      </c>
      <c r="N69" s="621">
        <f t="shared" si="12"/>
        <v>7.9807692307692308</v>
      </c>
      <c r="O69" s="621">
        <f t="shared" si="13"/>
        <v>23.942307692307697</v>
      </c>
      <c r="P69" s="621">
        <f t="shared" si="14"/>
        <v>39.017094017094024</v>
      </c>
      <c r="Q69" s="621">
        <f t="shared" si="15"/>
        <v>177.35042735042737</v>
      </c>
      <c r="R69" s="622">
        <f t="shared" si="16"/>
        <v>322.77777777777783</v>
      </c>
    </row>
    <row r="70" spans="1:18" ht="17.25" customHeight="1">
      <c r="A70" s="539">
        <v>8</v>
      </c>
      <c r="B70" s="540" t="s">
        <v>95</v>
      </c>
      <c r="C70" s="541" t="s">
        <v>91</v>
      </c>
      <c r="D70" s="541">
        <v>12</v>
      </c>
      <c r="E70" s="619">
        <f>VLOOKUP(B70,GiaVL!$B$4:'GiaVL'!$D$185,3,0)</f>
        <v>12000</v>
      </c>
      <c r="F70" s="542">
        <f t="shared" si="10"/>
        <v>38.46153846153846</v>
      </c>
      <c r="G70" s="620">
        <v>0.12</v>
      </c>
      <c r="H70" s="620">
        <v>0.11</v>
      </c>
      <c r="I70" s="620">
        <v>0.68</v>
      </c>
      <c r="J70" s="620">
        <v>0.88</v>
      </c>
      <c r="K70" s="620">
        <v>1.43</v>
      </c>
      <c r="L70" s="620">
        <v>1.8</v>
      </c>
      <c r="M70" s="621">
        <f t="shared" si="11"/>
        <v>4.615384615384615</v>
      </c>
      <c r="N70" s="621">
        <f t="shared" si="12"/>
        <v>4.2307692307692308</v>
      </c>
      <c r="O70" s="621">
        <f t="shared" si="13"/>
        <v>26.153846153846153</v>
      </c>
      <c r="P70" s="621">
        <f t="shared" si="14"/>
        <v>33.846153846153847</v>
      </c>
      <c r="Q70" s="621">
        <f t="shared" si="15"/>
        <v>54.999999999999993</v>
      </c>
      <c r="R70" s="622">
        <f t="shared" si="16"/>
        <v>69.230769230769226</v>
      </c>
    </row>
    <row r="71" spans="1:18" ht="17.25" customHeight="1">
      <c r="A71" s="539">
        <v>9</v>
      </c>
      <c r="B71" s="540" t="s">
        <v>115</v>
      </c>
      <c r="C71" s="541" t="s">
        <v>91</v>
      </c>
      <c r="D71" s="541">
        <v>48</v>
      </c>
      <c r="E71" s="619">
        <f>VLOOKUP(B71,GiaVL!$B$4:'GiaVL'!$D$185,3,0)</f>
        <v>350000</v>
      </c>
      <c r="F71" s="542">
        <f t="shared" si="10"/>
        <v>280.44871794871796</v>
      </c>
      <c r="G71" s="620">
        <v>1.76</v>
      </c>
      <c r="H71" s="620">
        <v>2.68</v>
      </c>
      <c r="I71" s="620">
        <v>3.18</v>
      </c>
      <c r="J71" s="620">
        <v>4.25</v>
      </c>
      <c r="K71" s="620">
        <v>13.1</v>
      </c>
      <c r="L71" s="620">
        <v>23.82</v>
      </c>
      <c r="M71" s="621">
        <f t="shared" si="11"/>
        <v>493.58974358974359</v>
      </c>
      <c r="N71" s="621">
        <f t="shared" si="12"/>
        <v>751.6025641025642</v>
      </c>
      <c r="O71" s="621">
        <f t="shared" si="13"/>
        <v>891.82692307692309</v>
      </c>
      <c r="P71" s="621">
        <f t="shared" si="14"/>
        <v>1191.9070512820513</v>
      </c>
      <c r="Q71" s="621">
        <f t="shared" si="15"/>
        <v>3673.8782051282051</v>
      </c>
      <c r="R71" s="622">
        <f t="shared" si="16"/>
        <v>6680.2884615384619</v>
      </c>
    </row>
    <row r="72" spans="1:18" ht="17.25" customHeight="1">
      <c r="A72" s="539">
        <v>10</v>
      </c>
      <c r="B72" s="540" t="s">
        <v>104</v>
      </c>
      <c r="C72" s="541" t="s">
        <v>91</v>
      </c>
      <c r="D72" s="541">
        <v>24</v>
      </c>
      <c r="E72" s="619">
        <f>VLOOKUP(B72,GiaVL!$B$4:'GiaVL'!$D$185,3,0)</f>
        <v>100000</v>
      </c>
      <c r="F72" s="542">
        <f t="shared" si="10"/>
        <v>160.25641025641028</v>
      </c>
      <c r="G72" s="620">
        <v>1.76</v>
      </c>
      <c r="H72" s="620">
        <v>2.68</v>
      </c>
      <c r="I72" s="620">
        <v>3.18</v>
      </c>
      <c r="J72" s="620">
        <v>4.25</v>
      </c>
      <c r="K72" s="620">
        <v>13.1</v>
      </c>
      <c r="L72" s="620">
        <v>23.82</v>
      </c>
      <c r="M72" s="621">
        <f t="shared" si="11"/>
        <v>282.0512820512821</v>
      </c>
      <c r="N72" s="621">
        <f t="shared" si="12"/>
        <v>429.48717948717956</v>
      </c>
      <c r="O72" s="621">
        <f t="shared" si="13"/>
        <v>509.6153846153847</v>
      </c>
      <c r="P72" s="621">
        <f t="shared" si="14"/>
        <v>681.08974358974365</v>
      </c>
      <c r="Q72" s="621">
        <f t="shared" si="15"/>
        <v>2099.3589743589746</v>
      </c>
      <c r="R72" s="622">
        <f t="shared" si="16"/>
        <v>3817.3076923076928</v>
      </c>
    </row>
    <row r="73" spans="1:18" ht="17.25" customHeight="1">
      <c r="A73" s="539">
        <v>11</v>
      </c>
      <c r="B73" s="540" t="s">
        <v>102</v>
      </c>
      <c r="C73" s="541" t="s">
        <v>103</v>
      </c>
      <c r="D73" s="541">
        <v>9</v>
      </c>
      <c r="E73" s="619">
        <f>VLOOKUP(B73,GiaVL!$B$4:'GiaVL'!$D$185,3,0)</f>
        <v>10000</v>
      </c>
      <c r="F73" s="542">
        <f t="shared" si="10"/>
        <v>42.735042735042732</v>
      </c>
      <c r="G73" s="620">
        <v>1.76</v>
      </c>
      <c r="H73" s="620">
        <v>2.68</v>
      </c>
      <c r="I73" s="620">
        <v>3.18</v>
      </c>
      <c r="J73" s="620">
        <v>4.25</v>
      </c>
      <c r="K73" s="620">
        <v>13.1</v>
      </c>
      <c r="L73" s="620">
        <v>23.82</v>
      </c>
      <c r="M73" s="621">
        <f t="shared" si="11"/>
        <v>75.213675213675216</v>
      </c>
      <c r="N73" s="621">
        <f t="shared" si="12"/>
        <v>114.52991452991454</v>
      </c>
      <c r="O73" s="621">
        <f t="shared" si="13"/>
        <v>135.89743589743588</v>
      </c>
      <c r="P73" s="621">
        <f t="shared" si="14"/>
        <v>181.62393162393161</v>
      </c>
      <c r="Q73" s="621">
        <f t="shared" si="15"/>
        <v>559.82905982905982</v>
      </c>
      <c r="R73" s="622">
        <f t="shared" si="16"/>
        <v>1017.9487179487179</v>
      </c>
    </row>
    <row r="74" spans="1:18" ht="17.25" customHeight="1">
      <c r="A74" s="539">
        <v>12</v>
      </c>
      <c r="B74" s="540" t="s">
        <v>114</v>
      </c>
      <c r="C74" s="541" t="s">
        <v>91</v>
      </c>
      <c r="D74" s="541">
        <v>12</v>
      </c>
      <c r="E74" s="619">
        <f>VLOOKUP(B74,GiaVL!$B$4:'GiaVL'!$D$185,3,0)</f>
        <v>15000</v>
      </c>
      <c r="F74" s="542">
        <f t="shared" si="10"/>
        <v>48.07692307692308</v>
      </c>
      <c r="G74" s="620">
        <v>1.76</v>
      </c>
      <c r="H74" s="620">
        <v>2.68</v>
      </c>
      <c r="I74" s="620">
        <v>3.18</v>
      </c>
      <c r="J74" s="620">
        <v>4.25</v>
      </c>
      <c r="K74" s="620">
        <v>13.1</v>
      </c>
      <c r="L74" s="620">
        <v>23.82</v>
      </c>
      <c r="M74" s="621">
        <f t="shared" si="11"/>
        <v>84.615384615384627</v>
      </c>
      <c r="N74" s="621">
        <f t="shared" si="12"/>
        <v>128.84615384615387</v>
      </c>
      <c r="O74" s="621">
        <f t="shared" si="13"/>
        <v>152.88461538461542</v>
      </c>
      <c r="P74" s="621">
        <f t="shared" si="14"/>
        <v>204.32692307692309</v>
      </c>
      <c r="Q74" s="621">
        <f t="shared" si="15"/>
        <v>629.80769230769238</v>
      </c>
      <c r="R74" s="622">
        <f t="shared" si="16"/>
        <v>1145.1923076923078</v>
      </c>
    </row>
    <row r="75" spans="1:18" ht="17.25" customHeight="1">
      <c r="A75" s="539">
        <v>13</v>
      </c>
      <c r="B75" s="540" t="s">
        <v>113</v>
      </c>
      <c r="C75" s="541" t="s">
        <v>91</v>
      </c>
      <c r="D75" s="541">
        <v>4</v>
      </c>
      <c r="E75" s="619">
        <f>VLOOKUP(B75,GiaVL!$B$4:'GiaVL'!$D$185,3,0)</f>
        <v>120000</v>
      </c>
      <c r="F75" s="542">
        <f t="shared" si="10"/>
        <v>1153.8461538461538</v>
      </c>
      <c r="G75" s="620">
        <v>0.05</v>
      </c>
      <c r="H75" s="620">
        <v>0.05</v>
      </c>
      <c r="I75" s="620">
        <v>0.34</v>
      </c>
      <c r="J75" s="620">
        <v>0.44</v>
      </c>
      <c r="K75" s="620">
        <v>0.72</v>
      </c>
      <c r="L75" s="620">
        <v>0.95</v>
      </c>
      <c r="M75" s="621">
        <f t="shared" si="11"/>
        <v>57.692307692307693</v>
      </c>
      <c r="N75" s="621">
        <f t="shared" si="12"/>
        <v>57.692307692307693</v>
      </c>
      <c r="O75" s="621">
        <f t="shared" si="13"/>
        <v>392.30769230769232</v>
      </c>
      <c r="P75" s="621">
        <f t="shared" si="14"/>
        <v>507.69230769230768</v>
      </c>
      <c r="Q75" s="621">
        <f t="shared" si="15"/>
        <v>830.76923076923072</v>
      </c>
      <c r="R75" s="622">
        <f t="shared" si="16"/>
        <v>1096.153846153846</v>
      </c>
    </row>
    <row r="76" spans="1:18" ht="17.25" customHeight="1">
      <c r="A76" s="539">
        <v>14</v>
      </c>
      <c r="B76" s="540" t="s">
        <v>170</v>
      </c>
      <c r="C76" s="541" t="s">
        <v>91</v>
      </c>
      <c r="D76" s="541">
        <v>2</v>
      </c>
      <c r="E76" s="619">
        <f>VLOOKUP(B76,GiaVL!$B$4:'GiaVL'!$D$185,3,0)</f>
        <v>450000</v>
      </c>
      <c r="F76" s="542">
        <f t="shared" si="10"/>
        <v>8653.8461538461543</v>
      </c>
      <c r="G76" s="620">
        <v>0.05</v>
      </c>
      <c r="H76" s="620">
        <v>0.05</v>
      </c>
      <c r="I76" s="620">
        <v>0.34</v>
      </c>
      <c r="J76" s="620">
        <v>0.44</v>
      </c>
      <c r="K76" s="620">
        <v>0.72</v>
      </c>
      <c r="L76" s="620">
        <v>0.95</v>
      </c>
      <c r="M76" s="621">
        <f t="shared" si="11"/>
        <v>432.69230769230774</v>
      </c>
      <c r="N76" s="621">
        <f t="shared" si="12"/>
        <v>432.69230769230774</v>
      </c>
      <c r="O76" s="621">
        <f t="shared" si="13"/>
        <v>2942.3076923076928</v>
      </c>
      <c r="P76" s="621">
        <f t="shared" si="14"/>
        <v>3807.6923076923081</v>
      </c>
      <c r="Q76" s="621">
        <f t="shared" si="15"/>
        <v>6230.7692307692305</v>
      </c>
      <c r="R76" s="622">
        <f t="shared" si="16"/>
        <v>8221.1538461538457</v>
      </c>
    </row>
    <row r="77" spans="1:18" ht="17.25" customHeight="1">
      <c r="A77" s="539">
        <v>15</v>
      </c>
      <c r="B77" s="540" t="s">
        <v>155</v>
      </c>
      <c r="C77" s="541" t="s">
        <v>91</v>
      </c>
      <c r="D77" s="541">
        <v>6</v>
      </c>
      <c r="E77" s="619">
        <f>VLOOKUP(B77,GiaVL!$B$4:'GiaVL'!$D$185,3,0)</f>
        <v>700000</v>
      </c>
      <c r="F77" s="542">
        <f t="shared" si="10"/>
        <v>4487.1794871794873</v>
      </c>
      <c r="G77" s="620">
        <v>1.76</v>
      </c>
      <c r="H77" s="620">
        <v>2.68</v>
      </c>
      <c r="I77" s="620">
        <v>3.18</v>
      </c>
      <c r="J77" s="620">
        <v>4.25</v>
      </c>
      <c r="K77" s="620">
        <v>13.1</v>
      </c>
      <c r="L77" s="620">
        <v>23.82</v>
      </c>
      <c r="M77" s="621">
        <f t="shared" si="11"/>
        <v>7897.4358974358975</v>
      </c>
      <c r="N77" s="621">
        <f t="shared" si="12"/>
        <v>12025.641025641027</v>
      </c>
      <c r="O77" s="621">
        <f t="shared" si="13"/>
        <v>14269.23076923077</v>
      </c>
      <c r="P77" s="621">
        <f t="shared" si="14"/>
        <v>19070.51282051282</v>
      </c>
      <c r="Q77" s="621">
        <f t="shared" si="15"/>
        <v>58782.051282051281</v>
      </c>
      <c r="R77" s="622">
        <f t="shared" si="16"/>
        <v>106884.61538461539</v>
      </c>
    </row>
    <row r="78" spans="1:18" ht="17.25" customHeight="1">
      <c r="A78" s="539">
        <v>16</v>
      </c>
      <c r="B78" s="540" t="s">
        <v>223</v>
      </c>
      <c r="C78" s="541" t="s">
        <v>103</v>
      </c>
      <c r="D78" s="541">
        <v>9</v>
      </c>
      <c r="E78" s="619">
        <f>VLOOKUP(B78,GiaVL!$B$4:'GiaVL'!$D$185,3,0)</f>
        <v>30000</v>
      </c>
      <c r="F78" s="542">
        <f t="shared" si="10"/>
        <v>128.2051282051282</v>
      </c>
      <c r="G78" s="620">
        <v>1.76</v>
      </c>
      <c r="H78" s="620">
        <v>2.68</v>
      </c>
      <c r="I78" s="620">
        <v>3.18</v>
      </c>
      <c r="J78" s="620">
        <v>4.25</v>
      </c>
      <c r="K78" s="620">
        <v>13.1</v>
      </c>
      <c r="L78" s="620">
        <v>23.82</v>
      </c>
      <c r="M78" s="621">
        <f t="shared" si="11"/>
        <v>225.64102564102564</v>
      </c>
      <c r="N78" s="621">
        <f t="shared" si="12"/>
        <v>343.58974358974359</v>
      </c>
      <c r="O78" s="621">
        <f t="shared" si="13"/>
        <v>407.69230769230774</v>
      </c>
      <c r="P78" s="621">
        <f t="shared" si="14"/>
        <v>544.87179487179492</v>
      </c>
      <c r="Q78" s="621">
        <f t="shared" si="15"/>
        <v>1679.4871794871794</v>
      </c>
      <c r="R78" s="622">
        <f t="shared" si="16"/>
        <v>3053.8461538461538</v>
      </c>
    </row>
    <row r="79" spans="1:18" ht="17.25" customHeight="1">
      <c r="A79" s="539">
        <v>17</v>
      </c>
      <c r="B79" s="540" t="s">
        <v>112</v>
      </c>
      <c r="C79" s="541" t="s">
        <v>91</v>
      </c>
      <c r="D79" s="541">
        <v>24</v>
      </c>
      <c r="E79" s="619">
        <f>VLOOKUP(B79,GiaVL!$B$4:'GiaVL'!$D$185,3,0)</f>
        <v>50000</v>
      </c>
      <c r="F79" s="542">
        <f t="shared" si="10"/>
        <v>80.128205128205138</v>
      </c>
      <c r="G79" s="620">
        <v>1.76</v>
      </c>
      <c r="H79" s="620">
        <v>2.68</v>
      </c>
      <c r="I79" s="620">
        <v>3.18</v>
      </c>
      <c r="J79" s="620">
        <v>4.25</v>
      </c>
      <c r="K79" s="620">
        <v>13.1</v>
      </c>
      <c r="L79" s="620">
        <v>23.82</v>
      </c>
      <c r="M79" s="621">
        <f t="shared" si="11"/>
        <v>141.02564102564105</v>
      </c>
      <c r="N79" s="621">
        <f t="shared" si="12"/>
        <v>214.74358974358978</v>
      </c>
      <c r="O79" s="621">
        <f t="shared" si="13"/>
        <v>254.80769230769235</v>
      </c>
      <c r="P79" s="621">
        <f t="shared" si="14"/>
        <v>340.54487179487182</v>
      </c>
      <c r="Q79" s="621">
        <f t="shared" si="15"/>
        <v>1049.6794871794873</v>
      </c>
      <c r="R79" s="622">
        <f t="shared" si="16"/>
        <v>1908.6538461538464</v>
      </c>
    </row>
    <row r="80" spans="1:18" s="14" customFormat="1" ht="17.25" customHeight="1">
      <c r="A80" s="883">
        <v>18</v>
      </c>
      <c r="B80" s="932" t="s">
        <v>600</v>
      </c>
      <c r="C80" s="884" t="s">
        <v>91</v>
      </c>
      <c r="D80" s="884">
        <v>36</v>
      </c>
      <c r="E80" s="833">
        <f>VLOOKUP(B80,GiaVL!$B$4:'GiaVL'!$D$185,3,0)</f>
        <v>690000</v>
      </c>
      <c r="F80" s="834">
        <f t="shared" si="10"/>
        <v>737.17948717948718</v>
      </c>
      <c r="G80" s="885">
        <v>0.03</v>
      </c>
      <c r="H80" s="885">
        <v>0.03</v>
      </c>
      <c r="I80" s="885">
        <v>7.0000000000000007E-2</v>
      </c>
      <c r="J80" s="885">
        <v>0.11</v>
      </c>
      <c r="K80" s="885">
        <v>0.14000000000000001</v>
      </c>
      <c r="L80" s="885">
        <v>0.18</v>
      </c>
      <c r="M80" s="886">
        <f t="shared" ref="M80" si="17">$F80*G80</f>
        <v>22.115384615384613</v>
      </c>
      <c r="N80" s="886">
        <f t="shared" ref="N80" si="18">$F80*H80</f>
        <v>22.115384615384613</v>
      </c>
      <c r="O80" s="886">
        <f t="shared" ref="O80" si="19">$F80*I80</f>
        <v>51.602564102564109</v>
      </c>
      <c r="P80" s="886">
        <f t="shared" ref="P80" si="20">$F80*J80</f>
        <v>81.089743589743591</v>
      </c>
      <c r="Q80" s="621">
        <f t="shared" si="15"/>
        <v>103.20512820512822</v>
      </c>
      <c r="R80" s="887">
        <f t="shared" ref="R80" si="21">$F80*L80</f>
        <v>132.69230769230768</v>
      </c>
    </row>
    <row r="81" spans="1:18" ht="17.25" customHeight="1">
      <c r="A81" s="623"/>
      <c r="B81" s="597" t="s">
        <v>519</v>
      </c>
      <c r="C81" s="610" t="s">
        <v>317</v>
      </c>
      <c r="D81" s="610"/>
      <c r="E81" s="624"/>
      <c r="F81" s="597"/>
      <c r="G81" s="597"/>
      <c r="H81" s="597"/>
      <c r="I81" s="597"/>
      <c r="J81" s="597"/>
      <c r="K81" s="597"/>
      <c r="L81" s="625"/>
      <c r="M81" s="552">
        <f>SUM(M63:M80)</f>
        <v>30596.784188034184</v>
      </c>
      <c r="N81" s="552">
        <f>SUM(N63:N80)/6.25</f>
        <v>7403.295726495724</v>
      </c>
      <c r="O81" s="552">
        <f>SUM(O63:O80)/25</f>
        <v>2301.7153846153842</v>
      </c>
      <c r="P81" s="552">
        <f>SUM(P63:P80)/100</f>
        <v>768.73370726495739</v>
      </c>
      <c r="Q81" s="626">
        <f>SUM(Q63:Q80)/900</f>
        <v>256.6017094017094</v>
      </c>
      <c r="R81" s="627">
        <f>SUM(R63:R80)/3600</f>
        <v>115.63401293922126</v>
      </c>
    </row>
    <row r="82" spans="1:18" s="629" customFormat="1">
      <c r="A82" s="1124" t="s">
        <v>27</v>
      </c>
      <c r="B82" s="1121" t="s">
        <v>539</v>
      </c>
      <c r="C82" s="1121"/>
      <c r="D82" s="549">
        <v>1</v>
      </c>
      <c r="E82" s="550"/>
      <c r="F82" s="548"/>
      <c r="G82" s="620">
        <v>0.8</v>
      </c>
      <c r="H82" s="620">
        <v>0.6</v>
      </c>
      <c r="I82" s="620">
        <v>0.75</v>
      </c>
      <c r="J82" s="620">
        <v>0.7</v>
      </c>
      <c r="K82" s="620">
        <v>0.69</v>
      </c>
      <c r="L82" s="628">
        <v>0.68</v>
      </c>
      <c r="M82" s="553">
        <f>G82*M$81</f>
        <v>24477.427350427348</v>
      </c>
      <c r="N82" s="553">
        <f t="shared" ref="N82:R86" si="22">H82*N$81</f>
        <v>4441.9774358974346</v>
      </c>
      <c r="O82" s="553">
        <f t="shared" si="22"/>
        <v>1726.2865384615382</v>
      </c>
      <c r="P82" s="553">
        <f t="shared" si="22"/>
        <v>538.11359508547014</v>
      </c>
      <c r="Q82" s="553">
        <f t="shared" si="22"/>
        <v>177.05517948717946</v>
      </c>
      <c r="R82" s="554">
        <f t="shared" si="22"/>
        <v>78.63112879867046</v>
      </c>
    </row>
    <row r="83" spans="1:18" s="629" customFormat="1" ht="15" customHeight="1">
      <c r="A83" s="1124"/>
      <c r="B83" s="1121"/>
      <c r="C83" s="1121"/>
      <c r="D83" s="549">
        <v>2</v>
      </c>
      <c r="E83" s="550"/>
      <c r="F83" s="548"/>
      <c r="G83" s="630">
        <v>0.9</v>
      </c>
      <c r="H83" s="630">
        <v>0.8</v>
      </c>
      <c r="I83" s="630">
        <v>0.85</v>
      </c>
      <c r="J83" s="630">
        <v>0.85</v>
      </c>
      <c r="K83" s="630">
        <v>0.83</v>
      </c>
      <c r="L83" s="628">
        <v>0.82</v>
      </c>
      <c r="M83" s="553">
        <f>G83*M$81</f>
        <v>27537.105769230766</v>
      </c>
      <c r="N83" s="553">
        <f t="shared" si="22"/>
        <v>5922.6365811965798</v>
      </c>
      <c r="O83" s="553">
        <f t="shared" si="22"/>
        <v>1956.4580769230765</v>
      </c>
      <c r="P83" s="553">
        <f t="shared" si="22"/>
        <v>653.42365117521376</v>
      </c>
      <c r="Q83" s="553">
        <f t="shared" si="22"/>
        <v>212.97941880341878</v>
      </c>
      <c r="R83" s="554">
        <f t="shared" si="22"/>
        <v>94.819890610161437</v>
      </c>
    </row>
    <row r="84" spans="1:18" s="629" customFormat="1" ht="15" customHeight="1">
      <c r="A84" s="1124"/>
      <c r="B84" s="1121"/>
      <c r="C84" s="1121"/>
      <c r="D84" s="549">
        <v>3</v>
      </c>
      <c r="E84" s="550"/>
      <c r="F84" s="548"/>
      <c r="G84" s="631">
        <v>1</v>
      </c>
      <c r="H84" s="631">
        <v>1</v>
      </c>
      <c r="I84" s="631">
        <v>1</v>
      </c>
      <c r="J84" s="631">
        <v>1</v>
      </c>
      <c r="K84" s="631">
        <v>1</v>
      </c>
      <c r="L84" s="632">
        <v>1</v>
      </c>
      <c r="M84" s="553">
        <f>G84*M$81</f>
        <v>30596.784188034184</v>
      </c>
      <c r="N84" s="553">
        <f t="shared" si="22"/>
        <v>7403.295726495724</v>
      </c>
      <c r="O84" s="553">
        <f t="shared" si="22"/>
        <v>2301.7153846153842</v>
      </c>
      <c r="P84" s="553">
        <f t="shared" si="22"/>
        <v>768.73370726495739</v>
      </c>
      <c r="Q84" s="553">
        <f t="shared" si="22"/>
        <v>256.6017094017094</v>
      </c>
      <c r="R84" s="554">
        <f t="shared" si="22"/>
        <v>115.63401293922126</v>
      </c>
    </row>
    <row r="85" spans="1:18" s="629" customFormat="1" ht="15" customHeight="1">
      <c r="A85" s="1124"/>
      <c r="B85" s="1121"/>
      <c r="C85" s="1121"/>
      <c r="D85" s="549">
        <v>4</v>
      </c>
      <c r="E85" s="550"/>
      <c r="F85" s="548"/>
      <c r="G85" s="620">
        <v>1.1499999999999999</v>
      </c>
      <c r="H85" s="620">
        <v>1.1499999999999999</v>
      </c>
      <c r="I85" s="620">
        <v>1.25</v>
      </c>
      <c r="J85" s="620">
        <v>1.3</v>
      </c>
      <c r="K85" s="620">
        <v>1.2</v>
      </c>
      <c r="L85" s="628">
        <v>1.2</v>
      </c>
      <c r="M85" s="553">
        <f>G85*M$81</f>
        <v>35186.301816239305</v>
      </c>
      <c r="N85" s="553">
        <f t="shared" si="22"/>
        <v>8513.790085470082</v>
      </c>
      <c r="O85" s="553">
        <f t="shared" si="22"/>
        <v>2877.1442307692305</v>
      </c>
      <c r="P85" s="553">
        <f t="shared" si="22"/>
        <v>999.35381944444464</v>
      </c>
      <c r="Q85" s="553">
        <f t="shared" si="22"/>
        <v>307.92205128205126</v>
      </c>
      <c r="R85" s="554">
        <f t="shared" si="22"/>
        <v>138.76081552706552</v>
      </c>
    </row>
    <row r="86" spans="1:18" s="629" customFormat="1" ht="15" customHeight="1">
      <c r="A86" s="1124"/>
      <c r="B86" s="1121"/>
      <c r="C86" s="1121"/>
      <c r="D86" s="549">
        <v>5</v>
      </c>
      <c r="E86" s="550"/>
      <c r="F86" s="548"/>
      <c r="G86" s="630"/>
      <c r="H86" s="620">
        <v>1.3</v>
      </c>
      <c r="I86" s="630">
        <v>1.56</v>
      </c>
      <c r="J86" s="630">
        <v>1.7</v>
      </c>
      <c r="K86" s="630"/>
      <c r="L86" s="628"/>
      <c r="M86" s="553">
        <f>G86*M$81</f>
        <v>0</v>
      </c>
      <c r="N86" s="553">
        <f>H86*N$81</f>
        <v>9624.2844444444418</v>
      </c>
      <c r="O86" s="553">
        <f t="shared" si="22"/>
        <v>3590.6759999999995</v>
      </c>
      <c r="P86" s="553">
        <f t="shared" si="22"/>
        <v>1306.8473023504275</v>
      </c>
      <c r="Q86" s="553">
        <f t="shared" si="22"/>
        <v>0</v>
      </c>
      <c r="R86" s="554">
        <f t="shared" si="22"/>
        <v>0</v>
      </c>
    </row>
    <row r="87" spans="1:18" s="577" customFormat="1" ht="20.25" customHeight="1">
      <c r="A87" s="555" t="s">
        <v>28</v>
      </c>
      <c r="B87" s="548" t="s">
        <v>525</v>
      </c>
      <c r="C87" s="549"/>
      <c r="D87" s="549"/>
      <c r="E87" s="550"/>
      <c r="F87" s="549"/>
      <c r="G87" s="614"/>
      <c r="H87" s="614"/>
      <c r="I87" s="614"/>
      <c r="J87" s="615"/>
      <c r="K87" s="615"/>
      <c r="L87" s="614"/>
      <c r="M87" s="549"/>
      <c r="N87" s="549"/>
      <c r="O87" s="549"/>
      <c r="P87" s="549"/>
      <c r="Q87" s="633"/>
      <c r="R87" s="618"/>
    </row>
    <row r="88" spans="1:18" ht="20.25" customHeight="1">
      <c r="A88" s="539">
        <v>1</v>
      </c>
      <c r="B88" s="540" t="s">
        <v>90</v>
      </c>
      <c r="C88" s="541" t="s">
        <v>91</v>
      </c>
      <c r="D88" s="541">
        <v>18</v>
      </c>
      <c r="E88" s="619">
        <f>VLOOKUP(B88,GiaVL!$B$4:'GiaVL'!$D$185,3,0)</f>
        <v>210000</v>
      </c>
      <c r="F88" s="542">
        <f t="shared" ref="F88:F101" si="23">E88/D88/26</f>
        <v>448.71794871794867</v>
      </c>
      <c r="G88" s="620">
        <v>17.28</v>
      </c>
      <c r="H88" s="620">
        <v>22.26</v>
      </c>
      <c r="I88" s="620">
        <v>37.72</v>
      </c>
      <c r="J88" s="620">
        <v>66.16</v>
      </c>
      <c r="K88" s="620">
        <v>230</v>
      </c>
      <c r="L88" s="620">
        <v>418.18</v>
      </c>
      <c r="M88" s="621">
        <f t="shared" ref="M88:M101" si="24">$F88*G88</f>
        <v>7753.8461538461534</v>
      </c>
      <c r="N88" s="621">
        <f t="shared" ref="N88:N101" si="25">$F88*H88</f>
        <v>9988.461538461539</v>
      </c>
      <c r="O88" s="621">
        <f t="shared" ref="O88:O101" si="26">$F88*I88</f>
        <v>16925.641025641024</v>
      </c>
      <c r="P88" s="621">
        <f>$F88*J88</f>
        <v>29687.179487179481</v>
      </c>
      <c r="Q88" s="621">
        <f>$F88*K88</f>
        <v>103205.12820512819</v>
      </c>
      <c r="R88" s="622">
        <f>$F88*L88</f>
        <v>187644.87179487178</v>
      </c>
    </row>
    <row r="89" spans="1:18" ht="20.25" customHeight="1">
      <c r="A89" s="539">
        <v>2</v>
      </c>
      <c r="B89" s="540" t="s">
        <v>92</v>
      </c>
      <c r="C89" s="541" t="s">
        <v>91</v>
      </c>
      <c r="D89" s="541">
        <v>18</v>
      </c>
      <c r="E89" s="619">
        <f>VLOOKUP(B89,GiaVL!$B$4:'GiaVL'!$D$185,3,0)</f>
        <v>100000</v>
      </c>
      <c r="F89" s="542">
        <f t="shared" si="23"/>
        <v>213.67521367521368</v>
      </c>
      <c r="G89" s="620">
        <v>17.28</v>
      </c>
      <c r="H89" s="620">
        <v>22.26</v>
      </c>
      <c r="I89" s="620">
        <v>37.72</v>
      </c>
      <c r="J89" s="620">
        <v>66.16</v>
      </c>
      <c r="K89" s="620">
        <v>230</v>
      </c>
      <c r="L89" s="620">
        <v>418.18</v>
      </c>
      <c r="M89" s="621">
        <f t="shared" si="24"/>
        <v>3692.3076923076928</v>
      </c>
      <c r="N89" s="621">
        <f t="shared" si="25"/>
        <v>4756.4102564102568</v>
      </c>
      <c r="O89" s="621">
        <f t="shared" si="26"/>
        <v>8059.8290598290596</v>
      </c>
      <c r="P89" s="621">
        <f t="shared" ref="P89:P101" si="27">$F89*J89</f>
        <v>14136.752136752137</v>
      </c>
      <c r="Q89" s="621">
        <f t="shared" ref="Q89:Q101" si="28">$F89*K89</f>
        <v>49145.299145299148</v>
      </c>
      <c r="R89" s="622">
        <f t="shared" ref="R89:R101" si="29">$F89*L89</f>
        <v>89354.700854700859</v>
      </c>
    </row>
    <row r="90" spans="1:18" ht="20.25" customHeight="1">
      <c r="A90" s="539">
        <v>3</v>
      </c>
      <c r="B90" s="540" t="s">
        <v>597</v>
      </c>
      <c r="C90" s="541" t="s">
        <v>91</v>
      </c>
      <c r="D90" s="541">
        <v>18</v>
      </c>
      <c r="E90" s="619">
        <f>VLOOKUP(B90,GiaVL!$B$4:'GiaVL'!$D$185,3,0)</f>
        <v>240000</v>
      </c>
      <c r="F90" s="542">
        <f t="shared" si="23"/>
        <v>512.82051282051282</v>
      </c>
      <c r="G90" s="620">
        <v>34.56</v>
      </c>
      <c r="H90" s="620">
        <v>44.52</v>
      </c>
      <c r="I90" s="620">
        <v>75.44</v>
      </c>
      <c r="J90" s="620">
        <v>132.32</v>
      </c>
      <c r="K90" s="620">
        <v>460</v>
      </c>
      <c r="L90" s="620">
        <v>836.36</v>
      </c>
      <c r="M90" s="621">
        <f t="shared" si="24"/>
        <v>17723.076923076926</v>
      </c>
      <c r="N90" s="621">
        <f t="shared" si="25"/>
        <v>22830.76923076923</v>
      </c>
      <c r="O90" s="621">
        <f t="shared" si="26"/>
        <v>38687.179487179485</v>
      </c>
      <c r="P90" s="621">
        <f t="shared" si="27"/>
        <v>67856.41025641025</v>
      </c>
      <c r="Q90" s="621">
        <f t="shared" si="28"/>
        <v>235897.43589743591</v>
      </c>
      <c r="R90" s="622">
        <f t="shared" si="29"/>
        <v>428902.56410256412</v>
      </c>
    </row>
    <row r="91" spans="1:18" ht="20.25" customHeight="1">
      <c r="A91" s="539">
        <v>4</v>
      </c>
      <c r="B91" s="540" t="s">
        <v>98</v>
      </c>
      <c r="C91" s="541" t="s">
        <v>99</v>
      </c>
      <c r="D91" s="541">
        <v>12</v>
      </c>
      <c r="E91" s="619">
        <f>VLOOKUP(B91,GiaVL!$B$4:'GiaVL'!$D$185,3,0)</f>
        <v>145000</v>
      </c>
      <c r="F91" s="542">
        <f t="shared" si="23"/>
        <v>464.74358974358978</v>
      </c>
      <c r="G91" s="620">
        <v>34.56</v>
      </c>
      <c r="H91" s="620">
        <v>44.52</v>
      </c>
      <c r="I91" s="620">
        <v>75.44</v>
      </c>
      <c r="J91" s="620">
        <v>132.32</v>
      </c>
      <c r="K91" s="620">
        <v>460</v>
      </c>
      <c r="L91" s="620">
        <v>836.36</v>
      </c>
      <c r="M91" s="621">
        <f t="shared" si="24"/>
        <v>16061.538461538465</v>
      </c>
      <c r="N91" s="621">
        <f t="shared" si="25"/>
        <v>20690.384615384617</v>
      </c>
      <c r="O91" s="621">
        <f t="shared" si="26"/>
        <v>35060.256410256414</v>
      </c>
      <c r="P91" s="621">
        <f t="shared" si="27"/>
        <v>61494.871794871797</v>
      </c>
      <c r="Q91" s="621">
        <f t="shared" si="28"/>
        <v>213782.05128205131</v>
      </c>
      <c r="R91" s="622">
        <f t="shared" si="29"/>
        <v>388692.94871794875</v>
      </c>
    </row>
    <row r="92" spans="1:18" ht="20.25" customHeight="1">
      <c r="A92" s="539">
        <v>5</v>
      </c>
      <c r="B92" s="540" t="s">
        <v>101</v>
      </c>
      <c r="C92" s="541" t="s">
        <v>91</v>
      </c>
      <c r="D92" s="541">
        <v>12</v>
      </c>
      <c r="E92" s="619">
        <f>VLOOKUP(B92,GiaVL!$B$4:'GiaVL'!$D$185,3,0)</f>
        <v>50000</v>
      </c>
      <c r="F92" s="542">
        <f t="shared" si="23"/>
        <v>160.25641025641028</v>
      </c>
      <c r="G92" s="620">
        <v>34.56</v>
      </c>
      <c r="H92" s="620">
        <v>44.52</v>
      </c>
      <c r="I92" s="620">
        <v>75.44</v>
      </c>
      <c r="J92" s="620">
        <v>132.32</v>
      </c>
      <c r="K92" s="620">
        <v>460</v>
      </c>
      <c r="L92" s="620">
        <v>836.36</v>
      </c>
      <c r="M92" s="621">
        <f t="shared" si="24"/>
        <v>5538.4615384615399</v>
      </c>
      <c r="N92" s="621">
        <f t="shared" si="25"/>
        <v>7134.6153846153857</v>
      </c>
      <c r="O92" s="621">
        <f t="shared" si="26"/>
        <v>12089.743589743592</v>
      </c>
      <c r="P92" s="621">
        <f t="shared" si="27"/>
        <v>21205.128205128207</v>
      </c>
      <c r="Q92" s="621">
        <f t="shared" si="28"/>
        <v>73717.948717948733</v>
      </c>
      <c r="R92" s="622">
        <f t="shared" si="29"/>
        <v>134032.05128205131</v>
      </c>
    </row>
    <row r="93" spans="1:18" ht="20.25" customHeight="1">
      <c r="A93" s="539">
        <v>6</v>
      </c>
      <c r="B93" s="540" t="s">
        <v>106</v>
      </c>
      <c r="C93" s="541" t="s">
        <v>94</v>
      </c>
      <c r="D93" s="541">
        <v>9</v>
      </c>
      <c r="E93" s="619">
        <f>VLOOKUP(B93,GiaVL!$B$4:'GiaVL'!$D$185,3,0)</f>
        <v>210000</v>
      </c>
      <c r="F93" s="542">
        <f t="shared" si="23"/>
        <v>897.43589743589735</v>
      </c>
      <c r="G93" s="620">
        <v>34.56</v>
      </c>
      <c r="H93" s="620">
        <v>44.52</v>
      </c>
      <c r="I93" s="620">
        <v>75.44</v>
      </c>
      <c r="J93" s="620">
        <v>132.32</v>
      </c>
      <c r="K93" s="620">
        <v>460</v>
      </c>
      <c r="L93" s="620">
        <v>836.36</v>
      </c>
      <c r="M93" s="621">
        <f t="shared" si="24"/>
        <v>31015.384615384613</v>
      </c>
      <c r="N93" s="621">
        <f t="shared" si="25"/>
        <v>39953.846153846156</v>
      </c>
      <c r="O93" s="621">
        <f t="shared" si="26"/>
        <v>67702.564102564094</v>
      </c>
      <c r="P93" s="621">
        <f t="shared" si="27"/>
        <v>118748.71794871792</v>
      </c>
      <c r="Q93" s="621">
        <f t="shared" si="28"/>
        <v>412820.51282051275</v>
      </c>
      <c r="R93" s="622">
        <f t="shared" si="29"/>
        <v>750579.48717948713</v>
      </c>
    </row>
    <row r="94" spans="1:18" ht="20.25" customHeight="1">
      <c r="A94" s="539">
        <v>7</v>
      </c>
      <c r="B94" s="540" t="s">
        <v>115</v>
      </c>
      <c r="C94" s="541" t="s">
        <v>91</v>
      </c>
      <c r="D94" s="541">
        <v>48</v>
      </c>
      <c r="E94" s="619">
        <f>VLOOKUP(B94,GiaVL!$B$4:'GiaVL'!$D$185,3,0)</f>
        <v>350000</v>
      </c>
      <c r="F94" s="542">
        <f t="shared" si="23"/>
        <v>280.44871794871796</v>
      </c>
      <c r="G94" s="620">
        <v>8.19</v>
      </c>
      <c r="H94" s="620">
        <v>12.18</v>
      </c>
      <c r="I94" s="620">
        <v>19.420000000000002</v>
      </c>
      <c r="J94" s="620">
        <v>26.45</v>
      </c>
      <c r="K94" s="620">
        <v>101.57</v>
      </c>
      <c r="L94" s="620">
        <v>184.68</v>
      </c>
      <c r="M94" s="621">
        <f t="shared" si="24"/>
        <v>2296.875</v>
      </c>
      <c r="N94" s="621">
        <f t="shared" si="25"/>
        <v>3415.8653846153848</v>
      </c>
      <c r="O94" s="621">
        <f t="shared" si="26"/>
        <v>5446.3141025641035</v>
      </c>
      <c r="P94" s="621">
        <f t="shared" si="27"/>
        <v>7417.8685897435898</v>
      </c>
      <c r="Q94" s="621">
        <f t="shared" si="28"/>
        <v>28485.176282051281</v>
      </c>
      <c r="R94" s="622">
        <f t="shared" si="29"/>
        <v>51793.269230769234</v>
      </c>
    </row>
    <row r="95" spans="1:18" ht="20.25" customHeight="1">
      <c r="A95" s="539">
        <v>8</v>
      </c>
      <c r="B95" s="540" t="s">
        <v>104</v>
      </c>
      <c r="C95" s="541" t="s">
        <v>91</v>
      </c>
      <c r="D95" s="541">
        <v>24</v>
      </c>
      <c r="E95" s="619">
        <f>VLOOKUP(B95,GiaVL!$B$4:'GiaVL'!$D$185,3,0)</f>
        <v>100000</v>
      </c>
      <c r="F95" s="542">
        <f t="shared" si="23"/>
        <v>160.25641025641028</v>
      </c>
      <c r="G95" s="620">
        <v>8.19</v>
      </c>
      <c r="H95" s="620">
        <v>12.18</v>
      </c>
      <c r="I95" s="620">
        <v>19.420000000000002</v>
      </c>
      <c r="J95" s="620">
        <v>26.45</v>
      </c>
      <c r="K95" s="620">
        <v>101.57</v>
      </c>
      <c r="L95" s="620">
        <v>184.68</v>
      </c>
      <c r="M95" s="621">
        <f t="shared" si="24"/>
        <v>1312.5</v>
      </c>
      <c r="N95" s="621">
        <f t="shared" si="25"/>
        <v>1951.9230769230771</v>
      </c>
      <c r="O95" s="621">
        <f t="shared" si="26"/>
        <v>3112.1794871794878</v>
      </c>
      <c r="P95" s="621">
        <f t="shared" si="27"/>
        <v>4238.7820512820517</v>
      </c>
      <c r="Q95" s="621">
        <f t="shared" si="28"/>
        <v>16277.24358974359</v>
      </c>
      <c r="R95" s="622">
        <f t="shared" si="29"/>
        <v>29596.153846153851</v>
      </c>
    </row>
    <row r="96" spans="1:18" ht="20.25" customHeight="1">
      <c r="A96" s="539">
        <v>9</v>
      </c>
      <c r="B96" s="540" t="s">
        <v>102</v>
      </c>
      <c r="C96" s="541" t="s">
        <v>103</v>
      </c>
      <c r="D96" s="541">
        <v>9</v>
      </c>
      <c r="E96" s="619">
        <f>VLOOKUP(B96,GiaVL!$B$4:'GiaVL'!$D$185,3,0)</f>
        <v>10000</v>
      </c>
      <c r="F96" s="542">
        <f t="shared" si="23"/>
        <v>42.735042735042732</v>
      </c>
      <c r="G96" s="620">
        <v>8.19</v>
      </c>
      <c r="H96" s="620">
        <v>12.18</v>
      </c>
      <c r="I96" s="620">
        <v>19.420000000000002</v>
      </c>
      <c r="J96" s="620">
        <v>26.45</v>
      </c>
      <c r="K96" s="620">
        <v>101.57</v>
      </c>
      <c r="L96" s="620">
        <v>184.68</v>
      </c>
      <c r="M96" s="621">
        <f t="shared" si="24"/>
        <v>349.99999999999994</v>
      </c>
      <c r="N96" s="621">
        <f t="shared" si="25"/>
        <v>520.51282051282044</v>
      </c>
      <c r="O96" s="621">
        <f t="shared" si="26"/>
        <v>829.91452991452991</v>
      </c>
      <c r="P96" s="621">
        <f t="shared" si="27"/>
        <v>1130.3418803418801</v>
      </c>
      <c r="Q96" s="621">
        <f t="shared" si="28"/>
        <v>4340.5982905982901</v>
      </c>
      <c r="R96" s="622">
        <f t="shared" si="29"/>
        <v>7892.3076923076924</v>
      </c>
    </row>
    <row r="97" spans="1:18" ht="20.25" customHeight="1">
      <c r="A97" s="539">
        <v>10</v>
      </c>
      <c r="B97" s="540" t="s">
        <v>114</v>
      </c>
      <c r="C97" s="541" t="s">
        <v>91</v>
      </c>
      <c r="D97" s="541">
        <v>12</v>
      </c>
      <c r="E97" s="619">
        <f>VLOOKUP(B97,GiaVL!$B$4:'GiaVL'!$D$185,3,0)</f>
        <v>15000</v>
      </c>
      <c r="F97" s="542">
        <f t="shared" si="23"/>
        <v>48.07692307692308</v>
      </c>
      <c r="G97" s="620">
        <v>8.19</v>
      </c>
      <c r="H97" s="620">
        <v>12.18</v>
      </c>
      <c r="I97" s="620">
        <v>19.420000000000002</v>
      </c>
      <c r="J97" s="620">
        <v>26.45</v>
      </c>
      <c r="K97" s="620">
        <v>101.57</v>
      </c>
      <c r="L97" s="620">
        <v>184.68</v>
      </c>
      <c r="M97" s="621">
        <f t="shared" si="24"/>
        <v>393.75</v>
      </c>
      <c r="N97" s="621">
        <f t="shared" si="25"/>
        <v>585.57692307692309</v>
      </c>
      <c r="O97" s="621">
        <f t="shared" si="26"/>
        <v>933.6538461538463</v>
      </c>
      <c r="P97" s="621">
        <f t="shared" si="27"/>
        <v>1271.6346153846155</v>
      </c>
      <c r="Q97" s="621">
        <f t="shared" si="28"/>
        <v>4883.1730769230771</v>
      </c>
      <c r="R97" s="622">
        <f t="shared" si="29"/>
        <v>8878.8461538461543</v>
      </c>
    </row>
    <row r="98" spans="1:18" ht="20.25" customHeight="1">
      <c r="A98" s="539">
        <v>11</v>
      </c>
      <c r="B98" s="540" t="s">
        <v>113</v>
      </c>
      <c r="C98" s="541" t="s">
        <v>91</v>
      </c>
      <c r="D98" s="541">
        <v>4</v>
      </c>
      <c r="E98" s="619">
        <f>VLOOKUP(B98,GiaVL!$B$4:'GiaVL'!$D$185,3,0)</f>
        <v>120000</v>
      </c>
      <c r="F98" s="542">
        <f t="shared" si="23"/>
        <v>1153.8461538461538</v>
      </c>
      <c r="G98" s="620">
        <v>1.98</v>
      </c>
      <c r="H98" s="620">
        <v>3.2</v>
      </c>
      <c r="I98" s="620">
        <v>5.96</v>
      </c>
      <c r="J98" s="620">
        <v>12.1</v>
      </c>
      <c r="K98" s="620">
        <v>40.39</v>
      </c>
      <c r="L98" s="620">
        <v>73.44</v>
      </c>
      <c r="M98" s="621">
        <f t="shared" si="24"/>
        <v>2284.6153846153843</v>
      </c>
      <c r="N98" s="621">
        <f t="shared" si="25"/>
        <v>3692.3076923076924</v>
      </c>
      <c r="O98" s="621">
        <f t="shared" si="26"/>
        <v>6876.9230769230762</v>
      </c>
      <c r="P98" s="621">
        <f t="shared" si="27"/>
        <v>13961.538461538461</v>
      </c>
      <c r="Q98" s="621">
        <f t="shared" si="28"/>
        <v>46603.846153846156</v>
      </c>
      <c r="R98" s="622">
        <f t="shared" si="29"/>
        <v>84738.461538461532</v>
      </c>
    </row>
    <row r="99" spans="1:18" ht="20.25" customHeight="1">
      <c r="A99" s="539">
        <v>12</v>
      </c>
      <c r="B99" s="540" t="s">
        <v>170</v>
      </c>
      <c r="C99" s="541" t="s">
        <v>91</v>
      </c>
      <c r="D99" s="541">
        <v>2</v>
      </c>
      <c r="E99" s="619">
        <f>VLOOKUP(B99,GiaVL!$B$4:'GiaVL'!$D$185,3,0)</f>
        <v>450000</v>
      </c>
      <c r="F99" s="542">
        <f t="shared" si="23"/>
        <v>8653.8461538461543</v>
      </c>
      <c r="G99" s="620">
        <v>1</v>
      </c>
      <c r="H99" s="620">
        <v>1.59</v>
      </c>
      <c r="I99" s="620">
        <v>2.98</v>
      </c>
      <c r="J99" s="620">
        <v>6.05</v>
      </c>
      <c r="K99" s="620">
        <v>20.2</v>
      </c>
      <c r="L99" s="620">
        <v>36.72</v>
      </c>
      <c r="M99" s="621">
        <f t="shared" si="24"/>
        <v>8653.8461538461543</v>
      </c>
      <c r="N99" s="621">
        <f t="shared" si="25"/>
        <v>13759.615384615387</v>
      </c>
      <c r="O99" s="621">
        <f t="shared" si="26"/>
        <v>25788.461538461539</v>
      </c>
      <c r="P99" s="621">
        <f t="shared" si="27"/>
        <v>52355.769230769234</v>
      </c>
      <c r="Q99" s="621">
        <f t="shared" si="28"/>
        <v>174807.69230769231</v>
      </c>
      <c r="R99" s="622">
        <f t="shared" si="29"/>
        <v>317769.23076923075</v>
      </c>
    </row>
    <row r="100" spans="1:18" ht="20.25" customHeight="1">
      <c r="A100" s="539">
        <v>13</v>
      </c>
      <c r="B100" s="540" t="s">
        <v>223</v>
      </c>
      <c r="C100" s="541" t="s">
        <v>103</v>
      </c>
      <c r="D100" s="541">
        <v>9</v>
      </c>
      <c r="E100" s="619">
        <f>VLOOKUP(B100,GiaVL!$B$4:'GiaVL'!$D$185,3,0)</f>
        <v>30000</v>
      </c>
      <c r="F100" s="542">
        <f t="shared" si="23"/>
        <v>128.2051282051282</v>
      </c>
      <c r="G100" s="620">
        <v>8.19</v>
      </c>
      <c r="H100" s="620">
        <v>12.18</v>
      </c>
      <c r="I100" s="620">
        <v>19.420000000000002</v>
      </c>
      <c r="J100" s="620">
        <v>26.45</v>
      </c>
      <c r="K100" s="620">
        <v>101.57</v>
      </c>
      <c r="L100" s="620">
        <v>184.68</v>
      </c>
      <c r="M100" s="621">
        <f t="shared" si="24"/>
        <v>1050</v>
      </c>
      <c r="N100" s="621">
        <f t="shared" si="25"/>
        <v>1561.5384615384614</v>
      </c>
      <c r="O100" s="621">
        <f t="shared" si="26"/>
        <v>2489.7435897435898</v>
      </c>
      <c r="P100" s="621">
        <f t="shared" si="27"/>
        <v>3391.0256410256411</v>
      </c>
      <c r="Q100" s="621">
        <f t="shared" si="28"/>
        <v>13021.794871794871</v>
      </c>
      <c r="R100" s="622">
        <f t="shared" si="29"/>
        <v>23676.923076923078</v>
      </c>
    </row>
    <row r="101" spans="1:18" ht="20.25" customHeight="1">
      <c r="A101" s="539">
        <v>14</v>
      </c>
      <c r="B101" s="540" t="s">
        <v>112</v>
      </c>
      <c r="C101" s="541" t="s">
        <v>91</v>
      </c>
      <c r="D101" s="541">
        <v>24</v>
      </c>
      <c r="E101" s="619">
        <f>VLOOKUP(B101,GiaVL!$B$4:'GiaVL'!$D$185,3,0)</f>
        <v>50000</v>
      </c>
      <c r="F101" s="542">
        <f t="shared" si="23"/>
        <v>80.128205128205138</v>
      </c>
      <c r="G101" s="620">
        <v>8.19</v>
      </c>
      <c r="H101" s="620">
        <v>12.18</v>
      </c>
      <c r="I101" s="620">
        <v>19.420000000000002</v>
      </c>
      <c r="J101" s="620">
        <v>26.45</v>
      </c>
      <c r="K101" s="620">
        <v>101.57</v>
      </c>
      <c r="L101" s="620">
        <v>184.68</v>
      </c>
      <c r="M101" s="621">
        <f t="shared" si="24"/>
        <v>656.25</v>
      </c>
      <c r="N101" s="621">
        <f t="shared" si="25"/>
        <v>975.96153846153857</v>
      </c>
      <c r="O101" s="621">
        <f t="shared" si="26"/>
        <v>1556.0897435897439</v>
      </c>
      <c r="P101" s="621">
        <f t="shared" si="27"/>
        <v>2119.3910256410259</v>
      </c>
      <c r="Q101" s="621">
        <f t="shared" si="28"/>
        <v>8138.6217948717949</v>
      </c>
      <c r="R101" s="622">
        <f t="shared" si="29"/>
        <v>14798.076923076926</v>
      </c>
    </row>
    <row r="102" spans="1:18" ht="20.25" customHeight="1">
      <c r="A102" s="547"/>
      <c r="B102" s="548" t="s">
        <v>519</v>
      </c>
      <c r="C102" s="549" t="s">
        <v>317</v>
      </c>
      <c r="D102" s="549"/>
      <c r="E102" s="550"/>
      <c r="F102" s="548"/>
      <c r="G102" s="548"/>
      <c r="H102" s="548"/>
      <c r="I102" s="548"/>
      <c r="J102" s="548"/>
      <c r="K102" s="548"/>
      <c r="L102" s="551"/>
      <c r="M102" s="552">
        <f>SUM(M88:M101)</f>
        <v>98782.451923076937</v>
      </c>
      <c r="N102" s="552">
        <f>SUM(N88:N101)/6.25</f>
        <v>21090.84615384616</v>
      </c>
      <c r="O102" s="552">
        <f>SUM(O88:O101)/25</f>
        <v>9022.3397435897423</v>
      </c>
      <c r="P102" s="552">
        <f>SUM(P88:P101)/100</f>
        <v>3990.1541132478624</v>
      </c>
      <c r="Q102" s="626">
        <f>SUM(Q88:Q101)*1.05/900</f>
        <v>1615.9809428418801</v>
      </c>
      <c r="R102" s="627">
        <f>SUM(R88:R101)/3600</f>
        <v>699.54163698955358</v>
      </c>
    </row>
    <row r="103" spans="1:18" s="629" customFormat="1" ht="12.75" customHeight="1">
      <c r="A103" s="1124" t="s">
        <v>28</v>
      </c>
      <c r="B103" s="1146" t="str">
        <f>B87</f>
        <v>Đo đạc ranh giới thửa đất và các đối tượng địa lý có liên quan</v>
      </c>
      <c r="C103" s="1146"/>
      <c r="D103" s="549">
        <v>1</v>
      </c>
      <c r="E103" s="550"/>
      <c r="F103" s="548"/>
      <c r="G103" s="620">
        <v>0.7</v>
      </c>
      <c r="H103" s="620">
        <v>0.6</v>
      </c>
      <c r="I103" s="620">
        <v>0.7</v>
      </c>
      <c r="J103" s="620">
        <v>0.7</v>
      </c>
      <c r="K103" s="620">
        <v>0.77</v>
      </c>
      <c r="L103" s="628">
        <v>0.77</v>
      </c>
      <c r="M103" s="553">
        <f t="shared" ref="M103:R107" si="30">G103*M$102</f>
        <v>69147.716346153844</v>
      </c>
      <c r="N103" s="553">
        <f t="shared" si="30"/>
        <v>12654.507692307696</v>
      </c>
      <c r="O103" s="553">
        <f t="shared" si="30"/>
        <v>6315.6378205128194</v>
      </c>
      <c r="P103" s="553">
        <f t="shared" si="30"/>
        <v>2793.1078792735034</v>
      </c>
      <c r="Q103" s="553">
        <f t="shared" si="30"/>
        <v>1244.3053259882477</v>
      </c>
      <c r="R103" s="554">
        <f t="shared" si="30"/>
        <v>538.64706048195626</v>
      </c>
    </row>
    <row r="104" spans="1:18" s="629" customFormat="1" ht="15" customHeight="1">
      <c r="A104" s="1124"/>
      <c r="B104" s="1146"/>
      <c r="C104" s="1146"/>
      <c r="D104" s="549">
        <v>2</v>
      </c>
      <c r="E104" s="550"/>
      <c r="F104" s="548"/>
      <c r="G104" s="620">
        <v>0.85</v>
      </c>
      <c r="H104" s="620">
        <v>0.75</v>
      </c>
      <c r="I104" s="620">
        <v>0.85</v>
      </c>
      <c r="J104" s="620">
        <v>0.85</v>
      </c>
      <c r="K104" s="620">
        <v>0.92</v>
      </c>
      <c r="L104" s="628">
        <v>0.92</v>
      </c>
      <c r="M104" s="553">
        <f t="shared" si="30"/>
        <v>83965.08413461539</v>
      </c>
      <c r="N104" s="553">
        <f t="shared" si="30"/>
        <v>15818.134615384621</v>
      </c>
      <c r="O104" s="553">
        <f t="shared" si="30"/>
        <v>7668.9887820512804</v>
      </c>
      <c r="P104" s="553">
        <f t="shared" si="30"/>
        <v>3391.6309962606829</v>
      </c>
      <c r="Q104" s="553">
        <f t="shared" si="30"/>
        <v>1486.7024674145298</v>
      </c>
      <c r="R104" s="554">
        <f t="shared" si="30"/>
        <v>643.57830603038929</v>
      </c>
    </row>
    <row r="105" spans="1:18" s="629" customFormat="1" ht="15" customHeight="1">
      <c r="A105" s="1124"/>
      <c r="B105" s="1146"/>
      <c r="C105" s="1146"/>
      <c r="D105" s="549">
        <v>3</v>
      </c>
      <c r="E105" s="550"/>
      <c r="F105" s="548"/>
      <c r="G105" s="630">
        <v>1</v>
      </c>
      <c r="H105" s="630">
        <v>1</v>
      </c>
      <c r="I105" s="630">
        <v>1</v>
      </c>
      <c r="J105" s="630">
        <v>1</v>
      </c>
      <c r="K105" s="630">
        <v>1</v>
      </c>
      <c r="L105" s="632">
        <v>1</v>
      </c>
      <c r="M105" s="553">
        <f t="shared" si="30"/>
        <v>98782.451923076937</v>
      </c>
      <c r="N105" s="553">
        <f t="shared" si="30"/>
        <v>21090.84615384616</v>
      </c>
      <c r="O105" s="553">
        <f t="shared" si="30"/>
        <v>9022.3397435897423</v>
      </c>
      <c r="P105" s="553">
        <f t="shared" si="30"/>
        <v>3990.1541132478624</v>
      </c>
      <c r="Q105" s="553">
        <f t="shared" si="30"/>
        <v>1615.9809428418801</v>
      </c>
      <c r="R105" s="554">
        <f t="shared" si="30"/>
        <v>699.54163698955358</v>
      </c>
    </row>
    <row r="106" spans="1:18" s="629" customFormat="1" ht="15" customHeight="1">
      <c r="A106" s="1124"/>
      <c r="B106" s="1146"/>
      <c r="C106" s="1146"/>
      <c r="D106" s="549">
        <v>4</v>
      </c>
      <c r="E106" s="550"/>
      <c r="F106" s="548"/>
      <c r="G106" s="620">
        <v>1.2</v>
      </c>
      <c r="H106" s="620">
        <v>1.3</v>
      </c>
      <c r="I106" s="620">
        <v>1.25</v>
      </c>
      <c r="J106" s="620">
        <v>1.3</v>
      </c>
      <c r="K106" s="620">
        <v>1.1000000000000001</v>
      </c>
      <c r="L106" s="628">
        <v>1.1000000000000001</v>
      </c>
      <c r="M106" s="553">
        <f t="shared" si="30"/>
        <v>118538.94230769231</v>
      </c>
      <c r="N106" s="553">
        <f t="shared" si="30"/>
        <v>27418.100000000009</v>
      </c>
      <c r="O106" s="553">
        <f t="shared" si="30"/>
        <v>11277.924679487178</v>
      </c>
      <c r="P106" s="553">
        <f t="shared" si="30"/>
        <v>5187.2003472222214</v>
      </c>
      <c r="Q106" s="553">
        <f t="shared" si="30"/>
        <v>1777.5790371260682</v>
      </c>
      <c r="R106" s="554">
        <f t="shared" si="30"/>
        <v>769.49580068850901</v>
      </c>
    </row>
    <row r="107" spans="1:18" s="629" customFormat="1" ht="15" customHeight="1">
      <c r="A107" s="1124"/>
      <c r="B107" s="1146"/>
      <c r="C107" s="1146"/>
      <c r="D107" s="549">
        <v>5</v>
      </c>
      <c r="E107" s="550"/>
      <c r="F107" s="548"/>
      <c r="G107" s="620"/>
      <c r="H107" s="620">
        <v>1.7</v>
      </c>
      <c r="I107" s="620">
        <v>1.56</v>
      </c>
      <c r="J107" s="620">
        <v>1.7</v>
      </c>
      <c r="K107" s="620"/>
      <c r="L107" s="628"/>
      <c r="M107" s="553">
        <f t="shared" si="30"/>
        <v>0</v>
      </c>
      <c r="N107" s="553">
        <f t="shared" si="30"/>
        <v>35854.43846153847</v>
      </c>
      <c r="O107" s="553">
        <f t="shared" si="30"/>
        <v>14074.849999999999</v>
      </c>
      <c r="P107" s="553">
        <f t="shared" si="30"/>
        <v>6783.2619925213658</v>
      </c>
      <c r="Q107" s="553">
        <f t="shared" si="30"/>
        <v>0</v>
      </c>
      <c r="R107" s="554">
        <f t="shared" si="30"/>
        <v>0</v>
      </c>
    </row>
    <row r="108" spans="1:18" s="629" customFormat="1" ht="41.25" customHeight="1">
      <c r="A108" s="558"/>
      <c r="B108" s="1127" t="s">
        <v>402</v>
      </c>
      <c r="C108" s="1127"/>
      <c r="D108" s="1127"/>
      <c r="E108" s="1127"/>
      <c r="F108" s="1127"/>
      <c r="G108" s="1127"/>
      <c r="H108" s="1127"/>
      <c r="I108" s="1127"/>
      <c r="J108" s="1127"/>
      <c r="K108" s="1127"/>
      <c r="L108" s="1127"/>
      <c r="M108" s="1127"/>
      <c r="N108" s="1127"/>
      <c r="O108" s="1127"/>
      <c r="P108" s="1127"/>
      <c r="Q108" s="1127"/>
      <c r="R108" s="1144"/>
    </row>
    <row r="109" spans="1:18" s="629" customFormat="1">
      <c r="A109" s="547"/>
      <c r="B109" s="634"/>
      <c r="C109" s="549"/>
      <c r="D109" s="549"/>
      <c r="E109" s="550"/>
      <c r="F109" s="548"/>
      <c r="G109" s="635"/>
      <c r="H109" s="635"/>
      <c r="I109" s="635"/>
      <c r="J109" s="635"/>
      <c r="K109" s="635"/>
      <c r="L109" s="636"/>
      <c r="M109" s="553"/>
      <c r="N109" s="553"/>
      <c r="O109" s="553"/>
      <c r="P109" s="553"/>
      <c r="Q109" s="553"/>
      <c r="R109" s="554"/>
    </row>
    <row r="110" spans="1:18" s="577" customFormat="1">
      <c r="A110" s="555">
        <v>2</v>
      </c>
      <c r="B110" s="637" t="s">
        <v>65</v>
      </c>
      <c r="C110" s="549"/>
      <c r="D110" s="549"/>
      <c r="E110" s="550"/>
      <c r="F110" s="549"/>
      <c r="G110" s="614"/>
      <c r="H110" s="614"/>
      <c r="I110" s="614"/>
      <c r="J110" s="638"/>
      <c r="K110" s="638"/>
      <c r="L110" s="620"/>
      <c r="M110" s="549"/>
      <c r="N110" s="549"/>
      <c r="O110" s="549"/>
      <c r="P110" s="639"/>
      <c r="Q110" s="633"/>
      <c r="R110" s="618"/>
    </row>
    <row r="111" spans="1:18" s="577" customFormat="1">
      <c r="A111" s="555" t="s">
        <v>27</v>
      </c>
      <c r="B111" s="548" t="str">
        <f>L_CViec!B23</f>
        <v>Biên tập bản đồ địa chính</v>
      </c>
      <c r="C111" s="549"/>
      <c r="D111" s="549"/>
      <c r="E111" s="550"/>
      <c r="F111" s="549"/>
      <c r="G111" s="614"/>
      <c r="H111" s="614"/>
      <c r="I111" s="614"/>
      <c r="J111" s="638"/>
      <c r="K111" s="638"/>
      <c r="L111" s="620"/>
      <c r="M111" s="549"/>
      <c r="N111" s="549"/>
      <c r="O111" s="549"/>
      <c r="P111" s="639"/>
      <c r="Q111" s="633"/>
      <c r="R111" s="618"/>
    </row>
    <row r="112" spans="1:18" ht="15.75" customHeight="1">
      <c r="A112" s="539">
        <v>1</v>
      </c>
      <c r="B112" s="640" t="s">
        <v>106</v>
      </c>
      <c r="C112" s="541" t="s">
        <v>94</v>
      </c>
      <c r="D112" s="541">
        <v>9</v>
      </c>
      <c r="E112" s="619">
        <f>VLOOKUP(B112,GiaVL!$B$4:'GiaVL'!$D$185,3,0)</f>
        <v>210000</v>
      </c>
      <c r="F112" s="542">
        <f t="shared" ref="F112:F120" si="31">E112/D112/26</f>
        <v>897.43589743589735</v>
      </c>
      <c r="G112" s="628">
        <v>4.58</v>
      </c>
      <c r="H112" s="628">
        <v>10.61</v>
      </c>
      <c r="I112" s="628">
        <v>19.899999999999999</v>
      </c>
      <c r="J112" s="641">
        <v>41.6</v>
      </c>
      <c r="K112" s="641">
        <v>64.88</v>
      </c>
      <c r="L112" s="628">
        <v>97.32</v>
      </c>
      <c r="M112" s="639">
        <f t="shared" ref="M112:M121" si="32">$F112*G112</f>
        <v>4110.2564102564102</v>
      </c>
      <c r="N112" s="639">
        <f t="shared" ref="N112:N121" si="33">$F112*H112</f>
        <v>9521.7948717948711</v>
      </c>
      <c r="O112" s="639">
        <f t="shared" ref="O112:O121" si="34">$F112*I112</f>
        <v>17858.974358974356</v>
      </c>
      <c r="P112" s="639">
        <f t="shared" ref="P112:P121" si="35">$F112*J112</f>
        <v>37333.333333333328</v>
      </c>
      <c r="Q112" s="639">
        <f>$F112*K112</f>
        <v>58225.641025641016</v>
      </c>
      <c r="R112" s="642">
        <f>$F112*L112</f>
        <v>87338.461538461517</v>
      </c>
    </row>
    <row r="113" spans="1:18" ht="15.75" customHeight="1">
      <c r="A113" s="539">
        <v>2</v>
      </c>
      <c r="B113" s="540" t="s">
        <v>115</v>
      </c>
      <c r="C113" s="541" t="s">
        <v>91</v>
      </c>
      <c r="D113" s="541">
        <v>48</v>
      </c>
      <c r="E113" s="619">
        <f>VLOOKUP(B113,GiaVL!$B$4:'GiaVL'!$D$185,3,0)</f>
        <v>350000</v>
      </c>
      <c r="F113" s="542">
        <f t="shared" si="31"/>
        <v>280.44871794871796</v>
      </c>
      <c r="G113" s="628">
        <v>2.29</v>
      </c>
      <c r="H113" s="628">
        <v>5.3</v>
      </c>
      <c r="I113" s="628">
        <v>9.9499999999999993</v>
      </c>
      <c r="J113" s="641">
        <v>20.8</v>
      </c>
      <c r="K113" s="641">
        <v>32.44</v>
      </c>
      <c r="L113" s="628">
        <v>48.66</v>
      </c>
      <c r="M113" s="639">
        <f t="shared" si="32"/>
        <v>642.22756410256409</v>
      </c>
      <c r="N113" s="639">
        <f t="shared" si="33"/>
        <v>1486.3782051282051</v>
      </c>
      <c r="O113" s="639">
        <f t="shared" si="34"/>
        <v>2790.4647435897436</v>
      </c>
      <c r="P113" s="639">
        <f t="shared" si="35"/>
        <v>5833.3333333333339</v>
      </c>
      <c r="Q113" s="639">
        <f t="shared" ref="Q113:Q121" si="36">$F113*K113</f>
        <v>9097.7564102564102</v>
      </c>
      <c r="R113" s="642">
        <f t="shared" ref="R113:R121" si="37">$F113*L113</f>
        <v>13646.634615384615</v>
      </c>
    </row>
    <row r="114" spans="1:18" ht="15.75" customHeight="1">
      <c r="A114" s="539">
        <v>3</v>
      </c>
      <c r="B114" s="640" t="s">
        <v>104</v>
      </c>
      <c r="C114" s="541" t="s">
        <v>91</v>
      </c>
      <c r="D114" s="541">
        <v>24</v>
      </c>
      <c r="E114" s="619">
        <f>VLOOKUP(B114,GiaVL!$B$4:'GiaVL'!$D$185,3,0)</f>
        <v>100000</v>
      </c>
      <c r="F114" s="542">
        <f>E114/D114/26</f>
        <v>160.25641025641028</v>
      </c>
      <c r="G114" s="628">
        <v>2.29</v>
      </c>
      <c r="H114" s="628">
        <v>5.3</v>
      </c>
      <c r="I114" s="628">
        <v>9.9499999999999993</v>
      </c>
      <c r="J114" s="641">
        <v>20.8</v>
      </c>
      <c r="K114" s="641">
        <v>32.44</v>
      </c>
      <c r="L114" s="628">
        <v>48.66</v>
      </c>
      <c r="M114" s="639">
        <f t="shared" si="32"/>
        <v>366.98717948717956</v>
      </c>
      <c r="N114" s="639">
        <f t="shared" si="33"/>
        <v>849.35897435897448</v>
      </c>
      <c r="O114" s="639">
        <f t="shared" si="34"/>
        <v>1594.5512820512822</v>
      </c>
      <c r="P114" s="639">
        <f t="shared" si="35"/>
        <v>3333.3333333333339</v>
      </c>
      <c r="Q114" s="639">
        <f t="shared" si="36"/>
        <v>5198.7179487179492</v>
      </c>
      <c r="R114" s="642">
        <f t="shared" si="37"/>
        <v>7798.0769230769238</v>
      </c>
    </row>
    <row r="115" spans="1:18" ht="15.75" customHeight="1">
      <c r="A115" s="539">
        <v>4</v>
      </c>
      <c r="B115" s="640" t="s">
        <v>114</v>
      </c>
      <c r="C115" s="541" t="s">
        <v>91</v>
      </c>
      <c r="D115" s="541">
        <v>12</v>
      </c>
      <c r="E115" s="619">
        <f>VLOOKUP(B115,GiaVL!$B$4:'GiaVL'!$D$185,3,0)</f>
        <v>15000</v>
      </c>
      <c r="F115" s="542">
        <f t="shared" si="31"/>
        <v>48.07692307692308</v>
      </c>
      <c r="G115" s="628">
        <v>2.29</v>
      </c>
      <c r="H115" s="628">
        <v>5.3</v>
      </c>
      <c r="I115" s="628">
        <v>9.9499999999999993</v>
      </c>
      <c r="J115" s="641">
        <v>20.8</v>
      </c>
      <c r="K115" s="641">
        <v>32.44</v>
      </c>
      <c r="L115" s="628">
        <v>48.66</v>
      </c>
      <c r="M115" s="639">
        <f t="shared" si="32"/>
        <v>110.09615384615385</v>
      </c>
      <c r="N115" s="639">
        <f t="shared" si="33"/>
        <v>254.80769230769232</v>
      </c>
      <c r="O115" s="639">
        <f t="shared" si="34"/>
        <v>478.36538461538464</v>
      </c>
      <c r="P115" s="639">
        <f t="shared" si="35"/>
        <v>1000.0000000000001</v>
      </c>
      <c r="Q115" s="639">
        <f t="shared" si="36"/>
        <v>1559.6153846153845</v>
      </c>
      <c r="R115" s="642">
        <f t="shared" si="37"/>
        <v>2339.4230769230771</v>
      </c>
    </row>
    <row r="116" spans="1:18" ht="15.75" customHeight="1">
      <c r="A116" s="539">
        <v>5</v>
      </c>
      <c r="B116" s="431" t="s">
        <v>638</v>
      </c>
      <c r="C116" s="541" t="s">
        <v>91</v>
      </c>
      <c r="D116" s="541">
        <v>60</v>
      </c>
      <c r="E116" s="619">
        <f>VLOOKUP(B116,GiaVL!$B$4:'GiaVL'!$D$185,3,0)</f>
        <v>2000000</v>
      </c>
      <c r="F116" s="542">
        <f t="shared" si="31"/>
        <v>1282.0512820512822</v>
      </c>
      <c r="G116" s="628">
        <v>0.08</v>
      </c>
      <c r="H116" s="628">
        <v>0.2</v>
      </c>
      <c r="I116" s="628">
        <v>0.37</v>
      </c>
      <c r="J116" s="641">
        <v>1.02</v>
      </c>
      <c r="K116" s="641">
        <v>1.53</v>
      </c>
      <c r="L116" s="628">
        <v>2.29</v>
      </c>
      <c r="M116" s="639">
        <f t="shared" si="32"/>
        <v>102.56410256410258</v>
      </c>
      <c r="N116" s="639">
        <f t="shared" si="33"/>
        <v>256.41025641025647</v>
      </c>
      <c r="O116" s="639">
        <f t="shared" si="34"/>
        <v>474.35897435897442</v>
      </c>
      <c r="P116" s="639">
        <f t="shared" si="35"/>
        <v>1307.6923076923078</v>
      </c>
      <c r="Q116" s="639">
        <f t="shared" si="36"/>
        <v>1961.5384615384619</v>
      </c>
      <c r="R116" s="642">
        <f t="shared" si="37"/>
        <v>2935.8974358974365</v>
      </c>
    </row>
    <row r="117" spans="1:18" ht="15.75" customHeight="1">
      <c r="A117" s="539">
        <v>6</v>
      </c>
      <c r="B117" s="540" t="s">
        <v>225</v>
      </c>
      <c r="C117" s="541" t="s">
        <v>226</v>
      </c>
      <c r="D117" s="541">
        <v>60</v>
      </c>
      <c r="E117" s="619">
        <f>VLOOKUP(B117,GiaVL!$B$4:'GiaVL'!$D$185,3,0)</f>
        <v>2400000</v>
      </c>
      <c r="F117" s="542">
        <f t="shared" si="31"/>
        <v>1538.4615384615386</v>
      </c>
      <c r="G117" s="628">
        <v>0.08</v>
      </c>
      <c r="H117" s="628">
        <v>0.2</v>
      </c>
      <c r="I117" s="628">
        <v>0.37</v>
      </c>
      <c r="J117" s="641">
        <v>1.02</v>
      </c>
      <c r="K117" s="641">
        <v>1.53</v>
      </c>
      <c r="L117" s="628">
        <v>2.29</v>
      </c>
      <c r="M117" s="639">
        <f t="shared" si="32"/>
        <v>123.07692307692309</v>
      </c>
      <c r="N117" s="639">
        <f t="shared" si="33"/>
        <v>307.69230769230774</v>
      </c>
      <c r="O117" s="639">
        <f t="shared" si="34"/>
        <v>569.23076923076928</v>
      </c>
      <c r="P117" s="639">
        <f t="shared" si="35"/>
        <v>1569.2307692307693</v>
      </c>
      <c r="Q117" s="639">
        <f t="shared" si="36"/>
        <v>2353.8461538461543</v>
      </c>
      <c r="R117" s="642">
        <f t="shared" si="37"/>
        <v>3523.0769230769233</v>
      </c>
    </row>
    <row r="118" spans="1:18" ht="15.75" customHeight="1">
      <c r="A118" s="539">
        <v>7</v>
      </c>
      <c r="B118" s="540" t="s">
        <v>156</v>
      </c>
      <c r="C118" s="541" t="s">
        <v>91</v>
      </c>
      <c r="D118" s="541">
        <v>4</v>
      </c>
      <c r="E118" s="619">
        <f>VLOOKUP(B118,GiaVL!$B$4:'GiaVL'!$D$185,3,0)</f>
        <v>87000</v>
      </c>
      <c r="F118" s="542">
        <f t="shared" si="31"/>
        <v>836.53846153846155</v>
      </c>
      <c r="G118" s="628">
        <v>0.34</v>
      </c>
      <c r="H118" s="628">
        <v>0.8</v>
      </c>
      <c r="I118" s="628">
        <v>1.47</v>
      </c>
      <c r="J118" s="641">
        <v>4.08</v>
      </c>
      <c r="K118" s="641">
        <v>6.12</v>
      </c>
      <c r="L118" s="628">
        <v>9.18</v>
      </c>
      <c r="M118" s="639">
        <f t="shared" si="32"/>
        <v>284.42307692307696</v>
      </c>
      <c r="N118" s="639">
        <f t="shared" si="33"/>
        <v>669.23076923076928</v>
      </c>
      <c r="O118" s="639">
        <f t="shared" si="34"/>
        <v>1229.7115384615383</v>
      </c>
      <c r="P118" s="639">
        <f t="shared" si="35"/>
        <v>3413.0769230769233</v>
      </c>
      <c r="Q118" s="639">
        <f t="shared" si="36"/>
        <v>5119.6153846153848</v>
      </c>
      <c r="R118" s="642">
        <f t="shared" si="37"/>
        <v>7679.4230769230771</v>
      </c>
    </row>
    <row r="119" spans="1:18" ht="15.75" customHeight="1">
      <c r="A119" s="539">
        <v>8</v>
      </c>
      <c r="B119" s="540" t="s">
        <v>227</v>
      </c>
      <c r="C119" s="541" t="s">
        <v>91</v>
      </c>
      <c r="D119" s="541">
        <v>24</v>
      </c>
      <c r="E119" s="619">
        <f>VLOOKUP(B119,GiaVL!$B$4:'GiaVL'!$D$185,3,0)</f>
        <v>93000</v>
      </c>
      <c r="F119" s="542">
        <f t="shared" si="31"/>
        <v>149.03846153846155</v>
      </c>
      <c r="G119" s="628">
        <v>0.17</v>
      </c>
      <c r="H119" s="628">
        <v>0.4</v>
      </c>
      <c r="I119" s="628">
        <v>0.73</v>
      </c>
      <c r="J119" s="641">
        <v>2.04</v>
      </c>
      <c r="K119" s="641">
        <v>3.06</v>
      </c>
      <c r="L119" s="628">
        <v>4.59</v>
      </c>
      <c r="M119" s="639">
        <f t="shared" si="32"/>
        <v>25.336538461538463</v>
      </c>
      <c r="N119" s="639">
        <f t="shared" si="33"/>
        <v>59.61538461538462</v>
      </c>
      <c r="O119" s="639">
        <f t="shared" si="34"/>
        <v>108.79807692307692</v>
      </c>
      <c r="P119" s="639">
        <f t="shared" si="35"/>
        <v>304.03846153846155</v>
      </c>
      <c r="Q119" s="639">
        <f t="shared" si="36"/>
        <v>456.05769230769232</v>
      </c>
      <c r="R119" s="642">
        <f t="shared" si="37"/>
        <v>684.08653846153845</v>
      </c>
    </row>
    <row r="120" spans="1:18" ht="15.75" customHeight="1">
      <c r="A120" s="539">
        <v>9</v>
      </c>
      <c r="B120" s="540" t="s">
        <v>228</v>
      </c>
      <c r="C120" s="541" t="s">
        <v>91</v>
      </c>
      <c r="D120" s="541">
        <v>36</v>
      </c>
      <c r="E120" s="619">
        <f>VLOOKUP(B120,GiaVL!$B$4:'GiaVL'!$D$185,3,0)</f>
        <v>175000</v>
      </c>
      <c r="F120" s="542">
        <f t="shared" si="31"/>
        <v>186.96581196581198</v>
      </c>
      <c r="G120" s="628">
        <v>2.29</v>
      </c>
      <c r="H120" s="628">
        <v>5.3</v>
      </c>
      <c r="I120" s="628">
        <v>9.5</v>
      </c>
      <c r="J120" s="641">
        <v>20.8</v>
      </c>
      <c r="K120" s="641">
        <v>32.44</v>
      </c>
      <c r="L120" s="628">
        <v>48.66</v>
      </c>
      <c r="M120" s="639">
        <f t="shared" si="32"/>
        <v>428.15170940170947</v>
      </c>
      <c r="N120" s="639">
        <f t="shared" si="33"/>
        <v>990.91880341880346</v>
      </c>
      <c r="O120" s="639">
        <f t="shared" si="34"/>
        <v>1776.1752136752139</v>
      </c>
      <c r="P120" s="639">
        <f t="shared" si="35"/>
        <v>3888.8888888888891</v>
      </c>
      <c r="Q120" s="639">
        <f t="shared" si="36"/>
        <v>6065.1709401709404</v>
      </c>
      <c r="R120" s="642">
        <f t="shared" si="37"/>
        <v>9097.7564102564102</v>
      </c>
    </row>
    <row r="121" spans="1:18" ht="15.75" customHeight="1">
      <c r="A121" s="539">
        <v>10</v>
      </c>
      <c r="B121" s="540" t="s">
        <v>612</v>
      </c>
      <c r="C121" s="541" t="s">
        <v>26</v>
      </c>
      <c r="D121" s="643"/>
      <c r="E121" s="619">
        <f>VLOOKUP(B121,GiaVL!$B$4:'GiaVL'!$D$185,3,0)</f>
        <v>2226</v>
      </c>
      <c r="F121" s="644">
        <f>E121</f>
        <v>2226</v>
      </c>
      <c r="G121" s="628">
        <v>1.92</v>
      </c>
      <c r="H121" s="628">
        <v>4.45</v>
      </c>
      <c r="I121" s="628">
        <v>7.98</v>
      </c>
      <c r="J121" s="641">
        <v>15.14</v>
      </c>
      <c r="K121" s="641">
        <v>27.25</v>
      </c>
      <c r="L121" s="628">
        <v>40.869999999999997</v>
      </c>
      <c r="M121" s="639">
        <f t="shared" si="32"/>
        <v>4273.92</v>
      </c>
      <c r="N121" s="639">
        <f t="shared" si="33"/>
        <v>9905.7000000000007</v>
      </c>
      <c r="O121" s="639">
        <f t="shared" si="34"/>
        <v>17763.48</v>
      </c>
      <c r="P121" s="639">
        <f t="shared" si="35"/>
        <v>33701.64</v>
      </c>
      <c r="Q121" s="639">
        <f t="shared" si="36"/>
        <v>60658.5</v>
      </c>
      <c r="R121" s="642">
        <f t="shared" si="37"/>
        <v>90976.62</v>
      </c>
    </row>
    <row r="122" spans="1:18" ht="15.75" customHeight="1">
      <c r="A122" s="547"/>
      <c r="B122" s="548" t="s">
        <v>519</v>
      </c>
      <c r="C122" s="549"/>
      <c r="D122" s="549"/>
      <c r="E122" s="550"/>
      <c r="F122" s="548"/>
      <c r="G122" s="645"/>
      <c r="H122" s="645"/>
      <c r="I122" s="645"/>
      <c r="J122" s="645"/>
      <c r="K122" s="645"/>
      <c r="L122" s="615"/>
      <c r="M122" s="552">
        <f>SUM(M112:M120)+M121</f>
        <v>10467.039658119658</v>
      </c>
      <c r="N122" s="552">
        <f>(SUM(N112:N120)+N121)/6.25</f>
        <v>3888.3051623931619</v>
      </c>
      <c r="O122" s="552">
        <f>(SUM(O112:O120)+O121)/25</f>
        <v>1785.7644136752135</v>
      </c>
      <c r="P122" s="552">
        <f>(SUM(P112:P120)+P121)/100</f>
        <v>916.84567350427346</v>
      </c>
      <c r="Q122" s="552">
        <f>(SUM(Q112:Q120)+Q121)/900</f>
        <v>167.44051044634378</v>
      </c>
      <c r="R122" s="568">
        <f>(SUM(R112:R120)+R121)/3600</f>
        <v>62.783182371794858</v>
      </c>
    </row>
    <row r="123" spans="1:18" s="629" customFormat="1" ht="15" customHeight="1">
      <c r="A123" s="1124" t="s">
        <v>27</v>
      </c>
      <c r="B123" s="1116" t="str">
        <f>B111</f>
        <v>Biên tập bản đồ địa chính</v>
      </c>
      <c r="C123" s="1116"/>
      <c r="D123" s="549">
        <v>1</v>
      </c>
      <c r="E123" s="550"/>
      <c r="F123" s="548"/>
      <c r="G123" s="620">
        <v>0.7</v>
      </c>
      <c r="H123" s="620">
        <v>0.7</v>
      </c>
      <c r="I123" s="630">
        <v>0.64</v>
      </c>
      <c r="J123" s="628">
        <v>0.6</v>
      </c>
      <c r="K123" s="628">
        <v>0.55000000000000004</v>
      </c>
      <c r="L123" s="628">
        <v>0.65</v>
      </c>
      <c r="M123" s="646">
        <f t="shared" ref="M123:R123" si="38">G123*M$122</f>
        <v>7326.9277606837604</v>
      </c>
      <c r="N123" s="646">
        <f>H123*N$122</f>
        <v>2721.8136136752132</v>
      </c>
      <c r="O123" s="646">
        <f t="shared" si="38"/>
        <v>1142.8892247521367</v>
      </c>
      <c r="P123" s="646">
        <f t="shared" si="38"/>
        <v>550.10740410256403</v>
      </c>
      <c r="Q123" s="646">
        <f t="shared" si="38"/>
        <v>92.092280745489091</v>
      </c>
      <c r="R123" s="647">
        <f t="shared" si="38"/>
        <v>40.809068541666662</v>
      </c>
    </row>
    <row r="124" spans="1:18" s="629" customFormat="1" ht="15" customHeight="1">
      <c r="A124" s="1124"/>
      <c r="B124" s="1116"/>
      <c r="C124" s="1116"/>
      <c r="D124" s="549">
        <v>2</v>
      </c>
      <c r="E124" s="550"/>
      <c r="F124" s="548"/>
      <c r="G124" s="630">
        <v>0.85</v>
      </c>
      <c r="H124" s="630">
        <v>0.85</v>
      </c>
      <c r="I124" s="620">
        <v>0.8</v>
      </c>
      <c r="J124" s="628">
        <v>0.77</v>
      </c>
      <c r="K124" s="628">
        <v>0.74</v>
      </c>
      <c r="L124" s="628">
        <v>0.8</v>
      </c>
      <c r="M124" s="646">
        <f t="shared" ref="M124:P127" si="39">G124*M$122</f>
        <v>8896.9837094017093</v>
      </c>
      <c r="N124" s="646">
        <f t="shared" si="39"/>
        <v>3305.0593880341876</v>
      </c>
      <c r="O124" s="646">
        <f t="shared" si="39"/>
        <v>1428.611530940171</v>
      </c>
      <c r="P124" s="646">
        <f t="shared" si="39"/>
        <v>705.97116859829055</v>
      </c>
      <c r="Q124" s="646">
        <f t="shared" ref="Q124:Q129" si="40">K124*Q$122</f>
        <v>123.9059777302944</v>
      </c>
      <c r="R124" s="647">
        <f t="shared" ref="R124:R129" si="41">L124*R$122</f>
        <v>50.226545897435891</v>
      </c>
    </row>
    <row r="125" spans="1:18" s="629" customFormat="1" ht="15" customHeight="1">
      <c r="A125" s="1124"/>
      <c r="B125" s="1116"/>
      <c r="C125" s="1116"/>
      <c r="D125" s="549">
        <v>3</v>
      </c>
      <c r="E125" s="550"/>
      <c r="F125" s="548"/>
      <c r="G125" s="631">
        <v>1</v>
      </c>
      <c r="H125" s="631">
        <v>1</v>
      </c>
      <c r="I125" s="631">
        <v>1</v>
      </c>
      <c r="J125" s="632">
        <v>1</v>
      </c>
      <c r="K125" s="632">
        <v>1</v>
      </c>
      <c r="L125" s="632">
        <v>1</v>
      </c>
      <c r="M125" s="646">
        <f t="shared" si="39"/>
        <v>10467.039658119658</v>
      </c>
      <c r="N125" s="646">
        <f t="shared" si="39"/>
        <v>3888.3051623931619</v>
      </c>
      <c r="O125" s="646">
        <f t="shared" si="39"/>
        <v>1785.7644136752135</v>
      </c>
      <c r="P125" s="646">
        <f t="shared" si="39"/>
        <v>916.84567350427346</v>
      </c>
      <c r="Q125" s="646">
        <f t="shared" si="40"/>
        <v>167.44051044634378</v>
      </c>
      <c r="R125" s="647">
        <f t="shared" si="41"/>
        <v>62.783182371794858</v>
      </c>
    </row>
    <row r="126" spans="1:18" s="629" customFormat="1" ht="15" customHeight="1">
      <c r="A126" s="1124"/>
      <c r="B126" s="1116"/>
      <c r="C126" s="1116"/>
      <c r="D126" s="549">
        <v>4</v>
      </c>
      <c r="E126" s="550"/>
      <c r="F126" s="548"/>
      <c r="G126" s="630">
        <v>1.25</v>
      </c>
      <c r="H126" s="620">
        <v>1.2</v>
      </c>
      <c r="I126" s="620">
        <v>1.25</v>
      </c>
      <c r="J126" s="628">
        <v>0.74</v>
      </c>
      <c r="K126" s="628">
        <v>1.35</v>
      </c>
      <c r="L126" s="628">
        <v>1.4</v>
      </c>
      <c r="M126" s="646">
        <f t="shared" si="39"/>
        <v>13083.799572649572</v>
      </c>
      <c r="N126" s="646">
        <f t="shared" si="39"/>
        <v>4665.966194871794</v>
      </c>
      <c r="O126" s="646">
        <f t="shared" si="39"/>
        <v>2232.2055170940171</v>
      </c>
      <c r="P126" s="646">
        <f t="shared" si="39"/>
        <v>678.46579839316234</v>
      </c>
      <c r="Q126" s="646">
        <f t="shared" si="40"/>
        <v>226.04468910256412</v>
      </c>
      <c r="R126" s="647">
        <f t="shared" si="41"/>
        <v>87.8964553205128</v>
      </c>
    </row>
    <row r="127" spans="1:18" s="629" customFormat="1" ht="15" customHeight="1">
      <c r="A127" s="1124"/>
      <c r="B127" s="1116"/>
      <c r="C127" s="1116"/>
      <c r="D127" s="549">
        <v>5</v>
      </c>
      <c r="E127" s="550"/>
      <c r="F127" s="548"/>
      <c r="G127" s="630"/>
      <c r="H127" s="630">
        <v>1.45</v>
      </c>
      <c r="I127" s="620">
        <v>1.56</v>
      </c>
      <c r="J127" s="628">
        <v>1</v>
      </c>
      <c r="K127" s="628"/>
      <c r="L127" s="628"/>
      <c r="M127" s="646">
        <f t="shared" si="39"/>
        <v>0</v>
      </c>
      <c r="N127" s="646">
        <f t="shared" si="39"/>
        <v>5638.042485470085</v>
      </c>
      <c r="O127" s="646">
        <f t="shared" si="39"/>
        <v>2785.7924853333334</v>
      </c>
      <c r="P127" s="646">
        <f t="shared" si="39"/>
        <v>916.84567350427346</v>
      </c>
      <c r="Q127" s="646">
        <f t="shared" si="40"/>
        <v>0</v>
      </c>
      <c r="R127" s="647">
        <f t="shared" si="41"/>
        <v>0</v>
      </c>
    </row>
    <row r="128" spans="1:18" s="629" customFormat="1" ht="28.5" customHeight="1">
      <c r="A128" s="547"/>
      <c r="B128" s="1118" t="s">
        <v>405</v>
      </c>
      <c r="C128" s="1118"/>
      <c r="D128" s="1118"/>
      <c r="E128" s="1118"/>
      <c r="F128" s="1118"/>
      <c r="G128" s="1118"/>
      <c r="H128" s="1118"/>
      <c r="I128" s="1118"/>
      <c r="J128" s="1118"/>
      <c r="K128" s="1118"/>
      <c r="L128" s="1118"/>
      <c r="M128" s="1118"/>
      <c r="N128" s="1118"/>
      <c r="O128" s="1118"/>
      <c r="P128" s="1118"/>
      <c r="Q128" s="1118"/>
      <c r="R128" s="1119"/>
    </row>
    <row r="129" spans="1:18" s="648" customFormat="1">
      <c r="A129" s="547"/>
      <c r="B129" s="548"/>
      <c r="C129" s="549"/>
      <c r="D129" s="549"/>
      <c r="E129" s="550"/>
      <c r="F129" s="548"/>
      <c r="G129" s="630"/>
      <c r="H129" s="630"/>
      <c r="I129" s="620"/>
      <c r="J129" s="628"/>
      <c r="K129" s="628"/>
      <c r="L129" s="628"/>
      <c r="M129" s="646"/>
      <c r="N129" s="646"/>
      <c r="O129" s="646"/>
      <c r="P129" s="646"/>
      <c r="Q129" s="646">
        <f t="shared" si="40"/>
        <v>0</v>
      </c>
      <c r="R129" s="647">
        <f t="shared" si="41"/>
        <v>0</v>
      </c>
    </row>
    <row r="130" spans="1:18" s="648" customFormat="1" ht="26">
      <c r="A130" s="555" t="s">
        <v>28</v>
      </c>
      <c r="B130" s="649" t="s">
        <v>536</v>
      </c>
      <c r="C130" s="549"/>
      <c r="D130" s="549"/>
      <c r="E130" s="550"/>
      <c r="F130" s="548"/>
      <c r="G130" s="630">
        <v>0.35</v>
      </c>
      <c r="H130" s="630">
        <v>0.7</v>
      </c>
      <c r="I130" s="630">
        <v>0.56999999999999995</v>
      </c>
      <c r="J130" s="630">
        <v>0.32</v>
      </c>
      <c r="K130" s="630">
        <v>0.38</v>
      </c>
      <c r="L130" s="630">
        <v>0.44</v>
      </c>
      <c r="M130" s="553">
        <f t="shared" ref="M130:R130" si="42">G130*M125</f>
        <v>3663.4638803418802</v>
      </c>
      <c r="N130" s="553">
        <f t="shared" si="42"/>
        <v>2721.8136136752132</v>
      </c>
      <c r="O130" s="553">
        <f t="shared" si="42"/>
        <v>1017.8857157948717</v>
      </c>
      <c r="P130" s="553">
        <f t="shared" si="42"/>
        <v>293.39061552136752</v>
      </c>
      <c r="Q130" s="553">
        <f t="shared" si="42"/>
        <v>63.627393969610637</v>
      </c>
      <c r="R130" s="554">
        <f t="shared" si="42"/>
        <v>27.624600243589736</v>
      </c>
    </row>
    <row r="131" spans="1:18" s="629" customFormat="1">
      <c r="A131" s="547"/>
      <c r="B131" s="548"/>
      <c r="C131" s="549"/>
      <c r="D131" s="549"/>
      <c r="E131" s="550"/>
      <c r="F131" s="548"/>
      <c r="G131" s="645"/>
      <c r="H131" s="645"/>
      <c r="I131" s="645"/>
      <c r="J131" s="650"/>
      <c r="K131" s="650"/>
      <c r="L131" s="650"/>
      <c r="M131" s="553"/>
      <c r="N131" s="646"/>
      <c r="O131" s="553"/>
      <c r="P131" s="553"/>
      <c r="Q131" s="553"/>
      <c r="R131" s="651"/>
    </row>
    <row r="132" spans="1:18" s="577" customFormat="1" ht="20.25" customHeight="1">
      <c r="A132" s="555" t="s">
        <v>29</v>
      </c>
      <c r="B132" s="785" t="str">
        <f>L_CViec!B24</f>
        <v>Lập Phiếu xác nhận kết quả đo đạc hiện trạng thửa đất</v>
      </c>
      <c r="C132" s="549"/>
      <c r="D132" s="549"/>
      <c r="E132" s="550"/>
      <c r="F132" s="549"/>
      <c r="G132" s="614"/>
      <c r="H132" s="614"/>
      <c r="I132" s="614"/>
      <c r="J132" s="652"/>
      <c r="K132" s="652"/>
      <c r="L132" s="652"/>
      <c r="M132" s="549"/>
      <c r="N132" s="549"/>
      <c r="O132" s="549"/>
      <c r="P132" s="653"/>
      <c r="Q132" s="639"/>
      <c r="R132" s="618"/>
    </row>
    <row r="133" spans="1:18">
      <c r="A133" s="539">
        <v>1</v>
      </c>
      <c r="B133" s="640" t="s">
        <v>106</v>
      </c>
      <c r="C133" s="541" t="s">
        <v>94</v>
      </c>
      <c r="D133" s="541">
        <v>9</v>
      </c>
      <c r="E133" s="619">
        <f>VLOOKUP(B133,GiaVL!$B$4:'GiaVL'!$D$185,3,0)</f>
        <v>210000</v>
      </c>
      <c r="F133" s="542">
        <f t="shared" ref="F133:F136" si="43">E133/D133/26</f>
        <v>897.43589743589735</v>
      </c>
      <c r="G133" s="628">
        <v>1.38</v>
      </c>
      <c r="H133" s="628">
        <v>6.03</v>
      </c>
      <c r="I133" s="628">
        <v>12</v>
      </c>
      <c r="J133" s="641">
        <v>17.600000000000001</v>
      </c>
      <c r="K133" s="641">
        <v>36.92</v>
      </c>
      <c r="L133" s="628">
        <v>55.38</v>
      </c>
      <c r="M133" s="639">
        <f t="shared" ref="M133:M137" si="44">$F133*G133</f>
        <v>1238.4615384615383</v>
      </c>
      <c r="N133" s="639">
        <f t="shared" ref="N133:N137" si="45">$F133*H133</f>
        <v>5411.538461538461</v>
      </c>
      <c r="O133" s="639">
        <f t="shared" ref="O133:O137" si="46">$F133*I133</f>
        <v>10769.230769230768</v>
      </c>
      <c r="P133" s="639">
        <f>$F133*J133</f>
        <v>15794.871794871795</v>
      </c>
      <c r="Q133" s="639">
        <f>$F133*K133</f>
        <v>33133.333333333328</v>
      </c>
      <c r="R133" s="642">
        <f>$F133*L133</f>
        <v>49700</v>
      </c>
    </row>
    <row r="134" spans="1:18">
      <c r="A134" s="539">
        <v>2</v>
      </c>
      <c r="B134" s="540" t="s">
        <v>115</v>
      </c>
      <c r="C134" s="541" t="s">
        <v>91</v>
      </c>
      <c r="D134" s="541">
        <v>48</v>
      </c>
      <c r="E134" s="619">
        <f>VLOOKUP(B134,GiaVL!$B$4:'GiaVL'!$D$185,3,0)</f>
        <v>350000</v>
      </c>
      <c r="F134" s="542">
        <f t="shared" si="43"/>
        <v>280.44871794871796</v>
      </c>
      <c r="G134" s="628">
        <v>1.38</v>
      </c>
      <c r="H134" s="628">
        <v>6.03</v>
      </c>
      <c r="I134" s="628">
        <v>12</v>
      </c>
      <c r="J134" s="641">
        <v>17.600000000000001</v>
      </c>
      <c r="K134" s="641">
        <v>36.92</v>
      </c>
      <c r="L134" s="628">
        <v>55.38</v>
      </c>
      <c r="M134" s="639">
        <f t="shared" si="44"/>
        <v>387.01923076923077</v>
      </c>
      <c r="N134" s="639">
        <f t="shared" si="45"/>
        <v>1691.1057692307693</v>
      </c>
      <c r="O134" s="639">
        <f t="shared" si="46"/>
        <v>3365.3846153846152</v>
      </c>
      <c r="P134" s="639">
        <f t="shared" ref="P134:P137" si="47">$F134*J134</f>
        <v>4935.8974358974365</v>
      </c>
      <c r="Q134" s="639">
        <f t="shared" ref="Q134:Q137" si="48">$F134*K134</f>
        <v>10354.166666666668</v>
      </c>
      <c r="R134" s="642">
        <f t="shared" ref="R134:R137" si="49">$F134*L134</f>
        <v>15531.250000000002</v>
      </c>
    </row>
    <row r="135" spans="1:18">
      <c r="A135" s="539">
        <v>3</v>
      </c>
      <c r="B135" s="640" t="s">
        <v>104</v>
      </c>
      <c r="C135" s="541" t="s">
        <v>91</v>
      </c>
      <c r="D135" s="541">
        <v>24</v>
      </c>
      <c r="E135" s="619">
        <f>VLOOKUP(B135,GiaVL!$B$4:'GiaVL'!$D$185,3,0)</f>
        <v>100000</v>
      </c>
      <c r="F135" s="542">
        <f t="shared" si="43"/>
        <v>160.25641025641028</v>
      </c>
      <c r="G135" s="628">
        <v>1.38</v>
      </c>
      <c r="H135" s="628">
        <v>6.03</v>
      </c>
      <c r="I135" s="628">
        <v>12</v>
      </c>
      <c r="J135" s="641">
        <v>17.600000000000001</v>
      </c>
      <c r="K135" s="641">
        <v>36.92</v>
      </c>
      <c r="L135" s="628">
        <v>55.38</v>
      </c>
      <c r="M135" s="639">
        <f t="shared" si="44"/>
        <v>221.15384615384616</v>
      </c>
      <c r="N135" s="639">
        <f t="shared" si="45"/>
        <v>966.34615384615404</v>
      </c>
      <c r="O135" s="639">
        <f t="shared" si="46"/>
        <v>1923.0769230769233</v>
      </c>
      <c r="P135" s="639">
        <f t="shared" si="47"/>
        <v>2820.5128205128212</v>
      </c>
      <c r="Q135" s="639">
        <f t="shared" si="48"/>
        <v>5916.6666666666679</v>
      </c>
      <c r="R135" s="642">
        <f t="shared" si="49"/>
        <v>8875.0000000000018</v>
      </c>
    </row>
    <row r="136" spans="1:18">
      <c r="A136" s="539">
        <v>4</v>
      </c>
      <c r="B136" s="540" t="s">
        <v>228</v>
      </c>
      <c r="C136" s="541" t="s">
        <v>91</v>
      </c>
      <c r="D136" s="541">
        <v>36</v>
      </c>
      <c r="E136" s="619">
        <f>VLOOKUP(B136,GiaVL!$B$4:'GiaVL'!$D$185,3,0)</f>
        <v>175000</v>
      </c>
      <c r="F136" s="542">
        <f t="shared" si="43"/>
        <v>186.96581196581198</v>
      </c>
      <c r="G136" s="628">
        <v>0.33</v>
      </c>
      <c r="H136" s="628">
        <v>1.74</v>
      </c>
      <c r="I136" s="628">
        <v>5.26</v>
      </c>
      <c r="J136" s="641">
        <v>5.7</v>
      </c>
      <c r="K136" s="641">
        <v>10.36</v>
      </c>
      <c r="L136" s="628">
        <v>15.54</v>
      </c>
      <c r="M136" s="639">
        <f t="shared" si="44"/>
        <v>61.698717948717956</v>
      </c>
      <c r="N136" s="639">
        <f t="shared" si="45"/>
        <v>325.32051282051282</v>
      </c>
      <c r="O136" s="639">
        <f t="shared" si="46"/>
        <v>983.44017094017101</v>
      </c>
      <c r="P136" s="639">
        <f t="shared" si="47"/>
        <v>1065.7051282051284</v>
      </c>
      <c r="Q136" s="639">
        <f t="shared" si="48"/>
        <v>1936.965811965812</v>
      </c>
      <c r="R136" s="642">
        <f t="shared" si="49"/>
        <v>2905.4487179487178</v>
      </c>
    </row>
    <row r="137" spans="1:18">
      <c r="A137" s="539">
        <v>5</v>
      </c>
      <c r="B137" s="540" t="s">
        <v>612</v>
      </c>
      <c r="C137" s="541" t="s">
        <v>117</v>
      </c>
      <c r="D137" s="541"/>
      <c r="E137" s="619">
        <f>VLOOKUP(B137,GiaVL!$B$4:'GiaVL'!$D$185,3,0)</f>
        <v>2226</v>
      </c>
      <c r="F137" s="542">
        <f>E137</f>
        <v>2226</v>
      </c>
      <c r="G137" s="628">
        <v>0.28000000000000003</v>
      </c>
      <c r="H137" s="628">
        <v>1.46</v>
      </c>
      <c r="I137" s="628">
        <v>4.42</v>
      </c>
      <c r="J137" s="641">
        <v>4.8</v>
      </c>
      <c r="K137" s="641">
        <v>8.6999999999999993</v>
      </c>
      <c r="L137" s="628">
        <v>13.05</v>
      </c>
      <c r="M137" s="639">
        <f t="shared" si="44"/>
        <v>623.28000000000009</v>
      </c>
      <c r="N137" s="639">
        <f t="shared" si="45"/>
        <v>3249.96</v>
      </c>
      <c r="O137" s="639">
        <f t="shared" si="46"/>
        <v>9838.92</v>
      </c>
      <c r="P137" s="639">
        <f t="shared" si="47"/>
        <v>10684.8</v>
      </c>
      <c r="Q137" s="639">
        <f t="shared" si="48"/>
        <v>19366.199999999997</v>
      </c>
      <c r="R137" s="642">
        <f t="shared" si="49"/>
        <v>29049.300000000003</v>
      </c>
    </row>
    <row r="138" spans="1:18" ht="17.25" customHeight="1">
      <c r="A138" s="547"/>
      <c r="B138" s="548" t="s">
        <v>519</v>
      </c>
      <c r="C138" s="549"/>
      <c r="D138" s="549"/>
      <c r="E138" s="550"/>
      <c r="F138" s="548"/>
      <c r="G138" s="645"/>
      <c r="H138" s="645"/>
      <c r="I138" s="645"/>
      <c r="J138" s="645"/>
      <c r="K138" s="645"/>
      <c r="L138" s="615"/>
      <c r="M138" s="552">
        <f>SUM(M133:M136)+M137</f>
        <v>2531.6133333333332</v>
      </c>
      <c r="N138" s="552">
        <f>(SUM(N133:N136)+N137)/6.25</f>
        <v>1863.0833435897437</v>
      </c>
      <c r="O138" s="552">
        <f>(SUM(O133:O136)+O137)/25</f>
        <v>1075.2020991452989</v>
      </c>
      <c r="P138" s="552">
        <f>(SUM(P133:P136)+P137)/100</f>
        <v>353.01787179487178</v>
      </c>
      <c r="Q138" s="552">
        <f>(SUM(Q133:Q136)+Q137)/900</f>
        <v>78.563702754036086</v>
      </c>
      <c r="R138" s="568">
        <f>(SUM(R133:R136)+R137)/3600</f>
        <v>29.461388532763532</v>
      </c>
    </row>
    <row r="139" spans="1:18" s="576" customFormat="1" ht="21.75" customHeight="1">
      <c r="A139" s="555" t="s">
        <v>30</v>
      </c>
      <c r="B139" s="654" t="s">
        <v>406</v>
      </c>
      <c r="C139" s="552"/>
      <c r="D139" s="655"/>
      <c r="E139" s="550"/>
      <c r="F139" s="552"/>
      <c r="G139" s="650"/>
      <c r="H139" s="650"/>
      <c r="I139" s="650"/>
      <c r="J139" s="650"/>
      <c r="K139" s="650"/>
      <c r="L139" s="650"/>
      <c r="M139" s="553"/>
      <c r="N139" s="553"/>
      <c r="O139" s="553"/>
      <c r="P139" s="553"/>
      <c r="Q139" s="646"/>
      <c r="R139" s="647"/>
    </row>
    <row r="140" spans="1:18" s="576" customFormat="1">
      <c r="A140" s="555"/>
      <c r="B140" s="548"/>
      <c r="C140" s="552"/>
      <c r="D140" s="549"/>
      <c r="E140" s="550"/>
      <c r="F140" s="552"/>
      <c r="G140" s="656">
        <v>0.3</v>
      </c>
      <c r="H140" s="650"/>
      <c r="I140" s="650"/>
      <c r="J140" s="650"/>
      <c r="K140" s="650"/>
      <c r="L140" s="650"/>
      <c r="M140" s="553">
        <f t="shared" ref="M140:R140" si="50">$G140*M122</f>
        <v>3140.1118974358974</v>
      </c>
      <c r="N140" s="553">
        <f t="shared" si="50"/>
        <v>1166.4915487179485</v>
      </c>
      <c r="O140" s="553">
        <f t="shared" si="50"/>
        <v>535.72932410256408</v>
      </c>
      <c r="P140" s="553">
        <f t="shared" si="50"/>
        <v>275.05370205128202</v>
      </c>
      <c r="Q140" s="553">
        <f t="shared" si="50"/>
        <v>50.232153133903132</v>
      </c>
      <c r="R140" s="554">
        <f t="shared" si="50"/>
        <v>18.834954711538458</v>
      </c>
    </row>
    <row r="141" spans="1:18" s="576" customFormat="1">
      <c r="A141" s="555"/>
      <c r="B141" s="548"/>
      <c r="C141" s="549"/>
      <c r="D141" s="549"/>
      <c r="E141" s="550"/>
      <c r="F141" s="548"/>
      <c r="G141" s="656"/>
      <c r="H141" s="630"/>
      <c r="I141" s="620"/>
      <c r="J141" s="628"/>
      <c r="K141" s="628"/>
      <c r="L141" s="628"/>
      <c r="M141" s="553"/>
      <c r="N141" s="553"/>
      <c r="O141" s="553"/>
      <c r="P141" s="553"/>
      <c r="Q141" s="553"/>
      <c r="R141" s="554"/>
    </row>
    <row r="142" spans="1:18" s="577" customFormat="1">
      <c r="A142" s="555" t="s">
        <v>31</v>
      </c>
      <c r="B142" s="637" t="str">
        <f>L_CViec!B27</f>
        <v>In sản phẩm đo đạc lập bản đồ địa chính gồm sản phẩm chính và sản phẩm trung gian</v>
      </c>
      <c r="C142" s="549"/>
      <c r="D142" s="549"/>
      <c r="E142" s="550"/>
      <c r="F142" s="549"/>
      <c r="G142" s="614"/>
      <c r="H142" s="614"/>
      <c r="I142" s="614"/>
      <c r="J142" s="638"/>
      <c r="K142" s="638"/>
      <c r="L142" s="620"/>
      <c r="M142" s="549"/>
      <c r="N142" s="549"/>
      <c r="O142" s="549"/>
      <c r="P142" s="639"/>
      <c r="Q142" s="633"/>
      <c r="R142" s="618"/>
    </row>
    <row r="143" spans="1:18" s="577" customFormat="1">
      <c r="A143" s="555"/>
      <c r="B143" s="548"/>
      <c r="C143" s="549"/>
      <c r="D143" s="549"/>
      <c r="E143" s="550"/>
      <c r="F143" s="549"/>
      <c r="G143" s="614"/>
      <c r="H143" s="614"/>
      <c r="I143" s="614"/>
      <c r="J143" s="638"/>
      <c r="K143" s="638"/>
      <c r="L143" s="620"/>
      <c r="M143" s="549"/>
      <c r="N143" s="549"/>
      <c r="O143" s="549"/>
      <c r="P143" s="639"/>
      <c r="Q143" s="633"/>
      <c r="R143" s="618"/>
    </row>
    <row r="144" spans="1:18">
      <c r="A144" s="539">
        <v>1</v>
      </c>
      <c r="B144" s="640" t="s">
        <v>106</v>
      </c>
      <c r="C144" s="541" t="s">
        <v>60</v>
      </c>
      <c r="D144" s="541">
        <v>9</v>
      </c>
      <c r="E144" s="619">
        <f>VLOOKUP(B144,GiaVL!$B$4:'GiaVL'!$D$185,3,0)</f>
        <v>210000</v>
      </c>
      <c r="F144" s="542">
        <f t="shared" ref="F144:F150" si="51">E144/D144/26</f>
        <v>897.43589743589735</v>
      </c>
      <c r="G144" s="628">
        <v>0.41</v>
      </c>
      <c r="H144" s="628">
        <v>0.48</v>
      </c>
      <c r="I144" s="628">
        <v>0.54</v>
      </c>
      <c r="J144" s="641">
        <v>0.62</v>
      </c>
      <c r="K144" s="641">
        <v>0.68</v>
      </c>
      <c r="L144" s="628">
        <v>0.82</v>
      </c>
      <c r="M144" s="639">
        <f t="shared" ref="M144:M151" si="52">$F144*G144</f>
        <v>367.9487179487179</v>
      </c>
      <c r="N144" s="639">
        <f t="shared" ref="N144:N151" si="53">$F144*H144</f>
        <v>430.76923076923072</v>
      </c>
      <c r="O144" s="639">
        <f t="shared" ref="O144:O151" si="54">$F144*I144</f>
        <v>484.61538461538458</v>
      </c>
      <c r="P144" s="639">
        <f t="shared" ref="P144:P151" si="55">$F144*J144</f>
        <v>556.41025641025635</v>
      </c>
      <c r="Q144" s="639">
        <f>$F144*K144</f>
        <v>610.25641025641028</v>
      </c>
      <c r="R144" s="642">
        <f>$F144*L144</f>
        <v>735.8974358974358</v>
      </c>
    </row>
    <row r="145" spans="1:18">
      <c r="A145" s="539">
        <v>2</v>
      </c>
      <c r="B145" s="540" t="s">
        <v>115</v>
      </c>
      <c r="C145" s="541" t="s">
        <v>59</v>
      </c>
      <c r="D145" s="541">
        <v>48</v>
      </c>
      <c r="E145" s="619">
        <f>VLOOKUP(B145,GiaVL!$B$4:'GiaVL'!$D$185,3,0)</f>
        <v>350000</v>
      </c>
      <c r="F145" s="542">
        <f t="shared" si="51"/>
        <v>280.44871794871796</v>
      </c>
      <c r="G145" s="628">
        <v>0.41</v>
      </c>
      <c r="H145" s="628">
        <v>0.48</v>
      </c>
      <c r="I145" s="628">
        <v>0.54</v>
      </c>
      <c r="J145" s="641">
        <v>0.62</v>
      </c>
      <c r="K145" s="641">
        <v>0.68</v>
      </c>
      <c r="L145" s="628">
        <v>0.82</v>
      </c>
      <c r="M145" s="639">
        <f t="shared" si="52"/>
        <v>114.98397435897435</v>
      </c>
      <c r="N145" s="639">
        <f t="shared" si="53"/>
        <v>134.61538461538461</v>
      </c>
      <c r="O145" s="639">
        <f t="shared" si="54"/>
        <v>151.44230769230771</v>
      </c>
      <c r="P145" s="639">
        <f t="shared" si="55"/>
        <v>173.87820512820514</v>
      </c>
      <c r="Q145" s="639">
        <f t="shared" ref="Q145:Q151" si="56">$F145*K145</f>
        <v>190.70512820512823</v>
      </c>
      <c r="R145" s="642">
        <f t="shared" ref="R145:R151" si="57">$F145*L145</f>
        <v>229.9679487179487</v>
      </c>
    </row>
    <row r="146" spans="1:18">
      <c r="A146" s="539">
        <v>3</v>
      </c>
      <c r="B146" s="640" t="s">
        <v>104</v>
      </c>
      <c r="C146" s="541" t="s">
        <v>59</v>
      </c>
      <c r="D146" s="541">
        <v>24</v>
      </c>
      <c r="E146" s="619">
        <f>VLOOKUP(B146,GiaVL!$B$4:'GiaVL'!$D$185,3,0)</f>
        <v>100000</v>
      </c>
      <c r="F146" s="542">
        <f t="shared" si="51"/>
        <v>160.25641025641028</v>
      </c>
      <c r="G146" s="628">
        <v>0.41</v>
      </c>
      <c r="H146" s="628">
        <v>0.48</v>
      </c>
      <c r="I146" s="628">
        <v>0.54</v>
      </c>
      <c r="J146" s="641">
        <v>0.62</v>
      </c>
      <c r="K146" s="641">
        <v>0.68</v>
      </c>
      <c r="L146" s="628">
        <v>0.82</v>
      </c>
      <c r="M146" s="639">
        <f t="shared" si="52"/>
        <v>65.705128205128204</v>
      </c>
      <c r="N146" s="639">
        <f t="shared" si="53"/>
        <v>76.923076923076934</v>
      </c>
      <c r="O146" s="639">
        <f t="shared" si="54"/>
        <v>86.538461538461561</v>
      </c>
      <c r="P146" s="639">
        <f t="shared" si="55"/>
        <v>99.358974358974365</v>
      </c>
      <c r="Q146" s="639">
        <f t="shared" si="56"/>
        <v>108.97435897435899</v>
      </c>
      <c r="R146" s="642">
        <f t="shared" si="57"/>
        <v>131.41025641025641</v>
      </c>
    </row>
    <row r="147" spans="1:18">
      <c r="A147" s="539">
        <v>4</v>
      </c>
      <c r="B147" s="431" t="s">
        <v>638</v>
      </c>
      <c r="C147" s="541" t="s">
        <v>59</v>
      </c>
      <c r="D147" s="541">
        <v>60</v>
      </c>
      <c r="E147" s="619">
        <f>VLOOKUP(B147,GiaVL!$B$4:'GiaVL'!$D$185,3,0)</f>
        <v>2000000</v>
      </c>
      <c r="F147" s="542">
        <f t="shared" si="51"/>
        <v>1282.0512820512822</v>
      </c>
      <c r="G147" s="628">
        <v>0.1</v>
      </c>
      <c r="H147" s="628">
        <v>0.12</v>
      </c>
      <c r="I147" s="628">
        <v>0.14000000000000001</v>
      </c>
      <c r="J147" s="641">
        <v>0.15</v>
      </c>
      <c r="K147" s="641">
        <v>0.17</v>
      </c>
      <c r="L147" s="628">
        <v>0.2</v>
      </c>
      <c r="M147" s="639">
        <f t="shared" si="52"/>
        <v>128.20512820512823</v>
      </c>
      <c r="N147" s="639">
        <f t="shared" si="53"/>
        <v>153.84615384615387</v>
      </c>
      <c r="O147" s="639">
        <f t="shared" si="54"/>
        <v>179.48717948717953</v>
      </c>
      <c r="P147" s="639">
        <f t="shared" si="55"/>
        <v>192.30769230769232</v>
      </c>
      <c r="Q147" s="639">
        <f t="shared" si="56"/>
        <v>217.94871794871798</v>
      </c>
      <c r="R147" s="642">
        <f t="shared" si="57"/>
        <v>256.41025641025647</v>
      </c>
    </row>
    <row r="148" spans="1:18">
      <c r="A148" s="539">
        <v>5</v>
      </c>
      <c r="B148" s="540" t="s">
        <v>225</v>
      </c>
      <c r="C148" s="541" t="s">
        <v>59</v>
      </c>
      <c r="D148" s="541">
        <v>60</v>
      </c>
      <c r="E148" s="619">
        <f>VLOOKUP(B148,GiaVL!$B$4:'GiaVL'!$D$185,3,0)</f>
        <v>2400000</v>
      </c>
      <c r="F148" s="542">
        <f t="shared" si="51"/>
        <v>1538.4615384615386</v>
      </c>
      <c r="G148" s="628">
        <v>0.1</v>
      </c>
      <c r="H148" s="628">
        <v>0.12</v>
      </c>
      <c r="I148" s="628">
        <v>0.14000000000000001</v>
      </c>
      <c r="J148" s="641">
        <v>0.15</v>
      </c>
      <c r="K148" s="641">
        <v>0.17</v>
      </c>
      <c r="L148" s="628">
        <v>0.2</v>
      </c>
      <c r="M148" s="639">
        <f t="shared" si="52"/>
        <v>153.84615384615387</v>
      </c>
      <c r="N148" s="639">
        <f t="shared" si="53"/>
        <v>184.61538461538461</v>
      </c>
      <c r="O148" s="639">
        <f t="shared" si="54"/>
        <v>215.38461538461542</v>
      </c>
      <c r="P148" s="639">
        <f t="shared" si="55"/>
        <v>230.76923076923077</v>
      </c>
      <c r="Q148" s="639">
        <f t="shared" si="56"/>
        <v>261.53846153846155</v>
      </c>
      <c r="R148" s="642">
        <f t="shared" si="57"/>
        <v>307.69230769230774</v>
      </c>
    </row>
    <row r="149" spans="1:18">
      <c r="A149" s="539">
        <v>6</v>
      </c>
      <c r="B149" s="540" t="s">
        <v>156</v>
      </c>
      <c r="C149" s="541" t="s">
        <v>59</v>
      </c>
      <c r="D149" s="541">
        <v>4</v>
      </c>
      <c r="E149" s="619">
        <f>VLOOKUP(B149,GiaVL!$B$4:'GiaVL'!$D$185,3,0)</f>
        <v>87000</v>
      </c>
      <c r="F149" s="542">
        <f t="shared" si="51"/>
        <v>836.53846153846155</v>
      </c>
      <c r="G149" s="628">
        <v>3.44</v>
      </c>
      <c r="H149" s="628">
        <v>7.96</v>
      </c>
      <c r="I149" s="628">
        <v>14.92</v>
      </c>
      <c r="J149" s="641">
        <v>66.8</v>
      </c>
      <c r="K149" s="641">
        <v>89.64</v>
      </c>
      <c r="L149" s="628">
        <v>107.57</v>
      </c>
      <c r="M149" s="639">
        <f t="shared" si="52"/>
        <v>2877.6923076923076</v>
      </c>
      <c r="N149" s="639">
        <f t="shared" si="53"/>
        <v>6658.8461538461543</v>
      </c>
      <c r="O149" s="639">
        <f t="shared" si="54"/>
        <v>12481.153846153846</v>
      </c>
      <c r="P149" s="639">
        <f t="shared" si="55"/>
        <v>55880.769230769227</v>
      </c>
      <c r="Q149" s="639">
        <f t="shared" si="56"/>
        <v>74987.307692307688</v>
      </c>
      <c r="R149" s="642">
        <f t="shared" si="57"/>
        <v>89986.442307692298</v>
      </c>
    </row>
    <row r="150" spans="1:18" s="14" customFormat="1">
      <c r="A150" s="539">
        <v>7</v>
      </c>
      <c r="B150" s="6" t="s">
        <v>663</v>
      </c>
      <c r="C150" s="18" t="s">
        <v>60</v>
      </c>
      <c r="D150" s="18">
        <v>30</v>
      </c>
      <c r="E150" s="833">
        <f>VLOOKUP(B150,GiaVL!$B$4:'GiaVL'!$D$185,3,0)</f>
        <v>175000</v>
      </c>
      <c r="F150" s="834">
        <f t="shared" si="51"/>
        <v>224.35897435897434</v>
      </c>
      <c r="G150" s="835">
        <v>0.1</v>
      </c>
      <c r="H150" s="835">
        <v>0.12</v>
      </c>
      <c r="I150" s="835">
        <v>0.14000000000000001</v>
      </c>
      <c r="J150" s="888">
        <v>0.15</v>
      </c>
      <c r="K150" s="888">
        <v>0.17</v>
      </c>
      <c r="L150" s="835">
        <v>0.2</v>
      </c>
      <c r="M150" s="889">
        <f t="shared" si="52"/>
        <v>22.435897435897434</v>
      </c>
      <c r="N150" s="889">
        <f t="shared" si="53"/>
        <v>26.92307692307692</v>
      </c>
      <c r="O150" s="889">
        <f t="shared" si="54"/>
        <v>31.410256410256409</v>
      </c>
      <c r="P150" s="889">
        <f t="shared" si="55"/>
        <v>33.653846153846146</v>
      </c>
      <c r="Q150" s="889">
        <f t="shared" si="56"/>
        <v>38.141025641025642</v>
      </c>
      <c r="R150" s="890">
        <f t="shared" si="57"/>
        <v>44.871794871794869</v>
      </c>
    </row>
    <row r="151" spans="1:18">
      <c r="A151" s="539">
        <v>8</v>
      </c>
      <c r="B151" s="540" t="s">
        <v>612</v>
      </c>
      <c r="C151" s="541" t="s">
        <v>117</v>
      </c>
      <c r="D151" s="541"/>
      <c r="E151" s="619">
        <f>VLOOKUP(B151,GiaVL!$B$4:'GiaVL'!$D$185,3,0)</f>
        <v>2226</v>
      </c>
      <c r="F151" s="542">
        <f>E151</f>
        <v>2226</v>
      </c>
      <c r="G151" s="628">
        <v>0.09</v>
      </c>
      <c r="H151" s="628">
        <v>0.11</v>
      </c>
      <c r="I151" s="628">
        <v>0.12</v>
      </c>
      <c r="J151" s="641">
        <v>0.13</v>
      </c>
      <c r="K151" s="641">
        <v>0.15</v>
      </c>
      <c r="L151" s="628">
        <v>0.18</v>
      </c>
      <c r="M151" s="639">
        <f t="shared" si="52"/>
        <v>200.34</v>
      </c>
      <c r="N151" s="639">
        <f t="shared" si="53"/>
        <v>244.86</v>
      </c>
      <c r="O151" s="639">
        <f t="shared" si="54"/>
        <v>267.12</v>
      </c>
      <c r="P151" s="639">
        <f t="shared" si="55"/>
        <v>289.38</v>
      </c>
      <c r="Q151" s="639">
        <f t="shared" si="56"/>
        <v>333.9</v>
      </c>
      <c r="R151" s="642">
        <f t="shared" si="57"/>
        <v>400.68</v>
      </c>
    </row>
    <row r="152" spans="1:18" ht="18" customHeight="1">
      <c r="A152" s="547"/>
      <c r="B152" s="548" t="s">
        <v>519</v>
      </c>
      <c r="C152" s="549"/>
      <c r="D152" s="549"/>
      <c r="E152" s="550"/>
      <c r="F152" s="548"/>
      <c r="G152" s="645"/>
      <c r="H152" s="645"/>
      <c r="I152" s="645"/>
      <c r="J152" s="645"/>
      <c r="K152" s="645"/>
      <c r="L152" s="615"/>
      <c r="M152" s="552">
        <f>SUM(M144:M150)+M151</f>
        <v>3931.1573076923078</v>
      </c>
      <c r="N152" s="552">
        <f>(SUM(N144:N150)+N151)/6.25</f>
        <v>1265.8237538461537</v>
      </c>
      <c r="O152" s="552">
        <f>(SUM(O144:O150)+O151)/25</f>
        <v>555.88608205128207</v>
      </c>
      <c r="P152" s="552">
        <f>(SUM(P144:P150)+P151)/100</f>
        <v>574.56527435897431</v>
      </c>
      <c r="Q152" s="552">
        <f>(SUM(Q144:Q150)+Q151)/900</f>
        <v>85.276413105413098</v>
      </c>
      <c r="R152" s="568">
        <f>(SUM(R144:R150)+R151)/3600</f>
        <v>25.581492307692304</v>
      </c>
    </row>
    <row r="153" spans="1:18" s="576" customFormat="1">
      <c r="A153" s="555"/>
      <c r="B153" s="552"/>
      <c r="C153" s="552"/>
      <c r="D153" s="655"/>
      <c r="E153" s="550"/>
      <c r="F153" s="552"/>
      <c r="G153" s="650"/>
      <c r="H153" s="650"/>
      <c r="I153" s="650"/>
      <c r="J153" s="650"/>
      <c r="K153" s="650"/>
      <c r="L153" s="650"/>
      <c r="M153" s="552"/>
      <c r="N153" s="552"/>
      <c r="O153" s="552"/>
      <c r="P153" s="552"/>
      <c r="Q153" s="552"/>
      <c r="R153" s="568"/>
    </row>
    <row r="154" spans="1:18" s="576" customFormat="1">
      <c r="A154" s="555" t="s">
        <v>37</v>
      </c>
      <c r="B154" s="552" t="str">
        <f>L_CViec!B29</f>
        <v>Giao nộp sản phẩm đo đạc lập bản đồ địa chính</v>
      </c>
      <c r="C154" s="552"/>
      <c r="D154" s="655"/>
      <c r="E154" s="550"/>
      <c r="F154" s="552"/>
      <c r="G154" s="656">
        <v>0.05</v>
      </c>
      <c r="H154" s="650"/>
      <c r="I154" s="650"/>
      <c r="J154" s="650"/>
      <c r="K154" s="650"/>
      <c r="L154" s="650"/>
      <c r="M154" s="552">
        <f t="shared" ref="M154:R154" si="58">$G154*M152</f>
        <v>196.55786538461541</v>
      </c>
      <c r="N154" s="552">
        <f t="shared" si="58"/>
        <v>63.291187692307687</v>
      </c>
      <c r="O154" s="552">
        <f t="shared" si="58"/>
        <v>27.794304102564105</v>
      </c>
      <c r="P154" s="552">
        <f t="shared" si="58"/>
        <v>28.728263717948717</v>
      </c>
      <c r="Q154" s="552">
        <f t="shared" si="58"/>
        <v>4.2638206552706555</v>
      </c>
      <c r="R154" s="568">
        <f t="shared" si="58"/>
        <v>1.2790746153846153</v>
      </c>
    </row>
    <row r="155" spans="1:18" s="576" customFormat="1" ht="13.5" thickBot="1">
      <c r="A155" s="657"/>
      <c r="B155" s="658"/>
      <c r="C155" s="658"/>
      <c r="D155" s="659"/>
      <c r="E155" s="660"/>
      <c r="F155" s="658"/>
      <c r="G155" s="661"/>
      <c r="H155" s="661"/>
      <c r="I155" s="661"/>
      <c r="J155" s="661"/>
      <c r="K155" s="661"/>
      <c r="L155" s="661"/>
      <c r="M155" s="658"/>
      <c r="N155" s="658"/>
      <c r="O155" s="658"/>
      <c r="P155" s="658"/>
      <c r="Q155" s="658"/>
      <c r="R155" s="662"/>
    </row>
    <row r="156" spans="1:18" s="576" customFormat="1">
      <c r="B156" s="663"/>
      <c r="C156" s="663"/>
      <c r="D156" s="664"/>
      <c r="E156" s="578"/>
      <c r="F156" s="663"/>
      <c r="G156" s="665"/>
      <c r="H156" s="665"/>
      <c r="I156" s="665"/>
      <c r="J156" s="665"/>
      <c r="K156" s="665"/>
      <c r="L156" s="665"/>
      <c r="M156" s="663"/>
      <c r="N156" s="663"/>
      <c r="O156" s="663"/>
      <c r="P156" s="663"/>
      <c r="Q156" s="666"/>
    </row>
    <row r="157" spans="1:18" s="577" customFormat="1">
      <c r="A157" s="569" t="str">
        <f>L_CViec!A31</f>
        <v>III</v>
      </c>
      <c r="B157" s="667" t="str">
        <f>L_CViec!B31</f>
        <v>SỐ HOÁ VÀ CHUYỂN HỆ TOẠ ĐỘ BẢN ĐỒ ĐỊA CHÍNH:</v>
      </c>
      <c r="E157" s="578"/>
      <c r="J157" s="579"/>
      <c r="K157" s="579"/>
    </row>
    <row r="158" spans="1:18" s="577" customFormat="1" ht="13.5" thickBot="1">
      <c r="A158" s="569">
        <v>1.1000000000000001</v>
      </c>
      <c r="B158" s="572" t="s">
        <v>254</v>
      </c>
      <c r="E158" s="578"/>
      <c r="J158" s="579"/>
      <c r="K158" s="579"/>
    </row>
    <row r="159" spans="1:18" ht="15" customHeight="1">
      <c r="A159" s="1090" t="s">
        <v>88</v>
      </c>
      <c r="B159" s="1088" t="s">
        <v>86</v>
      </c>
      <c r="C159" s="1088" t="s">
        <v>70</v>
      </c>
      <c r="D159" s="1088" t="s">
        <v>87</v>
      </c>
      <c r="E159" s="1088" t="s">
        <v>229</v>
      </c>
      <c r="F159" s="1088" t="s">
        <v>89</v>
      </c>
      <c r="G159" s="1148" t="s">
        <v>256</v>
      </c>
      <c r="H159" s="1149"/>
      <c r="I159" s="1149"/>
      <c r="J159" s="1149"/>
      <c r="K159" s="1149"/>
      <c r="L159" s="1150"/>
      <c r="M159" s="1135" t="s">
        <v>80</v>
      </c>
      <c r="N159" s="1136"/>
      <c r="O159" s="1136"/>
      <c r="P159" s="1136"/>
      <c r="Q159" s="1136"/>
      <c r="R159" s="1137"/>
    </row>
    <row r="160" spans="1:18">
      <c r="A160" s="1158"/>
      <c r="B160" s="1123"/>
      <c r="C160" s="1123"/>
      <c r="D160" s="1123"/>
      <c r="E160" s="1123"/>
      <c r="F160" s="1123"/>
      <c r="G160" s="1130" t="s">
        <v>255</v>
      </c>
      <c r="H160" s="1159"/>
      <c r="I160" s="1159"/>
      <c r="J160" s="1131"/>
      <c r="K160" s="1130" t="s">
        <v>257</v>
      </c>
      <c r="L160" s="1131"/>
      <c r="M160" s="1132" t="s">
        <v>255</v>
      </c>
      <c r="N160" s="1133"/>
      <c r="O160" s="1133"/>
      <c r="P160" s="1134"/>
      <c r="Q160" s="1132" t="s">
        <v>257</v>
      </c>
      <c r="R160" s="1138"/>
    </row>
    <row r="161" spans="1:18" s="577" customFormat="1">
      <c r="A161" s="1091"/>
      <c r="B161" s="1089"/>
      <c r="C161" s="1089"/>
      <c r="D161" s="1089"/>
      <c r="E161" s="1089"/>
      <c r="F161" s="1089"/>
      <c r="G161" s="600" t="s">
        <v>23</v>
      </c>
      <c r="H161" s="600" t="s">
        <v>32</v>
      </c>
      <c r="I161" s="668" t="s">
        <v>24</v>
      </c>
      <c r="J161" s="668" t="s">
        <v>25</v>
      </c>
      <c r="K161" s="668" t="s">
        <v>24</v>
      </c>
      <c r="L161" s="668" t="s">
        <v>25</v>
      </c>
      <c r="M161" s="601" t="s">
        <v>23</v>
      </c>
      <c r="N161" s="601" t="s">
        <v>32</v>
      </c>
      <c r="O161" s="669" t="s">
        <v>24</v>
      </c>
      <c r="P161" s="669" t="s">
        <v>25</v>
      </c>
      <c r="Q161" s="669" t="s">
        <v>24</v>
      </c>
      <c r="R161" s="670" t="s">
        <v>25</v>
      </c>
    </row>
    <row r="162" spans="1:18">
      <c r="A162" s="671">
        <v>1</v>
      </c>
      <c r="B162" s="672" t="s">
        <v>171</v>
      </c>
      <c r="C162" s="673" t="s">
        <v>91</v>
      </c>
      <c r="D162" s="673">
        <v>9</v>
      </c>
      <c r="E162" s="619">
        <f>VLOOKUP(B162,GiaVL!$B$4:'GiaVL'!$D$185,3,0)</f>
        <v>150000</v>
      </c>
      <c r="F162" s="674">
        <f t="shared" ref="F162:F175" si="59">E162/D162/26</f>
        <v>641.02564102564111</v>
      </c>
      <c r="G162" s="675">
        <v>5.39</v>
      </c>
      <c r="H162" s="675">
        <v>9.52</v>
      </c>
      <c r="I162" s="675">
        <v>12.72</v>
      </c>
      <c r="J162" s="676">
        <v>20.079999999999998</v>
      </c>
      <c r="K162" s="676">
        <v>4.24</v>
      </c>
      <c r="L162" s="609">
        <v>6.12</v>
      </c>
      <c r="M162" s="677">
        <f t="shared" ref="M162:M175" si="60">$F162*G162</f>
        <v>3455.1282051282055</v>
      </c>
      <c r="N162" s="678">
        <f t="shared" ref="N162:N175" si="61">$F162*H162</f>
        <v>6102.5641025641035</v>
      </c>
      <c r="O162" s="678">
        <f t="shared" ref="O162:O175" si="62">$F162*I162</f>
        <v>8153.8461538461552</v>
      </c>
      <c r="P162" s="677">
        <f t="shared" ref="P162:P175" si="63">$F162*J162</f>
        <v>12871.794871794873</v>
      </c>
      <c r="Q162" s="677">
        <f t="shared" ref="Q162:Q175" si="64">$F162*K162</f>
        <v>2717.9487179487182</v>
      </c>
      <c r="R162" s="679">
        <f t="shared" ref="R162:R175" si="65">$F162*L162</f>
        <v>3923.0769230769238</v>
      </c>
    </row>
    <row r="163" spans="1:18">
      <c r="A163" s="539">
        <v>2</v>
      </c>
      <c r="B163" s="640" t="s">
        <v>258</v>
      </c>
      <c r="C163" s="541" t="s">
        <v>91</v>
      </c>
      <c r="D163" s="541">
        <v>72</v>
      </c>
      <c r="E163" s="619">
        <f>VLOOKUP(B163,GiaVL!$B$4:'GiaVL'!$D$185,3,0)</f>
        <v>1660000</v>
      </c>
      <c r="F163" s="542">
        <f t="shared" si="59"/>
        <v>886.75213675213672</v>
      </c>
      <c r="G163" s="628">
        <v>4.04</v>
      </c>
      <c r="H163" s="628">
        <v>7.14</v>
      </c>
      <c r="I163" s="628">
        <v>9.5399999999999991</v>
      </c>
      <c r="J163" s="680">
        <v>15.06</v>
      </c>
      <c r="K163" s="680">
        <v>3.18</v>
      </c>
      <c r="L163" s="620">
        <v>4.59</v>
      </c>
      <c r="M163" s="681">
        <f t="shared" si="60"/>
        <v>3582.4786324786323</v>
      </c>
      <c r="N163" s="682">
        <f t="shared" si="61"/>
        <v>6331.4102564102559</v>
      </c>
      <c r="O163" s="682">
        <f t="shared" si="62"/>
        <v>8459.6153846153829</v>
      </c>
      <c r="P163" s="681">
        <f t="shared" si="63"/>
        <v>13354.48717948718</v>
      </c>
      <c r="Q163" s="681">
        <f t="shared" si="64"/>
        <v>2819.8717948717949</v>
      </c>
      <c r="R163" s="683">
        <f t="shared" si="65"/>
        <v>4070.1923076923076</v>
      </c>
    </row>
    <row r="164" spans="1:18">
      <c r="A164" s="539">
        <v>3</v>
      </c>
      <c r="B164" s="540" t="s">
        <v>157</v>
      </c>
      <c r="C164" s="541" t="s">
        <v>94</v>
      </c>
      <c r="D164" s="541">
        <v>30</v>
      </c>
      <c r="E164" s="619">
        <f>VLOOKUP(B164,GiaVL!$B$4:'GiaVL'!$D$185,3,0)</f>
        <v>165000</v>
      </c>
      <c r="F164" s="542">
        <f t="shared" si="59"/>
        <v>211.53846153846155</v>
      </c>
      <c r="G164" s="628">
        <v>4.04</v>
      </c>
      <c r="H164" s="628">
        <v>7.14</v>
      </c>
      <c r="I164" s="628">
        <v>9.5399999999999991</v>
      </c>
      <c r="J164" s="680">
        <v>15.06</v>
      </c>
      <c r="K164" s="680">
        <v>3.18</v>
      </c>
      <c r="L164" s="620">
        <v>4.59</v>
      </c>
      <c r="M164" s="681">
        <f t="shared" si="60"/>
        <v>854.61538461538464</v>
      </c>
      <c r="N164" s="682">
        <f t="shared" si="61"/>
        <v>1510.3846153846155</v>
      </c>
      <c r="O164" s="682">
        <f t="shared" si="62"/>
        <v>2018.0769230769229</v>
      </c>
      <c r="P164" s="681">
        <f t="shared" si="63"/>
        <v>3185.7692307692309</v>
      </c>
      <c r="Q164" s="681">
        <f t="shared" si="64"/>
        <v>672.69230769230774</v>
      </c>
      <c r="R164" s="683">
        <f t="shared" si="65"/>
        <v>970.96153846153845</v>
      </c>
    </row>
    <row r="165" spans="1:18">
      <c r="A165" s="539">
        <v>4</v>
      </c>
      <c r="B165" s="640" t="s">
        <v>287</v>
      </c>
      <c r="C165" s="541" t="s">
        <v>91</v>
      </c>
      <c r="D165" s="541">
        <v>60</v>
      </c>
      <c r="E165" s="619">
        <f>VLOOKUP(B165,GiaVL!$B$4:'GiaVL'!$D$185,3,0)</f>
        <v>220000</v>
      </c>
      <c r="F165" s="542">
        <f t="shared" si="59"/>
        <v>141.02564102564102</v>
      </c>
      <c r="G165" s="628">
        <v>7.0000000000000007E-2</v>
      </c>
      <c r="H165" s="628">
        <v>0.12</v>
      </c>
      <c r="I165" s="628">
        <v>0.16</v>
      </c>
      <c r="J165" s="680">
        <v>0.25</v>
      </c>
      <c r="K165" s="680">
        <v>0.05</v>
      </c>
      <c r="L165" s="620">
        <v>0.08</v>
      </c>
      <c r="M165" s="681">
        <f t="shared" si="60"/>
        <v>9.8717948717948723</v>
      </c>
      <c r="N165" s="682">
        <f t="shared" si="61"/>
        <v>16.923076923076923</v>
      </c>
      <c r="O165" s="682">
        <f t="shared" si="62"/>
        <v>22.564102564102566</v>
      </c>
      <c r="P165" s="681">
        <f t="shared" si="63"/>
        <v>35.256410256410255</v>
      </c>
      <c r="Q165" s="681">
        <f t="shared" si="64"/>
        <v>7.0512820512820511</v>
      </c>
      <c r="R165" s="683">
        <f t="shared" si="65"/>
        <v>11.282051282051283</v>
      </c>
    </row>
    <row r="166" spans="1:18">
      <c r="A166" s="539">
        <v>5</v>
      </c>
      <c r="B166" s="431" t="s">
        <v>554</v>
      </c>
      <c r="C166" s="541" t="s">
        <v>91</v>
      </c>
      <c r="D166" s="541">
        <v>60</v>
      </c>
      <c r="E166" s="619">
        <f>VLOOKUP(B166,GiaVL!$B$4:'GiaVL'!$D$185,3,0)</f>
        <v>300000</v>
      </c>
      <c r="F166" s="542">
        <f t="shared" si="59"/>
        <v>192.30769230769232</v>
      </c>
      <c r="G166" s="628">
        <v>0.67</v>
      </c>
      <c r="H166" s="628">
        <v>1.19</v>
      </c>
      <c r="I166" s="628">
        <v>1.59</v>
      </c>
      <c r="J166" s="680">
        <v>2.5099999999999998</v>
      </c>
      <c r="K166" s="680">
        <v>0.53</v>
      </c>
      <c r="L166" s="620">
        <v>0.77</v>
      </c>
      <c r="M166" s="681">
        <f t="shared" si="60"/>
        <v>128.84615384615387</v>
      </c>
      <c r="N166" s="682">
        <f t="shared" si="61"/>
        <v>228.84615384615384</v>
      </c>
      <c r="O166" s="682">
        <f t="shared" si="62"/>
        <v>305.76923076923083</v>
      </c>
      <c r="P166" s="681">
        <f t="shared" si="63"/>
        <v>482.69230769230768</v>
      </c>
      <c r="Q166" s="681">
        <f t="shared" si="64"/>
        <v>101.92307692307693</v>
      </c>
      <c r="R166" s="683">
        <f t="shared" si="65"/>
        <v>148.07692307692309</v>
      </c>
    </row>
    <row r="167" spans="1:18">
      <c r="A167" s="539">
        <v>6</v>
      </c>
      <c r="B167" s="540" t="s">
        <v>290</v>
      </c>
      <c r="C167" s="541" t="s">
        <v>91</v>
      </c>
      <c r="D167" s="541">
        <v>60</v>
      </c>
      <c r="E167" s="619">
        <f>VLOOKUP(B167,GiaVL!$B$4:'GiaVL'!$D$185,3,0)</f>
        <v>2150000</v>
      </c>
      <c r="F167" s="542">
        <f t="shared" si="59"/>
        <v>1378.2051282051284</v>
      </c>
      <c r="G167" s="628">
        <v>0.27</v>
      </c>
      <c r="H167" s="628">
        <v>0.47</v>
      </c>
      <c r="I167" s="628">
        <v>0.63</v>
      </c>
      <c r="J167" s="628">
        <v>1</v>
      </c>
      <c r="K167" s="628">
        <v>0.21</v>
      </c>
      <c r="L167" s="620">
        <v>0.31</v>
      </c>
      <c r="M167" s="681">
        <f t="shared" si="60"/>
        <v>372.1153846153847</v>
      </c>
      <c r="N167" s="682">
        <f t="shared" si="61"/>
        <v>647.75641025641028</v>
      </c>
      <c r="O167" s="682">
        <f t="shared" si="62"/>
        <v>868.26923076923094</v>
      </c>
      <c r="P167" s="681">
        <f t="shared" si="63"/>
        <v>1378.2051282051284</v>
      </c>
      <c r="Q167" s="681">
        <f t="shared" si="64"/>
        <v>289.42307692307696</v>
      </c>
      <c r="R167" s="683">
        <f t="shared" si="65"/>
        <v>427.24358974358978</v>
      </c>
    </row>
    <row r="168" spans="1:18">
      <c r="A168" s="539">
        <v>7</v>
      </c>
      <c r="B168" s="540" t="s">
        <v>410</v>
      </c>
      <c r="C168" s="541" t="s">
        <v>91</v>
      </c>
      <c r="D168" s="541">
        <v>60</v>
      </c>
      <c r="E168" s="619">
        <f>VLOOKUP(B168,GiaVL!$B$4:'GiaVL'!$D$185,3,0)</f>
        <v>2145000</v>
      </c>
      <c r="F168" s="542">
        <f t="shared" si="59"/>
        <v>1375</v>
      </c>
      <c r="G168" s="628">
        <v>0.03</v>
      </c>
      <c r="H168" s="628">
        <v>0.06</v>
      </c>
      <c r="I168" s="628">
        <v>0.08</v>
      </c>
      <c r="J168" s="628">
        <v>0.13</v>
      </c>
      <c r="K168" s="628">
        <v>0.03</v>
      </c>
      <c r="L168" s="620">
        <v>0.04</v>
      </c>
      <c r="M168" s="681">
        <f t="shared" si="60"/>
        <v>41.25</v>
      </c>
      <c r="N168" s="682">
        <f t="shared" si="61"/>
        <v>82.5</v>
      </c>
      <c r="O168" s="682">
        <f t="shared" si="62"/>
        <v>110</v>
      </c>
      <c r="P168" s="681">
        <f t="shared" si="63"/>
        <v>178.75</v>
      </c>
      <c r="Q168" s="681">
        <f t="shared" si="64"/>
        <v>41.25</v>
      </c>
      <c r="R168" s="683">
        <f t="shared" si="65"/>
        <v>55</v>
      </c>
    </row>
    <row r="169" spans="1:18" s="14" customFormat="1">
      <c r="A169" s="7">
        <v>8</v>
      </c>
      <c r="B169" s="65" t="s">
        <v>638</v>
      </c>
      <c r="C169" s="18" t="s">
        <v>91</v>
      </c>
      <c r="D169" s="18">
        <v>60</v>
      </c>
      <c r="E169" s="833">
        <f>VLOOKUP(B169,GiaVL!$B$4:'GiaVL'!$D$185,3,0)</f>
        <v>2000000</v>
      </c>
      <c r="F169" s="834">
        <f t="shared" si="59"/>
        <v>1282.0512820512822</v>
      </c>
      <c r="G169" s="835">
        <v>1.01</v>
      </c>
      <c r="H169" s="835">
        <v>1.79</v>
      </c>
      <c r="I169" s="835">
        <v>2.39</v>
      </c>
      <c r="J169" s="835">
        <v>3.77</v>
      </c>
      <c r="K169" s="835">
        <v>0.8</v>
      </c>
      <c r="L169" s="836">
        <v>1.1499999999999999</v>
      </c>
      <c r="M169" s="837">
        <f t="shared" si="60"/>
        <v>1294.8717948717951</v>
      </c>
      <c r="N169" s="838">
        <f t="shared" si="61"/>
        <v>2294.8717948717954</v>
      </c>
      <c r="O169" s="838">
        <f t="shared" si="62"/>
        <v>3064.1025641025644</v>
      </c>
      <c r="P169" s="837">
        <f t="shared" si="63"/>
        <v>4833.3333333333339</v>
      </c>
      <c r="Q169" s="837">
        <f t="shared" si="64"/>
        <v>1025.6410256410259</v>
      </c>
      <c r="R169" s="839">
        <f t="shared" si="65"/>
        <v>1474.3589743589744</v>
      </c>
    </row>
    <row r="170" spans="1:18">
      <c r="A170" s="539">
        <v>9</v>
      </c>
      <c r="B170" s="540" t="s">
        <v>158</v>
      </c>
      <c r="C170" s="541" t="s">
        <v>91</v>
      </c>
      <c r="D170" s="541">
        <v>36</v>
      </c>
      <c r="E170" s="619">
        <f>VLOOKUP(B170,GiaVL!$B$4:'GiaVL'!$D$185,3,0)</f>
        <v>290000</v>
      </c>
      <c r="F170" s="542">
        <f t="shared" si="59"/>
        <v>309.82905982905982</v>
      </c>
      <c r="G170" s="628">
        <v>0.67</v>
      </c>
      <c r="H170" s="628">
        <v>1.19</v>
      </c>
      <c r="I170" s="628">
        <v>1.59</v>
      </c>
      <c r="J170" s="628">
        <v>2.5099999999999998</v>
      </c>
      <c r="K170" s="628">
        <v>0.53</v>
      </c>
      <c r="L170" s="620">
        <v>0.77</v>
      </c>
      <c r="M170" s="681">
        <f t="shared" si="60"/>
        <v>207.58547008547009</v>
      </c>
      <c r="N170" s="682">
        <f t="shared" si="61"/>
        <v>368.69658119658118</v>
      </c>
      <c r="O170" s="682">
        <f t="shared" si="62"/>
        <v>492.62820512820514</v>
      </c>
      <c r="P170" s="681">
        <f t="shared" si="63"/>
        <v>777.67094017094007</v>
      </c>
      <c r="Q170" s="681">
        <f t="shared" si="64"/>
        <v>164.2094017094017</v>
      </c>
      <c r="R170" s="683">
        <f t="shared" si="65"/>
        <v>238.56837606837607</v>
      </c>
    </row>
    <row r="171" spans="1:18">
      <c r="A171" s="539">
        <v>10</v>
      </c>
      <c r="B171" s="540" t="s">
        <v>260</v>
      </c>
      <c r="C171" s="541" t="s">
        <v>91</v>
      </c>
      <c r="D171" s="541">
        <v>36</v>
      </c>
      <c r="E171" s="619">
        <f>VLOOKUP(B171,GiaVL!$B$4:'GiaVL'!$D$185,3,0)</f>
        <v>2640000</v>
      </c>
      <c r="F171" s="542">
        <f t="shared" si="59"/>
        <v>2820.5128205128203</v>
      </c>
      <c r="G171" s="628">
        <v>0.67</v>
      </c>
      <c r="H171" s="628">
        <v>1.19</v>
      </c>
      <c r="I171" s="628">
        <v>1.59</v>
      </c>
      <c r="J171" s="628">
        <v>2.5099999999999998</v>
      </c>
      <c r="K171" s="628">
        <v>0.53</v>
      </c>
      <c r="L171" s="620">
        <v>0.77</v>
      </c>
      <c r="M171" s="681">
        <f t="shared" si="60"/>
        <v>1889.7435897435898</v>
      </c>
      <c r="N171" s="682">
        <f t="shared" si="61"/>
        <v>3356.4102564102559</v>
      </c>
      <c r="O171" s="682">
        <f t="shared" si="62"/>
        <v>4484.6153846153848</v>
      </c>
      <c r="P171" s="681">
        <f t="shared" si="63"/>
        <v>7079.4871794871788</v>
      </c>
      <c r="Q171" s="681">
        <f t="shared" si="64"/>
        <v>1494.8717948717949</v>
      </c>
      <c r="R171" s="683">
        <f t="shared" si="65"/>
        <v>2171.7948717948716</v>
      </c>
    </row>
    <row r="172" spans="1:18">
      <c r="A172" s="539">
        <v>11</v>
      </c>
      <c r="B172" s="540" t="s">
        <v>159</v>
      </c>
      <c r="C172" s="541" t="s">
        <v>91</v>
      </c>
      <c r="D172" s="541">
        <v>60</v>
      </c>
      <c r="E172" s="619">
        <f>VLOOKUP(B172,GiaVL!$B$4:'GiaVL'!$D$185,3,0)</f>
        <v>2250000</v>
      </c>
      <c r="F172" s="542">
        <f t="shared" si="59"/>
        <v>1442.3076923076924</v>
      </c>
      <c r="G172" s="628">
        <v>0.67</v>
      </c>
      <c r="H172" s="628">
        <v>1.19</v>
      </c>
      <c r="I172" s="628">
        <v>1.59</v>
      </c>
      <c r="J172" s="628">
        <v>2.5099999999999998</v>
      </c>
      <c r="K172" s="628">
        <v>0.53</v>
      </c>
      <c r="L172" s="620">
        <v>0.77</v>
      </c>
      <c r="M172" s="681">
        <f t="shared" si="60"/>
        <v>966.34615384615392</v>
      </c>
      <c r="N172" s="682">
        <f t="shared" si="61"/>
        <v>1716.3461538461538</v>
      </c>
      <c r="O172" s="682">
        <f t="shared" si="62"/>
        <v>2293.2692307692309</v>
      </c>
      <c r="P172" s="681">
        <f t="shared" si="63"/>
        <v>3620.1923076923076</v>
      </c>
      <c r="Q172" s="681">
        <f t="shared" si="64"/>
        <v>764.42307692307702</v>
      </c>
      <c r="R172" s="683">
        <f t="shared" si="65"/>
        <v>1110.5769230769231</v>
      </c>
    </row>
    <row r="173" spans="1:18">
      <c r="A173" s="539">
        <v>12</v>
      </c>
      <c r="B173" s="540" t="s">
        <v>411</v>
      </c>
      <c r="C173" s="541" t="s">
        <v>91</v>
      </c>
      <c r="D173" s="541">
        <v>60</v>
      </c>
      <c r="E173" s="619">
        <f>VLOOKUP(B173,GiaVL!$B$4:'GiaVL'!$D$185,3,0)</f>
        <v>2400000</v>
      </c>
      <c r="F173" s="542">
        <f t="shared" si="59"/>
        <v>1538.4615384615386</v>
      </c>
      <c r="G173" s="628">
        <v>2.7</v>
      </c>
      <c r="H173" s="628">
        <v>4.76</v>
      </c>
      <c r="I173" s="628">
        <v>6.36</v>
      </c>
      <c r="J173" s="628">
        <v>10.039999999999999</v>
      </c>
      <c r="K173" s="628">
        <v>2.12</v>
      </c>
      <c r="L173" s="620">
        <v>3.06</v>
      </c>
      <c r="M173" s="681">
        <f t="shared" si="60"/>
        <v>4153.8461538461543</v>
      </c>
      <c r="N173" s="682">
        <f t="shared" si="61"/>
        <v>7323.0769230769229</v>
      </c>
      <c r="O173" s="682">
        <f t="shared" si="62"/>
        <v>9784.6153846153866</v>
      </c>
      <c r="P173" s="681">
        <f t="shared" si="63"/>
        <v>15446.153846153846</v>
      </c>
      <c r="Q173" s="681">
        <f t="shared" si="64"/>
        <v>3261.5384615384619</v>
      </c>
      <c r="R173" s="683">
        <f t="shared" si="65"/>
        <v>4707.6923076923085</v>
      </c>
    </row>
    <row r="174" spans="1:18" s="14" customFormat="1">
      <c r="A174" s="7">
        <v>13</v>
      </c>
      <c r="B174" s="65" t="s">
        <v>564</v>
      </c>
      <c r="C174" s="18" t="s">
        <v>91</v>
      </c>
      <c r="D174" s="18">
        <v>72</v>
      </c>
      <c r="E174" s="833">
        <f>VLOOKUP(B174,GiaVL!$B$4:'GiaVL'!$D$185,3,0)</f>
        <v>4082000</v>
      </c>
      <c r="F174" s="834">
        <f t="shared" si="59"/>
        <v>2180.5555555555557</v>
      </c>
      <c r="G174" s="835">
        <v>0.02</v>
      </c>
      <c r="H174" s="835">
        <v>0.02</v>
      </c>
      <c r="I174" s="835">
        <v>0.04</v>
      </c>
      <c r="J174" s="835">
        <v>0.04</v>
      </c>
      <c r="K174" s="835">
        <v>0.04</v>
      </c>
      <c r="L174" s="836">
        <v>0.04</v>
      </c>
      <c r="M174" s="837">
        <f t="shared" si="60"/>
        <v>43.611111111111114</v>
      </c>
      <c r="N174" s="838">
        <f t="shared" si="61"/>
        <v>43.611111111111114</v>
      </c>
      <c r="O174" s="838">
        <f t="shared" si="62"/>
        <v>87.222222222222229</v>
      </c>
      <c r="P174" s="837">
        <f t="shared" si="63"/>
        <v>87.222222222222229</v>
      </c>
      <c r="Q174" s="837">
        <f t="shared" si="64"/>
        <v>87.222222222222229</v>
      </c>
      <c r="R174" s="839">
        <f t="shared" si="65"/>
        <v>87.222222222222229</v>
      </c>
    </row>
    <row r="175" spans="1:18">
      <c r="A175" s="539">
        <v>14</v>
      </c>
      <c r="B175" s="540" t="s">
        <v>156</v>
      </c>
      <c r="C175" s="541" t="s">
        <v>91</v>
      </c>
      <c r="D175" s="541">
        <v>4</v>
      </c>
      <c r="E175" s="619">
        <f>VLOOKUP(B175,GiaVL!$B$4:'GiaVL'!$D$185,3,0)</f>
        <v>87000</v>
      </c>
      <c r="F175" s="542">
        <f t="shared" si="59"/>
        <v>836.53846153846155</v>
      </c>
      <c r="G175" s="628">
        <v>4.04</v>
      </c>
      <c r="H175" s="628">
        <v>7.14</v>
      </c>
      <c r="I175" s="628">
        <v>9.5399999999999991</v>
      </c>
      <c r="J175" s="628">
        <v>15.06</v>
      </c>
      <c r="K175" s="628">
        <v>3.18</v>
      </c>
      <c r="L175" s="620">
        <v>4.59</v>
      </c>
      <c r="M175" s="681">
        <f t="shared" si="60"/>
        <v>3379.6153846153848</v>
      </c>
      <c r="N175" s="682">
        <f t="shared" si="61"/>
        <v>5972.8846153846152</v>
      </c>
      <c r="O175" s="682">
        <f t="shared" si="62"/>
        <v>7980.5769230769229</v>
      </c>
      <c r="P175" s="681">
        <f t="shared" si="63"/>
        <v>12598.26923076923</v>
      </c>
      <c r="Q175" s="681">
        <f t="shared" si="64"/>
        <v>2660.1923076923081</v>
      </c>
      <c r="R175" s="683">
        <f t="shared" si="65"/>
        <v>3839.7115384615386</v>
      </c>
    </row>
    <row r="176" spans="1:18" ht="13.5">
      <c r="A176" s="539">
        <v>15</v>
      </c>
      <c r="B176" s="540" t="s">
        <v>612</v>
      </c>
      <c r="C176" s="684" t="s">
        <v>262</v>
      </c>
      <c r="D176" s="685"/>
      <c r="E176" s="619">
        <f>VLOOKUP(B176,GiaVL!$B$4:'GiaVL'!$D$185,3,0)</f>
        <v>2226</v>
      </c>
      <c r="F176" s="686">
        <f>E176</f>
        <v>2226</v>
      </c>
      <c r="G176" s="687">
        <v>5.8</v>
      </c>
      <c r="H176" s="687">
        <v>10.199999999999999</v>
      </c>
      <c r="I176" s="687">
        <v>13.6</v>
      </c>
      <c r="J176" s="687">
        <v>21.5</v>
      </c>
      <c r="K176" s="687">
        <v>5.8</v>
      </c>
      <c r="L176" s="688">
        <v>8.36</v>
      </c>
      <c r="M176" s="689">
        <f>F176*G176</f>
        <v>12910.8</v>
      </c>
      <c r="N176" s="690">
        <f>$F176*H176</f>
        <v>22705.199999999997</v>
      </c>
      <c r="O176" s="690">
        <f>$F176*I176</f>
        <v>30273.599999999999</v>
      </c>
      <c r="P176" s="689">
        <f>$F176*J176</f>
        <v>47859</v>
      </c>
      <c r="Q176" s="689">
        <f>$F176*K176</f>
        <v>12910.8</v>
      </c>
      <c r="R176" s="691">
        <f>$F176*L176</f>
        <v>18609.359999999997</v>
      </c>
    </row>
    <row r="177" spans="1:19">
      <c r="A177" s="692"/>
      <c r="B177" s="693" t="s">
        <v>519</v>
      </c>
      <c r="C177" s="601"/>
      <c r="D177" s="601"/>
      <c r="E177" s="694"/>
      <c r="F177" s="693"/>
      <c r="G177" s="695"/>
      <c r="H177" s="695"/>
      <c r="I177" s="695"/>
      <c r="J177" s="696"/>
      <c r="K177" s="696"/>
      <c r="L177" s="696"/>
      <c r="M177" s="697">
        <f>SUM(M162:M176)/6.25</f>
        <v>5326.5160341880328</v>
      </c>
      <c r="N177" s="697">
        <f>SUM(N162:N176)/25</f>
        <v>2348.0592820512816</v>
      </c>
      <c r="O177" s="697">
        <f>SUM(O162:O176)/100</f>
        <v>783.98770940170948</v>
      </c>
      <c r="P177" s="697">
        <f>SUM(P162:P176)/900</f>
        <v>137.54253798670464</v>
      </c>
      <c r="Q177" s="697">
        <f>SUM(Q162:Q176)</f>
        <v>29019.05854700855</v>
      </c>
      <c r="R177" s="698">
        <f>SUM(R162:R176)</f>
        <v>41845.118547008547</v>
      </c>
    </row>
    <row r="178" spans="1:19" s="576" customFormat="1" ht="15" customHeight="1">
      <c r="A178" s="1156">
        <v>1.1000000000000001</v>
      </c>
      <c r="B178" s="1152" t="s">
        <v>263</v>
      </c>
      <c r="C178" s="1153"/>
      <c r="D178" s="605">
        <v>1</v>
      </c>
      <c r="E178" s="606"/>
      <c r="F178" s="699"/>
      <c r="G178" s="700">
        <v>0.76</v>
      </c>
      <c r="H178" s="700">
        <v>0.76</v>
      </c>
      <c r="I178" s="700">
        <v>0.76</v>
      </c>
      <c r="J178" s="700">
        <v>0.76</v>
      </c>
      <c r="K178" s="700">
        <v>0.8</v>
      </c>
      <c r="L178" s="609">
        <v>0.9</v>
      </c>
      <c r="M178" s="701">
        <f t="shared" ref="M178:R182" si="66">G178*M$177</f>
        <v>4048.1521859829049</v>
      </c>
      <c r="N178" s="701">
        <f t="shared" si="66"/>
        <v>1784.5250543589741</v>
      </c>
      <c r="O178" s="701">
        <f t="shared" si="66"/>
        <v>595.83065914529925</v>
      </c>
      <c r="P178" s="701">
        <f t="shared" si="66"/>
        <v>104.53232886989554</v>
      </c>
      <c r="Q178" s="701">
        <f t="shared" si="66"/>
        <v>23215.246837606843</v>
      </c>
      <c r="R178" s="702">
        <f t="shared" si="66"/>
        <v>37660.606692307694</v>
      </c>
    </row>
    <row r="179" spans="1:19" s="576" customFormat="1" ht="15" customHeight="1">
      <c r="A179" s="1157"/>
      <c r="B179" s="1154"/>
      <c r="C179" s="1155"/>
      <c r="D179" s="549">
        <v>2</v>
      </c>
      <c r="E179" s="550"/>
      <c r="F179" s="548"/>
      <c r="G179" s="703">
        <v>0.87</v>
      </c>
      <c r="H179" s="703">
        <v>0.87</v>
      </c>
      <c r="I179" s="703">
        <v>0.87</v>
      </c>
      <c r="J179" s="703">
        <v>0.87</v>
      </c>
      <c r="K179" s="703">
        <v>0.9</v>
      </c>
      <c r="L179" s="620">
        <v>1</v>
      </c>
      <c r="M179" s="704">
        <f t="shared" si="66"/>
        <v>4634.0689497435887</v>
      </c>
      <c r="N179" s="704">
        <f t="shared" si="66"/>
        <v>2042.811575384615</v>
      </c>
      <c r="O179" s="704">
        <f t="shared" si="66"/>
        <v>682.06930717948728</v>
      </c>
      <c r="P179" s="704">
        <f t="shared" si="66"/>
        <v>119.66200804843304</v>
      </c>
      <c r="Q179" s="704">
        <f t="shared" si="66"/>
        <v>26117.152692307696</v>
      </c>
      <c r="R179" s="705">
        <f t="shared" si="66"/>
        <v>41845.118547008547</v>
      </c>
    </row>
    <row r="180" spans="1:19" s="576" customFormat="1" ht="15" customHeight="1">
      <c r="A180" s="1157"/>
      <c r="B180" s="1154"/>
      <c r="C180" s="1155"/>
      <c r="D180" s="549">
        <v>3</v>
      </c>
      <c r="E180" s="550"/>
      <c r="F180" s="548"/>
      <c r="G180" s="703">
        <v>1</v>
      </c>
      <c r="H180" s="703">
        <v>1</v>
      </c>
      <c r="I180" s="703">
        <v>1</v>
      </c>
      <c r="J180" s="703">
        <v>1</v>
      </c>
      <c r="K180" s="703">
        <v>1</v>
      </c>
      <c r="L180" s="620">
        <v>1</v>
      </c>
      <c r="M180" s="704">
        <f t="shared" si="66"/>
        <v>5326.5160341880328</v>
      </c>
      <c r="N180" s="704">
        <f t="shared" si="66"/>
        <v>2348.0592820512816</v>
      </c>
      <c r="O180" s="704">
        <f t="shared" si="66"/>
        <v>783.98770940170948</v>
      </c>
      <c r="P180" s="704">
        <f t="shared" si="66"/>
        <v>137.54253798670464</v>
      </c>
      <c r="Q180" s="704">
        <f t="shared" si="66"/>
        <v>29019.05854700855</v>
      </c>
      <c r="R180" s="705">
        <f t="shared" si="66"/>
        <v>41845.118547008547</v>
      </c>
    </row>
    <row r="181" spans="1:19" s="576" customFormat="1" ht="15" customHeight="1">
      <c r="A181" s="1157"/>
      <c r="B181" s="1154"/>
      <c r="C181" s="1155"/>
      <c r="D181" s="549">
        <v>4</v>
      </c>
      <c r="E181" s="550"/>
      <c r="F181" s="548"/>
      <c r="G181" s="703">
        <v>1.1499999999999999</v>
      </c>
      <c r="H181" s="703">
        <v>1.1499999999999999</v>
      </c>
      <c r="I181" s="703">
        <v>1.1499999999999999</v>
      </c>
      <c r="J181" s="703">
        <v>1.1499999999999999</v>
      </c>
      <c r="K181" s="703">
        <v>1.1000000000000001</v>
      </c>
      <c r="L181" s="620">
        <v>1.1000000000000001</v>
      </c>
      <c r="M181" s="704">
        <f t="shared" si="66"/>
        <v>6125.4934393162375</v>
      </c>
      <c r="N181" s="704">
        <f t="shared" si="66"/>
        <v>2700.2681743589737</v>
      </c>
      <c r="O181" s="704">
        <f t="shared" si="66"/>
        <v>901.58586581196585</v>
      </c>
      <c r="P181" s="704">
        <f t="shared" si="66"/>
        <v>158.17391868471032</v>
      </c>
      <c r="Q181" s="704">
        <f t="shared" si="66"/>
        <v>31920.964401709407</v>
      </c>
      <c r="R181" s="705">
        <f t="shared" si="66"/>
        <v>46029.630401709408</v>
      </c>
    </row>
    <row r="182" spans="1:19" s="576" customFormat="1" ht="15" customHeight="1">
      <c r="A182" s="1157"/>
      <c r="B182" s="1154"/>
      <c r="C182" s="1155"/>
      <c r="D182" s="549">
        <v>5</v>
      </c>
      <c r="E182" s="550"/>
      <c r="F182" s="548"/>
      <c r="G182" s="703">
        <v>1.32</v>
      </c>
      <c r="H182" s="703">
        <v>1.32</v>
      </c>
      <c r="I182" s="703">
        <v>1.32</v>
      </c>
      <c r="J182" s="628"/>
      <c r="K182" s="628">
        <v>1.3</v>
      </c>
      <c r="L182" s="620"/>
      <c r="M182" s="704">
        <f t="shared" si="66"/>
        <v>7031.0011651282039</v>
      </c>
      <c r="N182" s="704">
        <f t="shared" si="66"/>
        <v>3099.438252307692</v>
      </c>
      <c r="O182" s="704">
        <f t="shared" si="66"/>
        <v>1034.8637764102566</v>
      </c>
      <c r="P182" s="704">
        <f t="shared" si="66"/>
        <v>0</v>
      </c>
      <c r="Q182" s="704">
        <f t="shared" si="66"/>
        <v>37724.776111111118</v>
      </c>
      <c r="R182" s="705">
        <f t="shared" si="66"/>
        <v>0</v>
      </c>
    </row>
    <row r="183" spans="1:19" s="576" customFormat="1" ht="79.5" customHeight="1">
      <c r="A183" s="555"/>
      <c r="B183" s="1160" t="s">
        <v>412</v>
      </c>
      <c r="C183" s="1161"/>
      <c r="D183" s="1161"/>
      <c r="E183" s="1161"/>
      <c r="F183" s="1161"/>
      <c r="G183" s="1161"/>
      <c r="H183" s="1161"/>
      <c r="I183" s="1161"/>
      <c r="J183" s="1161"/>
      <c r="K183" s="1161"/>
      <c r="L183" s="1161"/>
      <c r="M183" s="1161"/>
      <c r="N183" s="1161"/>
      <c r="O183" s="1161"/>
      <c r="P183" s="1161"/>
      <c r="Q183" s="1161"/>
      <c r="R183" s="1162"/>
    </row>
    <row r="184" spans="1:19" s="576" customFormat="1" ht="13.5" thickBot="1">
      <c r="A184" s="706"/>
      <c r="B184" s="707"/>
      <c r="C184" s="708"/>
      <c r="D184" s="708"/>
      <c r="E184" s="709"/>
      <c r="F184" s="707"/>
      <c r="G184" s="710"/>
      <c r="H184" s="710"/>
      <c r="I184" s="710"/>
      <c r="J184" s="711"/>
      <c r="K184" s="711"/>
      <c r="L184" s="710"/>
      <c r="M184" s="712"/>
      <c r="N184" s="713"/>
      <c r="O184" s="712"/>
      <c r="P184" s="707"/>
      <c r="Q184" s="707"/>
      <c r="R184" s="714"/>
    </row>
    <row r="185" spans="1:19">
      <c r="A185" s="715"/>
      <c r="B185" s="715"/>
      <c r="C185" s="716"/>
      <c r="D185" s="716"/>
      <c r="E185" s="717"/>
      <c r="F185" s="715"/>
      <c r="G185" s="715"/>
      <c r="H185" s="715"/>
      <c r="I185" s="715"/>
      <c r="J185" s="718"/>
      <c r="K185" s="718"/>
      <c r="L185" s="718"/>
      <c r="M185" s="715"/>
      <c r="N185" s="715"/>
      <c r="O185" s="715"/>
      <c r="P185" s="715"/>
      <c r="Q185" s="715"/>
      <c r="R185" s="715"/>
      <c r="S185" s="715"/>
    </row>
    <row r="186" spans="1:19" s="577" customFormat="1" ht="13.5" thickBot="1">
      <c r="A186" s="569" t="str">
        <f>L_CViec!A44</f>
        <v>IV</v>
      </c>
      <c r="B186" s="667" t="str">
        <f>L_CViec!B44</f>
        <v>ĐO ĐẠC CHỈNH LÝ BẢN ĐỒ ĐỊA CHÍNH:</v>
      </c>
      <c r="E186" s="624"/>
      <c r="J186" s="579"/>
      <c r="K186" s="579"/>
    </row>
    <row r="187" spans="1:19" s="577" customFormat="1" ht="15" customHeight="1">
      <c r="A187" s="1101" t="s">
        <v>88</v>
      </c>
      <c r="B187" s="1099" t="s">
        <v>86</v>
      </c>
      <c r="C187" s="1099" t="s">
        <v>70</v>
      </c>
      <c r="D187" s="1099" t="s">
        <v>87</v>
      </c>
      <c r="E187" s="1099" t="s">
        <v>229</v>
      </c>
      <c r="F187" s="1099" t="s">
        <v>89</v>
      </c>
      <c r="G187" s="1120" t="s">
        <v>241</v>
      </c>
      <c r="H187" s="1120"/>
      <c r="I187" s="1120"/>
      <c r="J187" s="1120"/>
      <c r="K187" s="1120"/>
      <c r="L187" s="1120"/>
      <c r="M187" s="1120" t="s">
        <v>80</v>
      </c>
      <c r="N187" s="1120"/>
      <c r="O187" s="1120"/>
      <c r="P187" s="1120"/>
      <c r="Q187" s="1120"/>
      <c r="R187" s="1122"/>
    </row>
    <row r="188" spans="1:19" s="577" customFormat="1">
      <c r="A188" s="1102"/>
      <c r="B188" s="1100"/>
      <c r="C188" s="1100"/>
      <c r="D188" s="1100"/>
      <c r="E188" s="1100"/>
      <c r="F188" s="1100"/>
      <c r="G188" s="600" t="s">
        <v>22</v>
      </c>
      <c r="H188" s="600" t="s">
        <v>23</v>
      </c>
      <c r="I188" s="600" t="s">
        <v>32</v>
      </c>
      <c r="J188" s="600" t="s">
        <v>24</v>
      </c>
      <c r="K188" s="600" t="s">
        <v>25</v>
      </c>
      <c r="L188" s="600" t="s">
        <v>401</v>
      </c>
      <c r="M188" s="601" t="s">
        <v>22</v>
      </c>
      <c r="N188" s="601" t="s">
        <v>23</v>
      </c>
      <c r="O188" s="601" t="s">
        <v>32</v>
      </c>
      <c r="P188" s="601" t="s">
        <v>24</v>
      </c>
      <c r="Q188" s="601" t="s">
        <v>25</v>
      </c>
      <c r="R188" s="602" t="s">
        <v>401</v>
      </c>
    </row>
    <row r="189" spans="1:19" s="577" customFormat="1">
      <c r="A189" s="719" t="s">
        <v>220</v>
      </c>
      <c r="B189" s="597" t="s">
        <v>63</v>
      </c>
      <c r="C189" s="610"/>
      <c r="D189" s="610"/>
      <c r="E189" s="624"/>
      <c r="F189" s="610"/>
      <c r="G189" s="720"/>
      <c r="H189" s="720"/>
      <c r="I189" s="720"/>
      <c r="J189" s="720"/>
      <c r="K189" s="720"/>
      <c r="L189" s="721"/>
      <c r="M189" s="610"/>
      <c r="N189" s="610"/>
      <c r="O189" s="610"/>
      <c r="P189" s="610"/>
      <c r="Q189" s="535"/>
      <c r="R189" s="613"/>
    </row>
    <row r="190" spans="1:19" s="577" customFormat="1">
      <c r="A190" s="555" t="s">
        <v>27</v>
      </c>
      <c r="B190" s="548" t="s">
        <v>277</v>
      </c>
      <c r="C190" s="549"/>
      <c r="D190" s="549"/>
      <c r="E190" s="550"/>
      <c r="F190" s="549"/>
      <c r="G190" s="614"/>
      <c r="H190" s="614"/>
      <c r="I190" s="614"/>
      <c r="J190" s="614"/>
      <c r="K190" s="614"/>
      <c r="L190" s="615"/>
      <c r="M190" s="549"/>
      <c r="N190" s="549"/>
      <c r="O190" s="549"/>
      <c r="P190" s="549"/>
      <c r="Q190" s="541"/>
      <c r="R190" s="618"/>
    </row>
    <row r="191" spans="1:19">
      <c r="A191" s="539">
        <v>1</v>
      </c>
      <c r="B191" s="540" t="s">
        <v>90</v>
      </c>
      <c r="C191" s="541" t="s">
        <v>91</v>
      </c>
      <c r="D191" s="541">
        <v>18</v>
      </c>
      <c r="E191" s="619">
        <f>VLOOKUP(B191,GiaVL!$B$4:'GiaVL'!$D$185,3,0)</f>
        <v>210000</v>
      </c>
      <c r="F191" s="542">
        <f t="shared" ref="F191:F198" si="67">E191/D191/26</f>
        <v>448.71794871794867</v>
      </c>
      <c r="G191" s="620">
        <v>4.4800000000000004</v>
      </c>
      <c r="H191" s="620">
        <v>6.72</v>
      </c>
      <c r="I191" s="620">
        <v>10.08</v>
      </c>
      <c r="J191" s="620">
        <v>15.12</v>
      </c>
      <c r="K191" s="620">
        <v>30.24</v>
      </c>
      <c r="L191" s="620">
        <v>45.36</v>
      </c>
      <c r="M191" s="542">
        <f t="shared" ref="M191:M198" si="68">$F191*G191</f>
        <v>2010.2564102564102</v>
      </c>
      <c r="N191" s="542">
        <f t="shared" ref="N191:N198" si="69">$F191*H191</f>
        <v>3015.3846153846148</v>
      </c>
      <c r="O191" s="542">
        <f t="shared" ref="O191:O198" si="70">$F191*I191</f>
        <v>4523.0769230769229</v>
      </c>
      <c r="P191" s="542">
        <f>$F191*J191</f>
        <v>6784.6153846153838</v>
      </c>
      <c r="Q191" s="542">
        <f>$F191*K191</f>
        <v>13569.230769230768</v>
      </c>
      <c r="R191" s="722">
        <f>$F191*L191</f>
        <v>20353.846153846152</v>
      </c>
    </row>
    <row r="192" spans="1:19">
      <c r="A192" s="539">
        <v>2</v>
      </c>
      <c r="B192" s="540" t="s">
        <v>92</v>
      </c>
      <c r="C192" s="541" t="s">
        <v>91</v>
      </c>
      <c r="D192" s="541">
        <v>18</v>
      </c>
      <c r="E192" s="619">
        <f>VLOOKUP(B192,GiaVL!$B$4:'GiaVL'!$D$185,3,0)</f>
        <v>100000</v>
      </c>
      <c r="F192" s="542">
        <f t="shared" si="67"/>
        <v>213.67521367521368</v>
      </c>
      <c r="G192" s="620">
        <v>4.4800000000000004</v>
      </c>
      <c r="H192" s="620">
        <v>6.72</v>
      </c>
      <c r="I192" s="620">
        <v>10.08</v>
      </c>
      <c r="J192" s="620">
        <v>15.12</v>
      </c>
      <c r="K192" s="620">
        <v>30.24</v>
      </c>
      <c r="L192" s="620">
        <v>45.36</v>
      </c>
      <c r="M192" s="542">
        <f t="shared" si="68"/>
        <v>957.26495726495739</v>
      </c>
      <c r="N192" s="542">
        <f t="shared" si="69"/>
        <v>1435.8974358974358</v>
      </c>
      <c r="O192" s="542">
        <f t="shared" si="70"/>
        <v>2153.8461538461538</v>
      </c>
      <c r="P192" s="542">
        <f t="shared" ref="P192:P198" si="71">$F192*J192</f>
        <v>3230.7692307692309</v>
      </c>
      <c r="Q192" s="542">
        <f t="shared" ref="Q192:Q198" si="72">$F192*K192</f>
        <v>6461.5384615384619</v>
      </c>
      <c r="R192" s="722">
        <f t="shared" ref="R192:R198" si="73">$F192*L192</f>
        <v>9692.3076923076933</v>
      </c>
    </row>
    <row r="193" spans="1:18">
      <c r="A193" s="539">
        <v>3</v>
      </c>
      <c r="B193" s="540" t="s">
        <v>597</v>
      </c>
      <c r="C193" s="541" t="s">
        <v>91</v>
      </c>
      <c r="D193" s="541">
        <v>18</v>
      </c>
      <c r="E193" s="619">
        <f>VLOOKUP(B193,GiaVL!$B$4:'GiaVL'!$D$185,3,0)</f>
        <v>240000</v>
      </c>
      <c r="F193" s="542">
        <f t="shared" si="67"/>
        <v>512.82051282051282</v>
      </c>
      <c r="G193" s="620">
        <v>11.92</v>
      </c>
      <c r="H193" s="620">
        <v>17.88</v>
      </c>
      <c r="I193" s="620">
        <v>26.81</v>
      </c>
      <c r="J193" s="620">
        <v>40.22</v>
      </c>
      <c r="K193" s="620">
        <v>80.44</v>
      </c>
      <c r="L193" s="620">
        <v>120.66</v>
      </c>
      <c r="M193" s="542">
        <f t="shared" si="68"/>
        <v>6112.8205128205127</v>
      </c>
      <c r="N193" s="542">
        <f t="shared" si="69"/>
        <v>9169.2307692307695</v>
      </c>
      <c r="O193" s="542">
        <f t="shared" si="70"/>
        <v>13748.717948717947</v>
      </c>
      <c r="P193" s="542">
        <f t="shared" si="71"/>
        <v>20625.641025641024</v>
      </c>
      <c r="Q193" s="542">
        <f t="shared" si="72"/>
        <v>41251.282051282047</v>
      </c>
      <c r="R193" s="722">
        <f t="shared" si="73"/>
        <v>61876.923076923078</v>
      </c>
    </row>
    <row r="194" spans="1:18" s="14" customFormat="1" ht="14">
      <c r="A194" s="7">
        <v>4</v>
      </c>
      <c r="B194" s="892" t="s">
        <v>98</v>
      </c>
      <c r="C194" s="18" t="s">
        <v>99</v>
      </c>
      <c r="D194" s="18">
        <v>12</v>
      </c>
      <c r="E194" s="833">
        <f>VLOOKUP(B194,GiaVL!$B$4:'GiaVL'!$D$185,3,0)</f>
        <v>145000</v>
      </c>
      <c r="F194" s="834">
        <f t="shared" si="67"/>
        <v>464.74358974358978</v>
      </c>
      <c r="G194" s="836">
        <v>11.92</v>
      </c>
      <c r="H194" s="836">
        <v>17.88</v>
      </c>
      <c r="I194" s="836">
        <v>26.81</v>
      </c>
      <c r="J194" s="836">
        <v>40.22</v>
      </c>
      <c r="K194" s="836">
        <v>80.44</v>
      </c>
      <c r="L194" s="836">
        <v>120.66</v>
      </c>
      <c r="M194" s="834">
        <f t="shared" si="68"/>
        <v>5539.7435897435898</v>
      </c>
      <c r="N194" s="834">
        <f t="shared" si="69"/>
        <v>8309.6153846153848</v>
      </c>
      <c r="O194" s="834">
        <f t="shared" si="70"/>
        <v>12459.775641025641</v>
      </c>
      <c r="P194" s="834">
        <f t="shared" si="71"/>
        <v>18691.98717948718</v>
      </c>
      <c r="Q194" s="834">
        <f t="shared" si="72"/>
        <v>37383.974358974359</v>
      </c>
      <c r="R194" s="891">
        <f t="shared" si="73"/>
        <v>56075.961538461539</v>
      </c>
    </row>
    <row r="195" spans="1:18">
      <c r="A195" s="539">
        <v>5</v>
      </c>
      <c r="B195" s="540" t="s">
        <v>101</v>
      </c>
      <c r="C195" s="541" t="s">
        <v>91</v>
      </c>
      <c r="D195" s="541">
        <v>12</v>
      </c>
      <c r="E195" s="619">
        <f>VLOOKUP(B195,GiaVL!$B$4:'GiaVL'!$D$185,3,0)</f>
        <v>50000</v>
      </c>
      <c r="F195" s="542">
        <f t="shared" si="67"/>
        <v>160.25641025641028</v>
      </c>
      <c r="G195" s="620">
        <v>11.92</v>
      </c>
      <c r="H195" s="620">
        <v>17.88</v>
      </c>
      <c r="I195" s="620">
        <v>26.81</v>
      </c>
      <c r="J195" s="620">
        <v>40.22</v>
      </c>
      <c r="K195" s="620">
        <v>80.44</v>
      </c>
      <c r="L195" s="620">
        <v>120.66</v>
      </c>
      <c r="M195" s="542">
        <f t="shared" si="68"/>
        <v>1910.2564102564104</v>
      </c>
      <c r="N195" s="542">
        <f t="shared" si="69"/>
        <v>2865.3846153846157</v>
      </c>
      <c r="O195" s="542">
        <f t="shared" si="70"/>
        <v>4296.4743589743593</v>
      </c>
      <c r="P195" s="542">
        <f t="shared" si="71"/>
        <v>6445.5128205128212</v>
      </c>
      <c r="Q195" s="542">
        <f t="shared" si="72"/>
        <v>12891.025641025642</v>
      </c>
      <c r="R195" s="722">
        <f t="shared" si="73"/>
        <v>19336.538461538465</v>
      </c>
    </row>
    <row r="196" spans="1:18">
      <c r="A196" s="539">
        <v>6</v>
      </c>
      <c r="B196" s="540" t="s">
        <v>106</v>
      </c>
      <c r="C196" s="541" t="s">
        <v>94</v>
      </c>
      <c r="D196" s="541">
        <v>9</v>
      </c>
      <c r="E196" s="619">
        <f>VLOOKUP(B196,GiaVL!$B$4:'GiaVL'!$D$185,3,0)</f>
        <v>210000</v>
      </c>
      <c r="F196" s="542">
        <f t="shared" si="67"/>
        <v>897.43589743589735</v>
      </c>
      <c r="G196" s="620">
        <v>11.92</v>
      </c>
      <c r="H196" s="620">
        <v>17.88</v>
      </c>
      <c r="I196" s="620">
        <v>26.81</v>
      </c>
      <c r="J196" s="620">
        <v>40.22</v>
      </c>
      <c r="K196" s="620">
        <v>80.44</v>
      </c>
      <c r="L196" s="620">
        <v>120.66</v>
      </c>
      <c r="M196" s="542">
        <f t="shared" si="68"/>
        <v>10697.435897435897</v>
      </c>
      <c r="N196" s="542">
        <f t="shared" si="69"/>
        <v>16046.153846153844</v>
      </c>
      <c r="O196" s="542">
        <f t="shared" si="70"/>
        <v>24060.256410256407</v>
      </c>
      <c r="P196" s="542">
        <f t="shared" si="71"/>
        <v>36094.871794871789</v>
      </c>
      <c r="Q196" s="542">
        <f t="shared" si="72"/>
        <v>72189.743589743579</v>
      </c>
      <c r="R196" s="722">
        <f t="shared" si="73"/>
        <v>108284.61538461538</v>
      </c>
    </row>
    <row r="197" spans="1:18">
      <c r="A197" s="539">
        <v>7</v>
      </c>
      <c r="B197" s="540" t="s">
        <v>104</v>
      </c>
      <c r="C197" s="541" t="s">
        <v>91</v>
      </c>
      <c r="D197" s="541">
        <v>24</v>
      </c>
      <c r="E197" s="619">
        <f>VLOOKUP(B197,GiaVL!$B$4:'GiaVL'!$D$185,3,0)</f>
        <v>100000</v>
      </c>
      <c r="F197" s="542">
        <f t="shared" si="67"/>
        <v>160.25641025641028</v>
      </c>
      <c r="G197" s="620">
        <v>4.4800000000000004</v>
      </c>
      <c r="H197" s="620">
        <v>6.72</v>
      </c>
      <c r="I197" s="620">
        <v>10.08</v>
      </c>
      <c r="J197" s="620">
        <v>15.12</v>
      </c>
      <c r="K197" s="620">
        <v>30.24</v>
      </c>
      <c r="L197" s="620">
        <v>45.36</v>
      </c>
      <c r="M197" s="542">
        <f t="shared" si="68"/>
        <v>717.94871794871813</v>
      </c>
      <c r="N197" s="542">
        <f t="shared" si="69"/>
        <v>1076.9230769230771</v>
      </c>
      <c r="O197" s="542">
        <f t="shared" si="70"/>
        <v>1615.3846153846157</v>
      </c>
      <c r="P197" s="542">
        <f t="shared" si="71"/>
        <v>2423.0769230769233</v>
      </c>
      <c r="Q197" s="542">
        <f t="shared" si="72"/>
        <v>4846.1538461538466</v>
      </c>
      <c r="R197" s="722">
        <f t="shared" si="73"/>
        <v>7269.2307692307704</v>
      </c>
    </row>
    <row r="198" spans="1:18" s="14" customFormat="1">
      <c r="A198" s="7">
        <v>8</v>
      </c>
      <c r="B198" s="6" t="s">
        <v>664</v>
      </c>
      <c r="C198" s="18" t="s">
        <v>91</v>
      </c>
      <c r="D198" s="18">
        <v>4</v>
      </c>
      <c r="E198" s="833">
        <f>VLOOKUP(B198,GiaVL!$B$4:'GiaVL'!$D$185,3,0)</f>
        <v>120000</v>
      </c>
      <c r="F198" s="834">
        <f t="shared" si="67"/>
        <v>1153.8461538461538</v>
      </c>
      <c r="G198" s="836">
        <v>4.4800000000000004</v>
      </c>
      <c r="H198" s="836">
        <v>6.72</v>
      </c>
      <c r="I198" s="836">
        <v>10.08</v>
      </c>
      <c r="J198" s="836">
        <v>15.12</v>
      </c>
      <c r="K198" s="836">
        <v>30.24</v>
      </c>
      <c r="L198" s="836">
        <v>45.36</v>
      </c>
      <c r="M198" s="834">
        <f t="shared" si="68"/>
        <v>5169.2307692307695</v>
      </c>
      <c r="N198" s="834">
        <f t="shared" si="69"/>
        <v>7753.8461538461534</v>
      </c>
      <c r="O198" s="834">
        <f t="shared" si="70"/>
        <v>11630.76923076923</v>
      </c>
      <c r="P198" s="834">
        <f t="shared" si="71"/>
        <v>17446.153846153844</v>
      </c>
      <c r="Q198" s="834">
        <f t="shared" si="72"/>
        <v>34892.307692307688</v>
      </c>
      <c r="R198" s="891">
        <f t="shared" si="73"/>
        <v>52338.461538461539</v>
      </c>
    </row>
    <row r="199" spans="1:18">
      <c r="A199" s="547"/>
      <c r="B199" s="548" t="s">
        <v>519</v>
      </c>
      <c r="C199" s="549"/>
      <c r="D199" s="549"/>
      <c r="E199" s="550"/>
      <c r="F199" s="548"/>
      <c r="G199" s="645"/>
      <c r="H199" s="645"/>
      <c r="I199" s="645"/>
      <c r="J199" s="645"/>
      <c r="K199" s="645"/>
      <c r="L199" s="615"/>
      <c r="M199" s="552">
        <f>SUM(M191:M198)</f>
        <v>33114.957264957266</v>
      </c>
      <c r="N199" s="552">
        <f>SUM(N191:N198)/6.25</f>
        <v>7947.5897435897441</v>
      </c>
      <c r="O199" s="552">
        <f>SUM(O191:O198)/25</f>
        <v>2979.5320512820513</v>
      </c>
      <c r="P199" s="552">
        <f>SUM(P191:P198)/100</f>
        <v>1117.426282051282</v>
      </c>
      <c r="Q199" s="552">
        <f>SUM(Q191:Q198)/900</f>
        <v>248.31695156695156</v>
      </c>
      <c r="R199" s="568">
        <f>SUM(R191:R198)/3600</f>
        <v>93.118856837606842</v>
      </c>
    </row>
    <row r="200" spans="1:18" s="576" customFormat="1" ht="15" customHeight="1">
      <c r="A200" s="1124" t="s">
        <v>27</v>
      </c>
      <c r="B200" s="1121" t="s">
        <v>277</v>
      </c>
      <c r="C200" s="1121"/>
      <c r="D200" s="549">
        <v>1</v>
      </c>
      <c r="E200" s="550"/>
      <c r="F200" s="548"/>
      <c r="G200" s="620">
        <v>0.6</v>
      </c>
      <c r="H200" s="620">
        <v>0.6</v>
      </c>
      <c r="I200" s="620">
        <v>0.6</v>
      </c>
      <c r="J200" s="620">
        <v>0.6</v>
      </c>
      <c r="K200" s="620">
        <v>0.6</v>
      </c>
      <c r="L200" s="628">
        <v>0.6</v>
      </c>
      <c r="M200" s="552">
        <f t="shared" ref="M200:P204" si="74">G200*M$199</f>
        <v>19868.974358974359</v>
      </c>
      <c r="N200" s="552">
        <f t="shared" si="74"/>
        <v>4768.5538461538463</v>
      </c>
      <c r="O200" s="552">
        <f t="shared" si="74"/>
        <v>1787.7192307692308</v>
      </c>
      <c r="P200" s="552">
        <f t="shared" si="74"/>
        <v>670.45576923076919</v>
      </c>
      <c r="Q200" s="552">
        <f t="shared" ref="Q200:R204" si="75">K200*Q$199</f>
        <v>148.99017094017094</v>
      </c>
      <c r="R200" s="568">
        <f t="shared" si="75"/>
        <v>55.871314102564106</v>
      </c>
    </row>
    <row r="201" spans="1:18" s="576" customFormat="1" ht="15" customHeight="1">
      <c r="A201" s="1124"/>
      <c r="B201" s="1121"/>
      <c r="C201" s="1121"/>
      <c r="D201" s="549">
        <v>2</v>
      </c>
      <c r="E201" s="550"/>
      <c r="F201" s="548"/>
      <c r="G201" s="630">
        <v>0.75</v>
      </c>
      <c r="H201" s="630">
        <v>0.75</v>
      </c>
      <c r="I201" s="630">
        <v>0.75</v>
      </c>
      <c r="J201" s="630">
        <v>0.75</v>
      </c>
      <c r="K201" s="630">
        <v>0.75</v>
      </c>
      <c r="L201" s="628">
        <v>0.75</v>
      </c>
      <c r="M201" s="552">
        <f t="shared" si="74"/>
        <v>24836.217948717949</v>
      </c>
      <c r="N201" s="552">
        <f t="shared" si="74"/>
        <v>5960.6923076923085</v>
      </c>
      <c r="O201" s="552">
        <f t="shared" si="74"/>
        <v>2234.6490384615386</v>
      </c>
      <c r="P201" s="552">
        <f t="shared" si="74"/>
        <v>838.06971153846143</v>
      </c>
      <c r="Q201" s="552">
        <f t="shared" si="75"/>
        <v>186.23771367521368</v>
      </c>
      <c r="R201" s="568">
        <f t="shared" si="75"/>
        <v>69.839142628205138</v>
      </c>
    </row>
    <row r="202" spans="1:18" s="576" customFormat="1" ht="15" customHeight="1">
      <c r="A202" s="1124"/>
      <c r="B202" s="1121"/>
      <c r="C202" s="1121"/>
      <c r="D202" s="549">
        <v>3</v>
      </c>
      <c r="E202" s="550"/>
      <c r="F202" s="548"/>
      <c r="G202" s="620">
        <v>1</v>
      </c>
      <c r="H202" s="620">
        <v>1</v>
      </c>
      <c r="I202" s="620">
        <v>1</v>
      </c>
      <c r="J202" s="620">
        <v>1</v>
      </c>
      <c r="K202" s="620">
        <v>1</v>
      </c>
      <c r="L202" s="628">
        <v>1</v>
      </c>
      <c r="M202" s="552">
        <f t="shared" si="74"/>
        <v>33114.957264957266</v>
      </c>
      <c r="N202" s="552">
        <f t="shared" si="74"/>
        <v>7947.5897435897441</v>
      </c>
      <c r="O202" s="552">
        <f t="shared" si="74"/>
        <v>2979.5320512820513</v>
      </c>
      <c r="P202" s="552">
        <f t="shared" si="74"/>
        <v>1117.426282051282</v>
      </c>
      <c r="Q202" s="552">
        <f t="shared" si="75"/>
        <v>248.31695156695156</v>
      </c>
      <c r="R202" s="568">
        <f t="shared" si="75"/>
        <v>93.118856837606842</v>
      </c>
    </row>
    <row r="203" spans="1:18" s="576" customFormat="1" ht="15" customHeight="1">
      <c r="A203" s="1124"/>
      <c r="B203" s="1121"/>
      <c r="C203" s="1121"/>
      <c r="D203" s="549">
        <v>4</v>
      </c>
      <c r="E203" s="550"/>
      <c r="F203" s="548"/>
      <c r="G203" s="620">
        <v>1.2</v>
      </c>
      <c r="H203" s="620">
        <v>1.35</v>
      </c>
      <c r="I203" s="620">
        <v>1.35</v>
      </c>
      <c r="J203" s="620">
        <v>1.35</v>
      </c>
      <c r="K203" s="620">
        <v>1.1000000000000001</v>
      </c>
      <c r="L203" s="628">
        <v>1.1000000000000001</v>
      </c>
      <c r="M203" s="552">
        <f t="shared" si="74"/>
        <v>39737.948717948719</v>
      </c>
      <c r="N203" s="552">
        <f t="shared" si="74"/>
        <v>10729.246153846156</v>
      </c>
      <c r="O203" s="552">
        <f t="shared" si="74"/>
        <v>4022.3682692307693</v>
      </c>
      <c r="P203" s="552">
        <f t="shared" si="74"/>
        <v>1508.5254807692309</v>
      </c>
      <c r="Q203" s="552">
        <f t="shared" si="75"/>
        <v>273.14864672364672</v>
      </c>
      <c r="R203" s="568">
        <f t="shared" si="75"/>
        <v>102.43074252136753</v>
      </c>
    </row>
    <row r="204" spans="1:18" s="576" customFormat="1" ht="15" customHeight="1">
      <c r="A204" s="1124"/>
      <c r="B204" s="1121"/>
      <c r="C204" s="1121"/>
      <c r="D204" s="549">
        <v>5</v>
      </c>
      <c r="E204" s="550"/>
      <c r="F204" s="548"/>
      <c r="G204" s="630"/>
      <c r="H204" s="620">
        <v>1.75</v>
      </c>
      <c r="I204" s="630">
        <v>1.75</v>
      </c>
      <c r="J204" s="630">
        <v>1.75</v>
      </c>
      <c r="K204" s="630"/>
      <c r="L204" s="628"/>
      <c r="M204" s="552">
        <f t="shared" si="74"/>
        <v>0</v>
      </c>
      <c r="N204" s="552">
        <f t="shared" si="74"/>
        <v>13908.282051282053</v>
      </c>
      <c r="O204" s="552">
        <f t="shared" si="74"/>
        <v>5214.1810897435898</v>
      </c>
      <c r="P204" s="552">
        <f t="shared" si="74"/>
        <v>1955.4959935897434</v>
      </c>
      <c r="Q204" s="552">
        <f t="shared" si="75"/>
        <v>0</v>
      </c>
      <c r="R204" s="568">
        <f t="shared" si="75"/>
        <v>0</v>
      </c>
    </row>
    <row r="205" spans="1:18" s="577" customFormat="1">
      <c r="A205" s="555" t="s">
        <v>28</v>
      </c>
      <c r="B205" s="548" t="s">
        <v>221</v>
      </c>
      <c r="C205" s="549"/>
      <c r="D205" s="549"/>
      <c r="E205" s="550"/>
      <c r="F205" s="549"/>
      <c r="G205" s="614"/>
      <c r="H205" s="614"/>
      <c r="I205" s="614"/>
      <c r="J205" s="614"/>
      <c r="K205" s="614"/>
      <c r="L205" s="615"/>
      <c r="M205" s="549"/>
      <c r="N205" s="549"/>
      <c r="O205" s="549"/>
      <c r="P205" s="549"/>
      <c r="Q205" s="541"/>
      <c r="R205" s="618"/>
    </row>
    <row r="206" spans="1:18">
      <c r="A206" s="539">
        <v>1</v>
      </c>
      <c r="B206" s="540" t="s">
        <v>90</v>
      </c>
      <c r="C206" s="541" t="s">
        <v>91</v>
      </c>
      <c r="D206" s="541">
        <v>18</v>
      </c>
      <c r="E206" s="619">
        <f>VLOOKUP(B206,GiaVL!$B$4:'GiaVL'!$D$185,3,0)</f>
        <v>210000</v>
      </c>
      <c r="F206" s="542">
        <f t="shared" ref="F206:F220" si="76">E206/D206/26</f>
        <v>448.71794871794867</v>
      </c>
      <c r="G206" s="620">
        <v>3.86</v>
      </c>
      <c r="H206" s="620">
        <v>2.64</v>
      </c>
      <c r="I206" s="620">
        <v>0.72</v>
      </c>
      <c r="J206" s="620">
        <v>0.62</v>
      </c>
      <c r="K206" s="620">
        <v>1.49</v>
      </c>
      <c r="L206" s="620">
        <v>2.98</v>
      </c>
      <c r="M206" s="542">
        <f t="shared" ref="M206:M220" si="77">$F206*G206</f>
        <v>1732.0512820512818</v>
      </c>
      <c r="N206" s="542">
        <f t="shared" ref="N206:N220" si="78">$F206*H206</f>
        <v>1184.6153846153845</v>
      </c>
      <c r="O206" s="542">
        <f t="shared" ref="O206:O220" si="79">$F206*I206</f>
        <v>323.07692307692304</v>
      </c>
      <c r="P206" s="542">
        <f>$F206*J206</f>
        <v>278.20512820512818</v>
      </c>
      <c r="Q206" s="542">
        <f>$F206*K206</f>
        <v>668.58974358974353</v>
      </c>
      <c r="R206" s="722">
        <f>$F206*L206</f>
        <v>1337.1794871794871</v>
      </c>
    </row>
    <row r="207" spans="1:18">
      <c r="A207" s="539">
        <v>2</v>
      </c>
      <c r="B207" s="540" t="s">
        <v>92</v>
      </c>
      <c r="C207" s="541" t="s">
        <v>91</v>
      </c>
      <c r="D207" s="541">
        <v>18</v>
      </c>
      <c r="E207" s="619">
        <f>VLOOKUP(B207,GiaVL!$B$4:'GiaVL'!$D$185,3,0)</f>
        <v>100000</v>
      </c>
      <c r="F207" s="542">
        <f t="shared" si="76"/>
        <v>213.67521367521368</v>
      </c>
      <c r="G207" s="620">
        <v>3.86</v>
      </c>
      <c r="H207" s="620">
        <v>2.64</v>
      </c>
      <c r="I207" s="620">
        <v>0.72</v>
      </c>
      <c r="J207" s="620">
        <v>0.62</v>
      </c>
      <c r="K207" s="620">
        <v>1.49</v>
      </c>
      <c r="L207" s="620">
        <v>2.98</v>
      </c>
      <c r="M207" s="542">
        <f t="shared" si="77"/>
        <v>824.78632478632483</v>
      </c>
      <c r="N207" s="542">
        <f t="shared" si="78"/>
        <v>564.1025641025642</v>
      </c>
      <c r="O207" s="542">
        <f t="shared" si="79"/>
        <v>153.84615384615384</v>
      </c>
      <c r="P207" s="542">
        <f t="shared" ref="P207:P220" si="80">$F207*J207</f>
        <v>132.47863247863248</v>
      </c>
      <c r="Q207" s="542">
        <f t="shared" ref="Q207:Q220" si="81">$F207*K207</f>
        <v>318.37606837606836</v>
      </c>
      <c r="R207" s="722">
        <f t="shared" ref="R207:R220" si="82">$F207*L207</f>
        <v>636.75213675213672</v>
      </c>
    </row>
    <row r="208" spans="1:18">
      <c r="A208" s="539">
        <v>3</v>
      </c>
      <c r="B208" s="540" t="s">
        <v>597</v>
      </c>
      <c r="C208" s="541" t="s">
        <v>91</v>
      </c>
      <c r="D208" s="541">
        <v>18</v>
      </c>
      <c r="E208" s="619">
        <f>VLOOKUP(B208,GiaVL!$B$4:'GiaVL'!$D$185,3,0)</f>
        <v>240000</v>
      </c>
      <c r="F208" s="542">
        <f t="shared" si="76"/>
        <v>512.82051282051282</v>
      </c>
      <c r="G208" s="620">
        <v>10.3</v>
      </c>
      <c r="H208" s="620">
        <v>7.04</v>
      </c>
      <c r="I208" s="620">
        <v>1.92</v>
      </c>
      <c r="J208" s="620">
        <v>1.66</v>
      </c>
      <c r="K208" s="620">
        <v>3.97</v>
      </c>
      <c r="L208" s="620">
        <v>7.94</v>
      </c>
      <c r="M208" s="542">
        <f t="shared" si="77"/>
        <v>5282.0512820512822</v>
      </c>
      <c r="N208" s="542">
        <f t="shared" si="78"/>
        <v>3610.2564102564102</v>
      </c>
      <c r="O208" s="542">
        <f t="shared" si="79"/>
        <v>984.61538461538453</v>
      </c>
      <c r="P208" s="542">
        <f t="shared" si="80"/>
        <v>851.28205128205127</v>
      </c>
      <c r="Q208" s="542">
        <f t="shared" si="81"/>
        <v>2035.897435897436</v>
      </c>
      <c r="R208" s="722">
        <f t="shared" si="82"/>
        <v>4071.7948717948721</v>
      </c>
    </row>
    <row r="209" spans="1:18">
      <c r="A209" s="539">
        <v>4</v>
      </c>
      <c r="B209" s="540" t="s">
        <v>111</v>
      </c>
      <c r="C209" s="541" t="s">
        <v>99</v>
      </c>
      <c r="D209" s="541">
        <v>6</v>
      </c>
      <c r="E209" s="619">
        <f>VLOOKUP(B209,GiaVL!$B$4:'GiaVL'!$D$185,3,0)</f>
        <v>15000</v>
      </c>
      <c r="F209" s="542">
        <f t="shared" si="76"/>
        <v>96.15384615384616</v>
      </c>
      <c r="G209" s="620">
        <v>10.3</v>
      </c>
      <c r="H209" s="620">
        <v>7.04</v>
      </c>
      <c r="I209" s="620">
        <v>1.92</v>
      </c>
      <c r="J209" s="620">
        <v>1.66</v>
      </c>
      <c r="K209" s="620">
        <v>3.97</v>
      </c>
      <c r="L209" s="620">
        <v>7.94</v>
      </c>
      <c r="M209" s="542">
        <f t="shared" si="77"/>
        <v>990.38461538461547</v>
      </c>
      <c r="N209" s="542">
        <f t="shared" si="78"/>
        <v>676.92307692307702</v>
      </c>
      <c r="O209" s="542">
        <f t="shared" si="79"/>
        <v>184.61538461538461</v>
      </c>
      <c r="P209" s="542">
        <f t="shared" si="80"/>
        <v>159.61538461538461</v>
      </c>
      <c r="Q209" s="542">
        <f t="shared" si="81"/>
        <v>381.73076923076928</v>
      </c>
      <c r="R209" s="722">
        <f t="shared" si="82"/>
        <v>763.46153846153857</v>
      </c>
    </row>
    <row r="210" spans="1:18">
      <c r="A210" s="539">
        <v>5</v>
      </c>
      <c r="B210" s="540" t="s">
        <v>98</v>
      </c>
      <c r="C210" s="541" t="s">
        <v>99</v>
      </c>
      <c r="D210" s="541">
        <v>12</v>
      </c>
      <c r="E210" s="619">
        <f>VLOOKUP(B210,GiaVL!$B$4:'GiaVL'!$D$185,3,0)</f>
        <v>145000</v>
      </c>
      <c r="F210" s="542">
        <f t="shared" si="76"/>
        <v>464.74358974358978</v>
      </c>
      <c r="G210" s="620">
        <v>10.3</v>
      </c>
      <c r="H210" s="620">
        <v>7.04</v>
      </c>
      <c r="I210" s="620">
        <v>1.92</v>
      </c>
      <c r="J210" s="620">
        <v>1.66</v>
      </c>
      <c r="K210" s="620">
        <v>3.97</v>
      </c>
      <c r="L210" s="620">
        <v>7.94</v>
      </c>
      <c r="M210" s="542">
        <f t="shared" si="77"/>
        <v>4786.8589743589755</v>
      </c>
      <c r="N210" s="542">
        <f t="shared" si="78"/>
        <v>3271.7948717948721</v>
      </c>
      <c r="O210" s="542">
        <f t="shared" si="79"/>
        <v>892.30769230769238</v>
      </c>
      <c r="P210" s="542">
        <f t="shared" si="80"/>
        <v>771.47435897435901</v>
      </c>
      <c r="Q210" s="542">
        <f t="shared" si="81"/>
        <v>1845.0320512820515</v>
      </c>
      <c r="R210" s="722">
        <f t="shared" si="82"/>
        <v>3690.064102564103</v>
      </c>
    </row>
    <row r="211" spans="1:18">
      <c r="A211" s="539">
        <v>6</v>
      </c>
      <c r="B211" s="540" t="s">
        <v>101</v>
      </c>
      <c r="C211" s="541" t="s">
        <v>91</v>
      </c>
      <c r="D211" s="541">
        <v>12</v>
      </c>
      <c r="E211" s="619">
        <f>VLOOKUP(B211,GiaVL!$B$4:'GiaVL'!$D$185,3,0)</f>
        <v>50000</v>
      </c>
      <c r="F211" s="542">
        <f t="shared" si="76"/>
        <v>160.25641025641028</v>
      </c>
      <c r="G211" s="620">
        <v>10.3</v>
      </c>
      <c r="H211" s="620">
        <v>7.04</v>
      </c>
      <c r="I211" s="620">
        <v>1.92</v>
      </c>
      <c r="J211" s="620">
        <v>1.66</v>
      </c>
      <c r="K211" s="620">
        <v>3.97</v>
      </c>
      <c r="L211" s="620">
        <v>7.94</v>
      </c>
      <c r="M211" s="542">
        <f t="shared" si="77"/>
        <v>1650.6410256410259</v>
      </c>
      <c r="N211" s="542">
        <f t="shared" si="78"/>
        <v>1128.2051282051284</v>
      </c>
      <c r="O211" s="542">
        <f t="shared" si="79"/>
        <v>307.69230769230774</v>
      </c>
      <c r="P211" s="542">
        <f t="shared" si="80"/>
        <v>266.02564102564105</v>
      </c>
      <c r="Q211" s="542">
        <f t="shared" si="81"/>
        <v>636.21794871794884</v>
      </c>
      <c r="R211" s="722">
        <f t="shared" si="82"/>
        <v>1272.4358974358977</v>
      </c>
    </row>
    <row r="212" spans="1:18">
      <c r="A212" s="539">
        <v>7</v>
      </c>
      <c r="B212" s="540" t="s">
        <v>106</v>
      </c>
      <c r="C212" s="541" t="s">
        <v>94</v>
      </c>
      <c r="D212" s="541">
        <v>9</v>
      </c>
      <c r="E212" s="619">
        <f>VLOOKUP(B212,GiaVL!$B$4:'GiaVL'!$D$185,3,0)</f>
        <v>210000</v>
      </c>
      <c r="F212" s="542">
        <f t="shared" si="76"/>
        <v>897.43589743589735</v>
      </c>
      <c r="G212" s="620">
        <v>10.3</v>
      </c>
      <c r="H212" s="620">
        <v>7.04</v>
      </c>
      <c r="I212" s="620">
        <v>1.92</v>
      </c>
      <c r="J212" s="620">
        <v>1.66</v>
      </c>
      <c r="K212" s="620">
        <v>3.97</v>
      </c>
      <c r="L212" s="620">
        <v>7.94</v>
      </c>
      <c r="M212" s="542">
        <f t="shared" si="77"/>
        <v>9243.5897435897441</v>
      </c>
      <c r="N212" s="542">
        <f t="shared" si="78"/>
        <v>6317.9487179487178</v>
      </c>
      <c r="O212" s="542">
        <f t="shared" si="79"/>
        <v>1723.0769230769229</v>
      </c>
      <c r="P212" s="542">
        <f t="shared" si="80"/>
        <v>1489.7435897435896</v>
      </c>
      <c r="Q212" s="542">
        <f t="shared" si="81"/>
        <v>3562.8205128205127</v>
      </c>
      <c r="R212" s="722">
        <f t="shared" si="82"/>
        <v>7125.6410256410254</v>
      </c>
    </row>
    <row r="213" spans="1:18">
      <c r="A213" s="539">
        <v>8</v>
      </c>
      <c r="B213" s="540" t="s">
        <v>222</v>
      </c>
      <c r="C213" s="541" t="s">
        <v>91</v>
      </c>
      <c r="D213" s="541">
        <v>36</v>
      </c>
      <c r="E213" s="619">
        <f>VLOOKUP(B213,GiaVL!$B$4:'GiaVL'!$D$185,3,0)</f>
        <v>83000</v>
      </c>
      <c r="F213" s="542">
        <f t="shared" si="76"/>
        <v>88.675213675213683</v>
      </c>
      <c r="G213" s="620">
        <v>0.04</v>
      </c>
      <c r="H213" s="620">
        <v>0.03</v>
      </c>
      <c r="I213" s="620">
        <v>0.01</v>
      </c>
      <c r="J213" s="620">
        <v>0.01</v>
      </c>
      <c r="K213" s="620">
        <v>0.02</v>
      </c>
      <c r="L213" s="620">
        <v>0.04</v>
      </c>
      <c r="M213" s="542">
        <f t="shared" si="77"/>
        <v>3.5470085470085473</v>
      </c>
      <c r="N213" s="542">
        <f t="shared" si="78"/>
        <v>2.6602564102564106</v>
      </c>
      <c r="O213" s="542">
        <f t="shared" si="79"/>
        <v>0.88675213675213682</v>
      </c>
      <c r="P213" s="542">
        <f t="shared" si="80"/>
        <v>0.88675213675213682</v>
      </c>
      <c r="Q213" s="542">
        <f t="shared" si="81"/>
        <v>1.7735042735042736</v>
      </c>
      <c r="R213" s="722">
        <f t="shared" si="82"/>
        <v>3.5470085470085473</v>
      </c>
    </row>
    <row r="214" spans="1:18">
      <c r="A214" s="539">
        <v>9</v>
      </c>
      <c r="B214" s="540" t="s">
        <v>115</v>
      </c>
      <c r="C214" s="541" t="s">
        <v>91</v>
      </c>
      <c r="D214" s="541">
        <v>48</v>
      </c>
      <c r="E214" s="619">
        <f>VLOOKUP(B214,GiaVL!$B$4:'GiaVL'!$D$185,3,0)</f>
        <v>350000</v>
      </c>
      <c r="F214" s="542">
        <f t="shared" si="76"/>
        <v>280.44871794871796</v>
      </c>
      <c r="G214" s="620">
        <v>16.100000000000001</v>
      </c>
      <c r="H214" s="620">
        <v>11</v>
      </c>
      <c r="I214" s="620">
        <v>3</v>
      </c>
      <c r="J214" s="620">
        <v>2.6</v>
      </c>
      <c r="K214" s="620">
        <v>6.2</v>
      </c>
      <c r="L214" s="620">
        <v>12.4</v>
      </c>
      <c r="M214" s="542">
        <f t="shared" si="77"/>
        <v>4515.2243589743593</v>
      </c>
      <c r="N214" s="542">
        <f t="shared" si="78"/>
        <v>3084.9358974358975</v>
      </c>
      <c r="O214" s="542">
        <f t="shared" si="79"/>
        <v>841.34615384615381</v>
      </c>
      <c r="P214" s="542">
        <f t="shared" si="80"/>
        <v>729.16666666666674</v>
      </c>
      <c r="Q214" s="542">
        <f t="shared" si="81"/>
        <v>1738.7820512820513</v>
      </c>
      <c r="R214" s="722">
        <f t="shared" si="82"/>
        <v>3477.5641025641025</v>
      </c>
    </row>
    <row r="215" spans="1:18">
      <c r="A215" s="539">
        <v>10</v>
      </c>
      <c r="B215" s="540" t="s">
        <v>104</v>
      </c>
      <c r="C215" s="541" t="s">
        <v>91</v>
      </c>
      <c r="D215" s="541">
        <v>24</v>
      </c>
      <c r="E215" s="619">
        <f>VLOOKUP(B215,GiaVL!$B$4:'GiaVL'!$D$185,3,0)</f>
        <v>100000</v>
      </c>
      <c r="F215" s="542">
        <f t="shared" si="76"/>
        <v>160.25641025641028</v>
      </c>
      <c r="G215" s="620">
        <v>3.22</v>
      </c>
      <c r="H215" s="620">
        <v>2.2000000000000002</v>
      </c>
      <c r="I215" s="620">
        <v>0.6</v>
      </c>
      <c r="J215" s="620">
        <v>0.52</v>
      </c>
      <c r="K215" s="620">
        <v>1.24</v>
      </c>
      <c r="L215" s="620">
        <v>2.48</v>
      </c>
      <c r="M215" s="542">
        <f t="shared" si="77"/>
        <v>516.02564102564111</v>
      </c>
      <c r="N215" s="542">
        <f t="shared" si="78"/>
        <v>352.56410256410265</v>
      </c>
      <c r="O215" s="542">
        <f t="shared" si="79"/>
        <v>96.15384615384616</v>
      </c>
      <c r="P215" s="542">
        <f t="shared" si="80"/>
        <v>83.333333333333343</v>
      </c>
      <c r="Q215" s="542">
        <f t="shared" si="81"/>
        <v>198.71794871794873</v>
      </c>
      <c r="R215" s="722">
        <f t="shared" si="82"/>
        <v>397.43589743589746</v>
      </c>
    </row>
    <row r="216" spans="1:18">
      <c r="A216" s="539">
        <v>11</v>
      </c>
      <c r="B216" s="540" t="s">
        <v>102</v>
      </c>
      <c r="C216" s="541" t="s">
        <v>103</v>
      </c>
      <c r="D216" s="541">
        <v>9</v>
      </c>
      <c r="E216" s="619">
        <f>VLOOKUP(B216,GiaVL!$B$4:'GiaVL'!$D$185,3,0)</f>
        <v>10000</v>
      </c>
      <c r="F216" s="542">
        <f t="shared" si="76"/>
        <v>42.735042735042732</v>
      </c>
      <c r="G216" s="620">
        <v>0.64</v>
      </c>
      <c r="H216" s="620">
        <v>0.44</v>
      </c>
      <c r="I216" s="620">
        <v>0.12</v>
      </c>
      <c r="J216" s="620">
        <v>0.1</v>
      </c>
      <c r="K216" s="620">
        <v>0.25</v>
      </c>
      <c r="L216" s="620">
        <v>0.5</v>
      </c>
      <c r="M216" s="542">
        <f t="shared" si="77"/>
        <v>27.350427350427349</v>
      </c>
      <c r="N216" s="542">
        <f t="shared" si="78"/>
        <v>18.803418803418804</v>
      </c>
      <c r="O216" s="542">
        <f t="shared" si="79"/>
        <v>5.1282051282051277</v>
      </c>
      <c r="P216" s="542">
        <f t="shared" si="80"/>
        <v>4.2735042735042734</v>
      </c>
      <c r="Q216" s="542">
        <f t="shared" si="81"/>
        <v>10.683760683760683</v>
      </c>
      <c r="R216" s="722">
        <f t="shared" si="82"/>
        <v>21.367521367521366</v>
      </c>
    </row>
    <row r="217" spans="1:18">
      <c r="A217" s="539">
        <v>12</v>
      </c>
      <c r="B217" s="540" t="s">
        <v>114</v>
      </c>
      <c r="C217" s="541" t="s">
        <v>91</v>
      </c>
      <c r="D217" s="541">
        <v>12</v>
      </c>
      <c r="E217" s="619">
        <f>VLOOKUP(B217,GiaVL!$B$4:'GiaVL'!$D$185,3,0)</f>
        <v>15000</v>
      </c>
      <c r="F217" s="542">
        <f t="shared" si="76"/>
        <v>48.07692307692308</v>
      </c>
      <c r="G217" s="620">
        <v>16.100000000000001</v>
      </c>
      <c r="H217" s="620">
        <v>11</v>
      </c>
      <c r="I217" s="620">
        <v>3</v>
      </c>
      <c r="J217" s="620">
        <v>2.6</v>
      </c>
      <c r="K217" s="620">
        <v>6.2</v>
      </c>
      <c r="L217" s="620">
        <v>12.4</v>
      </c>
      <c r="M217" s="542">
        <f t="shared" si="77"/>
        <v>774.03846153846166</v>
      </c>
      <c r="N217" s="542">
        <f t="shared" si="78"/>
        <v>528.84615384615392</v>
      </c>
      <c r="O217" s="542">
        <f t="shared" si="79"/>
        <v>144.23076923076923</v>
      </c>
      <c r="P217" s="542">
        <f t="shared" si="80"/>
        <v>125.00000000000001</v>
      </c>
      <c r="Q217" s="542">
        <f t="shared" si="81"/>
        <v>298.07692307692309</v>
      </c>
      <c r="R217" s="722">
        <f t="shared" si="82"/>
        <v>596.15384615384619</v>
      </c>
    </row>
    <row r="218" spans="1:18">
      <c r="A218" s="539">
        <v>13</v>
      </c>
      <c r="B218" s="540" t="s">
        <v>155</v>
      </c>
      <c r="C218" s="541" t="s">
        <v>91</v>
      </c>
      <c r="D218" s="541">
        <v>6</v>
      </c>
      <c r="E218" s="619">
        <f>VLOOKUP(B218,GiaVL!$B$4:'GiaVL'!$D$185,3,0)</f>
        <v>700000</v>
      </c>
      <c r="F218" s="542">
        <f t="shared" si="76"/>
        <v>4487.1794871794873</v>
      </c>
      <c r="G218" s="620">
        <v>16.100000000000001</v>
      </c>
      <c r="H218" s="620">
        <v>11</v>
      </c>
      <c r="I218" s="620">
        <v>3</v>
      </c>
      <c r="J218" s="620">
        <v>2.6</v>
      </c>
      <c r="K218" s="620">
        <v>6.2</v>
      </c>
      <c r="L218" s="620">
        <v>12.4</v>
      </c>
      <c r="M218" s="542">
        <f t="shared" si="77"/>
        <v>72243.58974358975</v>
      </c>
      <c r="N218" s="542">
        <f t="shared" si="78"/>
        <v>49358.974358974359</v>
      </c>
      <c r="O218" s="542">
        <f t="shared" si="79"/>
        <v>13461.538461538461</v>
      </c>
      <c r="P218" s="542">
        <f t="shared" si="80"/>
        <v>11666.666666666668</v>
      </c>
      <c r="Q218" s="542">
        <f t="shared" si="81"/>
        <v>27820.51282051282</v>
      </c>
      <c r="R218" s="722">
        <f t="shared" si="82"/>
        <v>55641.025641025641</v>
      </c>
    </row>
    <row r="219" spans="1:18">
      <c r="A219" s="539">
        <v>14</v>
      </c>
      <c r="B219" s="540" t="s">
        <v>223</v>
      </c>
      <c r="C219" s="541" t="s">
        <v>103</v>
      </c>
      <c r="D219" s="541">
        <v>9</v>
      </c>
      <c r="E219" s="619">
        <f>VLOOKUP(B219,GiaVL!$B$4:'GiaVL'!$D$185,3,0)</f>
        <v>30000</v>
      </c>
      <c r="F219" s="542">
        <f t="shared" si="76"/>
        <v>128.2051282051282</v>
      </c>
      <c r="G219" s="620">
        <v>3.22</v>
      </c>
      <c r="H219" s="620">
        <v>2.2000000000000002</v>
      </c>
      <c r="I219" s="620">
        <v>0.6</v>
      </c>
      <c r="J219" s="620">
        <v>0.52</v>
      </c>
      <c r="K219" s="620">
        <v>1.24</v>
      </c>
      <c r="L219" s="620">
        <v>2.48</v>
      </c>
      <c r="M219" s="542">
        <f t="shared" si="77"/>
        <v>412.82051282051282</v>
      </c>
      <c r="N219" s="542">
        <f t="shared" si="78"/>
        <v>282.0512820512821</v>
      </c>
      <c r="O219" s="542">
        <f t="shared" si="79"/>
        <v>76.92307692307692</v>
      </c>
      <c r="P219" s="542">
        <f t="shared" si="80"/>
        <v>66.666666666666671</v>
      </c>
      <c r="Q219" s="542">
        <f t="shared" si="81"/>
        <v>158.97435897435898</v>
      </c>
      <c r="R219" s="722">
        <f t="shared" si="82"/>
        <v>317.94871794871796</v>
      </c>
    </row>
    <row r="220" spans="1:18">
      <c r="A220" s="539">
        <v>15</v>
      </c>
      <c r="B220" s="540" t="s">
        <v>112</v>
      </c>
      <c r="C220" s="541" t="s">
        <v>91</v>
      </c>
      <c r="D220" s="541">
        <v>24</v>
      </c>
      <c r="E220" s="619">
        <f>VLOOKUP(B220,GiaVL!$B$4:'GiaVL'!$D$185,3,0)</f>
        <v>50000</v>
      </c>
      <c r="F220" s="542">
        <f t="shared" si="76"/>
        <v>80.128205128205138</v>
      </c>
      <c r="G220" s="620">
        <v>16.100000000000001</v>
      </c>
      <c r="H220" s="620">
        <v>11</v>
      </c>
      <c r="I220" s="620">
        <v>3</v>
      </c>
      <c r="J220" s="620">
        <v>2.6</v>
      </c>
      <c r="K220" s="620">
        <v>6.2</v>
      </c>
      <c r="L220" s="620">
        <v>12.4</v>
      </c>
      <c r="M220" s="542">
        <f t="shared" si="77"/>
        <v>1290.0641025641028</v>
      </c>
      <c r="N220" s="542">
        <f t="shared" si="78"/>
        <v>881.41025641025658</v>
      </c>
      <c r="O220" s="542">
        <f t="shared" si="79"/>
        <v>240.38461538461542</v>
      </c>
      <c r="P220" s="542">
        <f t="shared" si="80"/>
        <v>208.33333333333337</v>
      </c>
      <c r="Q220" s="542">
        <f t="shared" si="81"/>
        <v>496.79487179487188</v>
      </c>
      <c r="R220" s="722">
        <f t="shared" si="82"/>
        <v>993.58974358974376</v>
      </c>
    </row>
    <row r="221" spans="1:18">
      <c r="A221" s="547"/>
      <c r="B221" s="548" t="s">
        <v>519</v>
      </c>
      <c r="C221" s="549"/>
      <c r="D221" s="549"/>
      <c r="E221" s="550"/>
      <c r="F221" s="548"/>
      <c r="G221" s="645"/>
      <c r="H221" s="645"/>
      <c r="I221" s="645"/>
      <c r="J221" s="645"/>
      <c r="K221" s="645"/>
      <c r="L221" s="615"/>
      <c r="M221" s="552">
        <f t="shared" ref="M221:R221" si="83">SUM(M206:M220)</f>
        <v>104293.02350427351</v>
      </c>
      <c r="N221" s="552">
        <f t="shared" si="83"/>
        <v>71264.091880341875</v>
      </c>
      <c r="O221" s="552">
        <f t="shared" si="83"/>
        <v>19435.822649572649</v>
      </c>
      <c r="P221" s="552">
        <f t="shared" si="83"/>
        <v>16833.151709401711</v>
      </c>
      <c r="Q221" s="552">
        <f t="shared" si="83"/>
        <v>40172.980769230773</v>
      </c>
      <c r="R221" s="568">
        <f t="shared" si="83"/>
        <v>80345.961538461546</v>
      </c>
    </row>
    <row r="222" spans="1:18" s="576" customFormat="1" ht="15" customHeight="1">
      <c r="A222" s="1124" t="s">
        <v>28</v>
      </c>
      <c r="B222" s="1121" t="s">
        <v>200</v>
      </c>
      <c r="C222" s="1121"/>
      <c r="D222" s="549">
        <v>1</v>
      </c>
      <c r="E222" s="550"/>
      <c r="F222" s="548"/>
      <c r="G222" s="620">
        <v>0.6</v>
      </c>
      <c r="H222" s="620">
        <v>0.6</v>
      </c>
      <c r="I222" s="620">
        <v>0.6</v>
      </c>
      <c r="J222" s="620">
        <v>0.6</v>
      </c>
      <c r="K222" s="620">
        <v>0.6</v>
      </c>
      <c r="L222" s="628">
        <v>0.6</v>
      </c>
      <c r="M222" s="552">
        <f t="shared" ref="M222:P226" si="84">G222*M$221</f>
        <v>62575.814102564109</v>
      </c>
      <c r="N222" s="552">
        <f t="shared" si="84"/>
        <v>42758.455128205125</v>
      </c>
      <c r="O222" s="552">
        <f t="shared" si="84"/>
        <v>11661.493589743588</v>
      </c>
      <c r="P222" s="552">
        <f t="shared" si="84"/>
        <v>10099.891025641025</v>
      </c>
      <c r="Q222" s="552">
        <f t="shared" ref="Q222:Q226" si="85">K222*Q$221</f>
        <v>24103.788461538465</v>
      </c>
      <c r="R222" s="568">
        <f t="shared" ref="R222:R226" si="86">L222*R$221</f>
        <v>48207.576923076929</v>
      </c>
    </row>
    <row r="223" spans="1:18" s="576" customFormat="1" ht="15" customHeight="1">
      <c r="A223" s="1124"/>
      <c r="B223" s="1121"/>
      <c r="C223" s="1121"/>
      <c r="D223" s="549">
        <v>2</v>
      </c>
      <c r="E223" s="550"/>
      <c r="F223" s="548"/>
      <c r="G223" s="630">
        <v>0.75</v>
      </c>
      <c r="H223" s="630">
        <v>0.75</v>
      </c>
      <c r="I223" s="630">
        <v>0.75</v>
      </c>
      <c r="J223" s="630">
        <v>0.75</v>
      </c>
      <c r="K223" s="630">
        <v>0.75</v>
      </c>
      <c r="L223" s="628">
        <v>0.75</v>
      </c>
      <c r="M223" s="552">
        <f t="shared" si="84"/>
        <v>78219.76762820514</v>
      </c>
      <c r="N223" s="552">
        <f t="shared" si="84"/>
        <v>53448.068910256407</v>
      </c>
      <c r="O223" s="552">
        <f t="shared" si="84"/>
        <v>14576.866987179486</v>
      </c>
      <c r="P223" s="552">
        <f t="shared" si="84"/>
        <v>12624.863782051283</v>
      </c>
      <c r="Q223" s="552">
        <f t="shared" si="85"/>
        <v>30129.735576923078</v>
      </c>
      <c r="R223" s="568">
        <f t="shared" si="86"/>
        <v>60259.471153846156</v>
      </c>
    </row>
    <row r="224" spans="1:18" s="576" customFormat="1" ht="15" customHeight="1">
      <c r="A224" s="1124"/>
      <c r="B224" s="1121"/>
      <c r="C224" s="1121"/>
      <c r="D224" s="549">
        <v>3</v>
      </c>
      <c r="E224" s="550"/>
      <c r="F224" s="548"/>
      <c r="G224" s="620">
        <v>1</v>
      </c>
      <c r="H224" s="620">
        <v>1</v>
      </c>
      <c r="I224" s="620">
        <v>1</v>
      </c>
      <c r="J224" s="620">
        <v>1</v>
      </c>
      <c r="K224" s="620">
        <v>1</v>
      </c>
      <c r="L224" s="628">
        <v>1</v>
      </c>
      <c r="M224" s="552">
        <f t="shared" si="84"/>
        <v>104293.02350427351</v>
      </c>
      <c r="N224" s="552">
        <f t="shared" si="84"/>
        <v>71264.091880341875</v>
      </c>
      <c r="O224" s="552">
        <f t="shared" si="84"/>
        <v>19435.822649572649</v>
      </c>
      <c r="P224" s="552">
        <f t="shared" si="84"/>
        <v>16833.151709401711</v>
      </c>
      <c r="Q224" s="552">
        <f t="shared" si="85"/>
        <v>40172.980769230773</v>
      </c>
      <c r="R224" s="568">
        <f t="shared" si="86"/>
        <v>80345.961538461546</v>
      </c>
    </row>
    <row r="225" spans="1:18" s="576" customFormat="1" ht="15" customHeight="1">
      <c r="A225" s="1124"/>
      <c r="B225" s="1121"/>
      <c r="C225" s="1121"/>
      <c r="D225" s="549">
        <v>4</v>
      </c>
      <c r="E225" s="550"/>
      <c r="F225" s="548"/>
      <c r="G225" s="620">
        <v>1.2</v>
      </c>
      <c r="H225" s="620">
        <v>1.35</v>
      </c>
      <c r="I225" s="620">
        <v>1.35</v>
      </c>
      <c r="J225" s="620">
        <v>1.35</v>
      </c>
      <c r="K225" s="620">
        <v>1.1000000000000001</v>
      </c>
      <c r="L225" s="628">
        <v>1.1000000000000001</v>
      </c>
      <c r="M225" s="552">
        <f t="shared" si="84"/>
        <v>125151.62820512822</v>
      </c>
      <c r="N225" s="552">
        <f t="shared" si="84"/>
        <v>96206.524038461532</v>
      </c>
      <c r="O225" s="552">
        <f t="shared" si="84"/>
        <v>26238.360576923078</v>
      </c>
      <c r="P225" s="552">
        <f t="shared" si="84"/>
        <v>22724.754807692312</v>
      </c>
      <c r="Q225" s="552">
        <f t="shared" si="85"/>
        <v>44190.278846153851</v>
      </c>
      <c r="R225" s="568">
        <f t="shared" si="86"/>
        <v>88380.557692307702</v>
      </c>
    </row>
    <row r="226" spans="1:18" s="576" customFormat="1" ht="15" customHeight="1">
      <c r="A226" s="1124"/>
      <c r="B226" s="1121"/>
      <c r="C226" s="1121"/>
      <c r="D226" s="549">
        <v>5</v>
      </c>
      <c r="E226" s="550"/>
      <c r="F226" s="548"/>
      <c r="G226" s="620"/>
      <c r="H226" s="620">
        <v>1.75</v>
      </c>
      <c r="I226" s="620">
        <v>1.75</v>
      </c>
      <c r="J226" s="620">
        <v>1.75</v>
      </c>
      <c r="K226" s="620"/>
      <c r="L226" s="628"/>
      <c r="M226" s="552">
        <f t="shared" si="84"/>
        <v>0</v>
      </c>
      <c r="N226" s="552">
        <f t="shared" si="84"/>
        <v>124712.16079059828</v>
      </c>
      <c r="O226" s="552">
        <f t="shared" si="84"/>
        <v>34012.689636752133</v>
      </c>
      <c r="P226" s="552">
        <f t="shared" si="84"/>
        <v>29458.015491452992</v>
      </c>
      <c r="Q226" s="552">
        <f t="shared" si="85"/>
        <v>0</v>
      </c>
      <c r="R226" s="568">
        <f t="shared" si="86"/>
        <v>0</v>
      </c>
    </row>
    <row r="227" spans="1:18" s="576" customFormat="1">
      <c r="A227" s="547"/>
      <c r="B227" s="540" t="s">
        <v>283</v>
      </c>
      <c r="C227" s="549"/>
      <c r="D227" s="549"/>
      <c r="E227" s="550"/>
      <c r="F227" s="548"/>
      <c r="G227" s="540"/>
      <c r="H227" s="653"/>
      <c r="I227" s="540"/>
      <c r="J227" s="540"/>
      <c r="K227" s="540"/>
      <c r="L227" s="723"/>
      <c r="M227" s="552"/>
      <c r="N227" s="552"/>
      <c r="O227" s="552"/>
      <c r="P227" s="552"/>
      <c r="Q227" s="626"/>
      <c r="R227" s="627"/>
    </row>
    <row r="228" spans="1:18" s="576" customFormat="1" ht="28.5" customHeight="1">
      <c r="A228" s="547"/>
      <c r="B228" s="1118" t="s">
        <v>416</v>
      </c>
      <c r="C228" s="1118"/>
      <c r="D228" s="1118"/>
      <c r="E228" s="1118"/>
      <c r="F228" s="1118"/>
      <c r="G228" s="1118"/>
      <c r="H228" s="1118"/>
      <c r="I228" s="1118"/>
      <c r="J228" s="1118"/>
      <c r="K228" s="1118"/>
      <c r="L228" s="1118"/>
      <c r="M228" s="1118"/>
      <c r="N228" s="1118"/>
      <c r="O228" s="1118"/>
      <c r="P228" s="1118"/>
      <c r="Q228" s="1118"/>
      <c r="R228" s="1119"/>
    </row>
    <row r="229" spans="1:18" s="576" customFormat="1">
      <c r="A229" s="547"/>
      <c r="B229" s="548"/>
      <c r="C229" s="549"/>
      <c r="D229" s="549"/>
      <c r="E229" s="550"/>
      <c r="F229" s="548"/>
      <c r="G229" s="653"/>
      <c r="H229" s="653"/>
      <c r="I229" s="653"/>
      <c r="J229" s="653"/>
      <c r="K229" s="653"/>
      <c r="L229" s="723"/>
      <c r="M229" s="552"/>
      <c r="N229" s="552"/>
      <c r="O229" s="552"/>
      <c r="P229" s="552"/>
      <c r="Q229" s="626"/>
      <c r="R229" s="627"/>
    </row>
    <row r="230" spans="1:18" s="577" customFormat="1">
      <c r="A230" s="555" t="s">
        <v>29</v>
      </c>
      <c r="B230" s="840" t="s">
        <v>525</v>
      </c>
      <c r="C230" s="549"/>
      <c r="D230" s="549"/>
      <c r="E230" s="550"/>
      <c r="F230" s="549"/>
      <c r="G230" s="614"/>
      <c r="H230" s="614"/>
      <c r="I230" s="614"/>
      <c r="J230" s="614"/>
      <c r="K230" s="614"/>
      <c r="L230" s="615"/>
      <c r="M230" s="549"/>
      <c r="N230" s="549"/>
      <c r="O230" s="549"/>
      <c r="P230" s="549"/>
      <c r="Q230" s="541"/>
      <c r="R230" s="618"/>
    </row>
    <row r="231" spans="1:18">
      <c r="A231" s="539">
        <v>1</v>
      </c>
      <c r="B231" s="540" t="s">
        <v>90</v>
      </c>
      <c r="C231" s="541" t="s">
        <v>91</v>
      </c>
      <c r="D231" s="541">
        <v>18</v>
      </c>
      <c r="E231" s="619">
        <f>VLOOKUP(B231,GiaVL!$B$4:'GiaVL'!$D$185,3,0)</f>
        <v>210000</v>
      </c>
      <c r="F231" s="542">
        <f t="shared" ref="F231:F244" si="87">E231/D231/26</f>
        <v>448.71794871794867</v>
      </c>
      <c r="G231" s="620">
        <v>47.8</v>
      </c>
      <c r="H231" s="620">
        <v>33.36</v>
      </c>
      <c r="I231" s="620">
        <v>13.45</v>
      </c>
      <c r="J231" s="620">
        <v>13.96</v>
      </c>
      <c r="K231" s="620">
        <v>22.06</v>
      </c>
      <c r="L231" s="620">
        <v>44.12</v>
      </c>
      <c r="M231" s="542">
        <f t="shared" ref="M231:M244" si="88">$F231*G231</f>
        <v>21448.717948717946</v>
      </c>
      <c r="N231" s="542">
        <f t="shared" ref="N231:N244" si="89">$F231*H231</f>
        <v>14969.230769230768</v>
      </c>
      <c r="O231" s="542">
        <f t="shared" ref="O231:O244" si="90">$F231*I231</f>
        <v>6035.2564102564093</v>
      </c>
      <c r="P231" s="542">
        <f>$F231*J231</f>
        <v>6264.1025641025635</v>
      </c>
      <c r="Q231" s="542">
        <f>$F231*K231</f>
        <v>9898.7179487179474</v>
      </c>
      <c r="R231" s="722">
        <f>$F231*L231</f>
        <v>19797.435897435895</v>
      </c>
    </row>
    <row r="232" spans="1:18">
      <c r="A232" s="539">
        <v>2</v>
      </c>
      <c r="B232" s="540" t="s">
        <v>92</v>
      </c>
      <c r="C232" s="541" t="s">
        <v>91</v>
      </c>
      <c r="D232" s="541">
        <v>18</v>
      </c>
      <c r="E232" s="619">
        <f>VLOOKUP(B232,GiaVL!$B$4:'GiaVL'!$D$185,3,0)</f>
        <v>100000</v>
      </c>
      <c r="F232" s="542">
        <f t="shared" si="87"/>
        <v>213.67521367521368</v>
      </c>
      <c r="G232" s="620">
        <v>47.8</v>
      </c>
      <c r="H232" s="620">
        <v>33.36</v>
      </c>
      <c r="I232" s="620">
        <v>13.45</v>
      </c>
      <c r="J232" s="620">
        <v>13.96</v>
      </c>
      <c r="K232" s="620">
        <v>22.06</v>
      </c>
      <c r="L232" s="620">
        <v>44.12</v>
      </c>
      <c r="M232" s="542">
        <f t="shared" si="88"/>
        <v>10213.675213675213</v>
      </c>
      <c r="N232" s="542">
        <f t="shared" si="89"/>
        <v>7128.2051282051279</v>
      </c>
      <c r="O232" s="542">
        <f t="shared" si="90"/>
        <v>2873.931623931624</v>
      </c>
      <c r="P232" s="542">
        <f t="shared" ref="P232:P244" si="91">$F232*J232</f>
        <v>2982.9059829059834</v>
      </c>
      <c r="Q232" s="542">
        <f t="shared" ref="Q232:Q244" si="92">$F232*K232</f>
        <v>4713.6752136752139</v>
      </c>
      <c r="R232" s="722">
        <f t="shared" ref="R232:R244" si="93">$F232*L232</f>
        <v>9427.3504273504277</v>
      </c>
    </row>
    <row r="233" spans="1:18">
      <c r="A233" s="539">
        <v>3</v>
      </c>
      <c r="B233" s="540" t="s">
        <v>597</v>
      </c>
      <c r="C233" s="541" t="s">
        <v>91</v>
      </c>
      <c r="D233" s="541">
        <v>18</v>
      </c>
      <c r="E233" s="619">
        <f>VLOOKUP(B233,GiaVL!$B$4:'GiaVL'!$D$185,3,0)</f>
        <v>240000</v>
      </c>
      <c r="F233" s="542">
        <f t="shared" si="87"/>
        <v>512.82051282051282</v>
      </c>
      <c r="G233" s="620">
        <v>127.46</v>
      </c>
      <c r="H233" s="620">
        <v>88.96</v>
      </c>
      <c r="I233" s="620">
        <v>35.86</v>
      </c>
      <c r="J233" s="620">
        <v>37.229999999999997</v>
      </c>
      <c r="K233" s="620">
        <v>58.82</v>
      </c>
      <c r="L233" s="620">
        <v>117.64</v>
      </c>
      <c r="M233" s="542">
        <f t="shared" si="88"/>
        <v>65364.102564102563</v>
      </c>
      <c r="N233" s="542">
        <f t="shared" si="89"/>
        <v>45620.51282051282</v>
      </c>
      <c r="O233" s="542">
        <f t="shared" si="90"/>
        <v>18389.74358974359</v>
      </c>
      <c r="P233" s="542">
        <f t="shared" si="91"/>
        <v>19092.307692307691</v>
      </c>
      <c r="Q233" s="542">
        <f t="shared" si="92"/>
        <v>30164.102564102563</v>
      </c>
      <c r="R233" s="722">
        <f t="shared" si="93"/>
        <v>60328.205128205125</v>
      </c>
    </row>
    <row r="234" spans="1:18">
      <c r="A234" s="539">
        <v>4</v>
      </c>
      <c r="B234" s="540" t="s">
        <v>98</v>
      </c>
      <c r="C234" s="541" t="s">
        <v>99</v>
      </c>
      <c r="D234" s="541">
        <v>12</v>
      </c>
      <c r="E234" s="619">
        <f>VLOOKUP(B234,GiaVL!$B$4:'GiaVL'!$D$185,3,0)</f>
        <v>145000</v>
      </c>
      <c r="F234" s="542">
        <f t="shared" si="87"/>
        <v>464.74358974358978</v>
      </c>
      <c r="G234" s="620">
        <v>127.46</v>
      </c>
      <c r="H234" s="620">
        <v>88.96</v>
      </c>
      <c r="I234" s="620">
        <v>35.86</v>
      </c>
      <c r="J234" s="620">
        <v>37.229999999999997</v>
      </c>
      <c r="K234" s="620">
        <v>58.82</v>
      </c>
      <c r="L234" s="620">
        <v>117.64</v>
      </c>
      <c r="M234" s="542">
        <f t="shared" si="88"/>
        <v>59236.217948717953</v>
      </c>
      <c r="N234" s="542">
        <f t="shared" si="89"/>
        <v>41343.589743589742</v>
      </c>
      <c r="O234" s="542">
        <f t="shared" si="90"/>
        <v>16665.705128205129</v>
      </c>
      <c r="P234" s="542">
        <f t="shared" si="91"/>
        <v>17302.403846153848</v>
      </c>
      <c r="Q234" s="542">
        <f t="shared" si="92"/>
        <v>27336.217948717949</v>
      </c>
      <c r="R234" s="722">
        <f t="shared" si="93"/>
        <v>54672.435897435898</v>
      </c>
    </row>
    <row r="235" spans="1:18">
      <c r="A235" s="539">
        <v>5</v>
      </c>
      <c r="B235" s="540" t="s">
        <v>101</v>
      </c>
      <c r="C235" s="541" t="s">
        <v>91</v>
      </c>
      <c r="D235" s="541">
        <v>12</v>
      </c>
      <c r="E235" s="619">
        <f>VLOOKUP(B235,GiaVL!$B$4:'GiaVL'!$D$185,3,0)</f>
        <v>50000</v>
      </c>
      <c r="F235" s="542">
        <f t="shared" si="87"/>
        <v>160.25641025641028</v>
      </c>
      <c r="G235" s="620">
        <v>127.46</v>
      </c>
      <c r="H235" s="620">
        <v>88.96</v>
      </c>
      <c r="I235" s="620">
        <v>35.86</v>
      </c>
      <c r="J235" s="620">
        <v>37.229999999999997</v>
      </c>
      <c r="K235" s="620">
        <v>58.82</v>
      </c>
      <c r="L235" s="620">
        <v>117.64</v>
      </c>
      <c r="M235" s="542">
        <f t="shared" si="88"/>
        <v>20426.282051282054</v>
      </c>
      <c r="N235" s="542">
        <f t="shared" si="89"/>
        <v>14256.410256410258</v>
      </c>
      <c r="O235" s="542">
        <f t="shared" si="90"/>
        <v>5746.7948717948721</v>
      </c>
      <c r="P235" s="542">
        <f t="shared" si="91"/>
        <v>5966.3461538461543</v>
      </c>
      <c r="Q235" s="542">
        <f t="shared" si="92"/>
        <v>9426.2820512820526</v>
      </c>
      <c r="R235" s="722">
        <f t="shared" si="93"/>
        <v>18852.564102564105</v>
      </c>
    </row>
    <row r="236" spans="1:18">
      <c r="A236" s="539">
        <v>6</v>
      </c>
      <c r="B236" s="540" t="s">
        <v>106</v>
      </c>
      <c r="C236" s="541" t="s">
        <v>94</v>
      </c>
      <c r="D236" s="541">
        <v>9</v>
      </c>
      <c r="E236" s="619">
        <f>VLOOKUP(B236,GiaVL!$B$4:'GiaVL'!$D$185,3,0)</f>
        <v>210000</v>
      </c>
      <c r="F236" s="542">
        <f t="shared" si="87"/>
        <v>897.43589743589735</v>
      </c>
      <c r="G236" s="620">
        <v>127.46</v>
      </c>
      <c r="H236" s="620">
        <v>88.96</v>
      </c>
      <c r="I236" s="620">
        <v>35.86</v>
      </c>
      <c r="J236" s="620">
        <v>37.229999999999997</v>
      </c>
      <c r="K236" s="620">
        <v>58.82</v>
      </c>
      <c r="L236" s="620">
        <v>117.64</v>
      </c>
      <c r="M236" s="542">
        <f t="shared" si="88"/>
        <v>114387.17948717947</v>
      </c>
      <c r="N236" s="542">
        <f t="shared" si="89"/>
        <v>79835.897435897423</v>
      </c>
      <c r="O236" s="542">
        <f t="shared" si="90"/>
        <v>32182.051282051278</v>
      </c>
      <c r="P236" s="542">
        <f t="shared" si="91"/>
        <v>33411.538461538454</v>
      </c>
      <c r="Q236" s="542">
        <f t="shared" si="92"/>
        <v>52787.179487179485</v>
      </c>
      <c r="R236" s="722">
        <f t="shared" si="93"/>
        <v>105574.35897435897</v>
      </c>
    </row>
    <row r="237" spans="1:18">
      <c r="A237" s="539">
        <v>7</v>
      </c>
      <c r="B237" s="540" t="s">
        <v>107</v>
      </c>
      <c r="C237" s="541" t="s">
        <v>99</v>
      </c>
      <c r="D237" s="541">
        <v>6</v>
      </c>
      <c r="E237" s="619">
        <f>VLOOKUP(B237,GiaVL!$B$4:'GiaVL'!$D$185,3,0)</f>
        <v>26000</v>
      </c>
      <c r="F237" s="542">
        <f t="shared" si="87"/>
        <v>166.66666666666666</v>
      </c>
      <c r="G237" s="620">
        <v>127.46</v>
      </c>
      <c r="H237" s="620">
        <v>88.96</v>
      </c>
      <c r="I237" s="620">
        <v>35.86</v>
      </c>
      <c r="J237" s="620">
        <v>37.229999999999997</v>
      </c>
      <c r="K237" s="620">
        <v>58.82</v>
      </c>
      <c r="L237" s="620">
        <v>117.64</v>
      </c>
      <c r="M237" s="542">
        <f t="shared" si="88"/>
        <v>21243.333333333332</v>
      </c>
      <c r="N237" s="542">
        <f t="shared" si="89"/>
        <v>14826.666666666664</v>
      </c>
      <c r="O237" s="542">
        <f t="shared" si="90"/>
        <v>5976.6666666666661</v>
      </c>
      <c r="P237" s="542">
        <f t="shared" si="91"/>
        <v>6204.9999999999991</v>
      </c>
      <c r="Q237" s="542">
        <f t="shared" si="92"/>
        <v>9803.3333333333321</v>
      </c>
      <c r="R237" s="722">
        <f t="shared" si="93"/>
        <v>19606.666666666664</v>
      </c>
    </row>
    <row r="238" spans="1:18">
      <c r="A238" s="539">
        <v>8</v>
      </c>
      <c r="B238" s="540" t="s">
        <v>115</v>
      </c>
      <c r="C238" s="541" t="s">
        <v>91</v>
      </c>
      <c r="D238" s="541">
        <v>48</v>
      </c>
      <c r="E238" s="619">
        <f>VLOOKUP(B238,GiaVL!$B$4:'GiaVL'!$D$185,3,0)</f>
        <v>350000</v>
      </c>
      <c r="F238" s="542">
        <f t="shared" si="87"/>
        <v>280.44871794871796</v>
      </c>
      <c r="G238" s="620">
        <v>23.9</v>
      </c>
      <c r="H238" s="620">
        <v>16.68</v>
      </c>
      <c r="I238" s="620">
        <v>6.72</v>
      </c>
      <c r="J238" s="620">
        <v>6.98</v>
      </c>
      <c r="K238" s="620">
        <v>9.23</v>
      </c>
      <c r="L238" s="620">
        <v>18.46</v>
      </c>
      <c r="M238" s="542">
        <f t="shared" si="88"/>
        <v>6702.7243589743584</v>
      </c>
      <c r="N238" s="542">
        <f t="shared" si="89"/>
        <v>4677.8846153846152</v>
      </c>
      <c r="O238" s="542">
        <f t="shared" si="90"/>
        <v>1884.6153846153845</v>
      </c>
      <c r="P238" s="542">
        <f t="shared" si="91"/>
        <v>1957.5320512820515</v>
      </c>
      <c r="Q238" s="542">
        <f t="shared" si="92"/>
        <v>2588.541666666667</v>
      </c>
      <c r="R238" s="722">
        <f t="shared" si="93"/>
        <v>5177.0833333333339</v>
      </c>
    </row>
    <row r="239" spans="1:18">
      <c r="A239" s="539">
        <v>9</v>
      </c>
      <c r="B239" s="540" t="s">
        <v>104</v>
      </c>
      <c r="C239" s="541" t="s">
        <v>91</v>
      </c>
      <c r="D239" s="541">
        <v>24</v>
      </c>
      <c r="E239" s="619">
        <f>VLOOKUP(B239,GiaVL!$B$4:'GiaVL'!$D$185,3,0)</f>
        <v>100000</v>
      </c>
      <c r="F239" s="542">
        <f t="shared" si="87"/>
        <v>160.25641025641028</v>
      </c>
      <c r="G239" s="620">
        <v>23.9</v>
      </c>
      <c r="H239" s="620">
        <v>16.68</v>
      </c>
      <c r="I239" s="620">
        <v>6.72</v>
      </c>
      <c r="J239" s="620">
        <v>6.98</v>
      </c>
      <c r="K239" s="620">
        <v>9.23</v>
      </c>
      <c r="L239" s="620">
        <v>18.46</v>
      </c>
      <c r="M239" s="542">
        <f t="shared" si="88"/>
        <v>3830.1282051282055</v>
      </c>
      <c r="N239" s="542">
        <f t="shared" si="89"/>
        <v>2673.0769230769233</v>
      </c>
      <c r="O239" s="542">
        <f t="shared" si="90"/>
        <v>1076.9230769230771</v>
      </c>
      <c r="P239" s="542">
        <f t="shared" si="91"/>
        <v>1118.5897435897439</v>
      </c>
      <c r="Q239" s="542">
        <f t="shared" si="92"/>
        <v>1479.166666666667</v>
      </c>
      <c r="R239" s="722">
        <f t="shared" si="93"/>
        <v>2958.3333333333339</v>
      </c>
    </row>
    <row r="240" spans="1:18">
      <c r="A240" s="539">
        <v>10</v>
      </c>
      <c r="B240" s="540" t="s">
        <v>102</v>
      </c>
      <c r="C240" s="541" t="s">
        <v>61</v>
      </c>
      <c r="D240" s="541">
        <v>9</v>
      </c>
      <c r="E240" s="619">
        <f>VLOOKUP(B240,GiaVL!$B$4:'GiaVL'!$D$185,3,0)</f>
        <v>10000</v>
      </c>
      <c r="F240" s="542">
        <f t="shared" si="87"/>
        <v>42.735042735042732</v>
      </c>
      <c r="G240" s="620">
        <v>3.98</v>
      </c>
      <c r="H240" s="620">
        <v>2.78</v>
      </c>
      <c r="I240" s="620">
        <v>1.1200000000000001</v>
      </c>
      <c r="J240" s="620">
        <v>1.1599999999999999</v>
      </c>
      <c r="K240" s="620">
        <v>1.54</v>
      </c>
      <c r="L240" s="620">
        <v>3.08</v>
      </c>
      <c r="M240" s="542">
        <f t="shared" si="88"/>
        <v>170.08547008547006</v>
      </c>
      <c r="N240" s="542">
        <f t="shared" si="89"/>
        <v>118.80341880341879</v>
      </c>
      <c r="O240" s="542">
        <f t="shared" si="90"/>
        <v>47.863247863247864</v>
      </c>
      <c r="P240" s="542">
        <f t="shared" si="91"/>
        <v>49.572649572649567</v>
      </c>
      <c r="Q240" s="542">
        <f t="shared" si="92"/>
        <v>65.811965811965806</v>
      </c>
      <c r="R240" s="722">
        <f t="shared" si="93"/>
        <v>131.62393162393161</v>
      </c>
    </row>
    <row r="241" spans="1:18">
      <c r="A241" s="539">
        <v>11</v>
      </c>
      <c r="B241" s="540" t="s">
        <v>114</v>
      </c>
      <c r="C241" s="541" t="s">
        <v>91</v>
      </c>
      <c r="D241" s="541">
        <v>12</v>
      </c>
      <c r="E241" s="619">
        <f>VLOOKUP(B241,GiaVL!$B$4:'GiaVL'!$D$185,3,0)</f>
        <v>15000</v>
      </c>
      <c r="F241" s="542">
        <f t="shared" si="87"/>
        <v>48.07692307692308</v>
      </c>
      <c r="G241" s="620">
        <v>23.9</v>
      </c>
      <c r="H241" s="620">
        <v>16.68</v>
      </c>
      <c r="I241" s="620">
        <v>6.72</v>
      </c>
      <c r="J241" s="620">
        <v>6.98</v>
      </c>
      <c r="K241" s="620">
        <v>9.23</v>
      </c>
      <c r="L241" s="620">
        <v>18.46</v>
      </c>
      <c r="M241" s="542">
        <f t="shared" si="88"/>
        <v>1149.0384615384617</v>
      </c>
      <c r="N241" s="542">
        <f t="shared" si="89"/>
        <v>801.92307692307702</v>
      </c>
      <c r="O241" s="542">
        <f t="shared" si="90"/>
        <v>323.07692307692309</v>
      </c>
      <c r="P241" s="542">
        <f t="shared" si="91"/>
        <v>335.57692307692309</v>
      </c>
      <c r="Q241" s="542">
        <f t="shared" si="92"/>
        <v>443.75000000000006</v>
      </c>
      <c r="R241" s="722">
        <f t="shared" si="93"/>
        <v>887.50000000000011</v>
      </c>
    </row>
    <row r="242" spans="1:18">
      <c r="A242" s="539">
        <v>12</v>
      </c>
      <c r="B242" s="540" t="s">
        <v>113</v>
      </c>
      <c r="C242" s="541" t="s">
        <v>91</v>
      </c>
      <c r="D242" s="541">
        <v>4</v>
      </c>
      <c r="E242" s="619">
        <f>VLOOKUP(B242,GiaVL!$B$4:'GiaVL'!$D$185,3,0)</f>
        <v>120000</v>
      </c>
      <c r="F242" s="542">
        <f t="shared" si="87"/>
        <v>1153.8461538461538</v>
      </c>
      <c r="G242" s="620">
        <v>7.97</v>
      </c>
      <c r="H242" s="620">
        <v>5.56</v>
      </c>
      <c r="I242" s="620">
        <v>2.2400000000000002</v>
      </c>
      <c r="J242" s="620">
        <v>2.3199999999999998</v>
      </c>
      <c r="K242" s="620">
        <v>3.08</v>
      </c>
      <c r="L242" s="620">
        <v>6.16</v>
      </c>
      <c r="M242" s="542">
        <f t="shared" si="88"/>
        <v>9196.1538461538457</v>
      </c>
      <c r="N242" s="542">
        <f t="shared" si="89"/>
        <v>6415.3846153846143</v>
      </c>
      <c r="O242" s="542">
        <f t="shared" si="90"/>
        <v>2584.6153846153848</v>
      </c>
      <c r="P242" s="542">
        <f t="shared" si="91"/>
        <v>2676.9230769230767</v>
      </c>
      <c r="Q242" s="542">
        <f t="shared" si="92"/>
        <v>3553.8461538461538</v>
      </c>
      <c r="R242" s="722">
        <f t="shared" si="93"/>
        <v>7107.6923076923076</v>
      </c>
    </row>
    <row r="243" spans="1:18">
      <c r="A243" s="539">
        <v>13</v>
      </c>
      <c r="B243" s="431" t="s">
        <v>170</v>
      </c>
      <c r="C243" s="541" t="s">
        <v>91</v>
      </c>
      <c r="D243" s="541">
        <v>2</v>
      </c>
      <c r="E243" s="619">
        <f>VLOOKUP(B243,GiaVL!$B$4:'GiaVL'!$D$185,3,0)</f>
        <v>450000</v>
      </c>
      <c r="F243" s="542">
        <f t="shared" si="87"/>
        <v>8653.8461538461543</v>
      </c>
      <c r="G243" s="620">
        <v>3.98</v>
      </c>
      <c r="H243" s="620">
        <v>2.78</v>
      </c>
      <c r="I243" s="620">
        <v>1.1200000000000001</v>
      </c>
      <c r="J243" s="620">
        <v>1.1599999999999999</v>
      </c>
      <c r="K243" s="620">
        <v>1.54</v>
      </c>
      <c r="L243" s="620">
        <v>3.08</v>
      </c>
      <c r="M243" s="542">
        <f t="shared" si="88"/>
        <v>34442.307692307695</v>
      </c>
      <c r="N243" s="542">
        <f t="shared" si="89"/>
        <v>24057.692307692309</v>
      </c>
      <c r="O243" s="542">
        <f t="shared" si="90"/>
        <v>9692.3076923076933</v>
      </c>
      <c r="P243" s="542">
        <f t="shared" si="91"/>
        <v>10038.461538461539</v>
      </c>
      <c r="Q243" s="542">
        <f t="shared" si="92"/>
        <v>13326.923076923078</v>
      </c>
      <c r="R243" s="722">
        <f t="shared" si="93"/>
        <v>26653.846153846156</v>
      </c>
    </row>
    <row r="244" spans="1:18">
      <c r="A244" s="539">
        <v>14</v>
      </c>
      <c r="B244" s="540" t="s">
        <v>155</v>
      </c>
      <c r="C244" s="541" t="s">
        <v>91</v>
      </c>
      <c r="D244" s="541">
        <v>6</v>
      </c>
      <c r="E244" s="619">
        <f>VLOOKUP(B244,GiaVL!$B$4:'GiaVL'!$D$185,3,0)</f>
        <v>700000</v>
      </c>
      <c r="F244" s="542">
        <f t="shared" si="87"/>
        <v>4487.1794871794873</v>
      </c>
      <c r="G244" s="620">
        <v>23.9</v>
      </c>
      <c r="H244" s="620">
        <v>16.68</v>
      </c>
      <c r="I244" s="620">
        <v>6.72</v>
      </c>
      <c r="J244" s="620">
        <v>6.98</v>
      </c>
      <c r="K244" s="620">
        <v>9.23</v>
      </c>
      <c r="L244" s="620">
        <v>18.46</v>
      </c>
      <c r="M244" s="542">
        <f t="shared" si="88"/>
        <v>107243.58974358974</v>
      </c>
      <c r="N244" s="542">
        <f t="shared" si="89"/>
        <v>74846.153846153844</v>
      </c>
      <c r="O244" s="542">
        <f t="shared" si="90"/>
        <v>30153.846153846152</v>
      </c>
      <c r="P244" s="542">
        <f t="shared" si="91"/>
        <v>31320.512820512824</v>
      </c>
      <c r="Q244" s="542">
        <f t="shared" si="92"/>
        <v>41416.666666666672</v>
      </c>
      <c r="R244" s="722">
        <f t="shared" si="93"/>
        <v>82833.333333333343</v>
      </c>
    </row>
    <row r="245" spans="1:18">
      <c r="A245" s="547"/>
      <c r="B245" s="548" t="s">
        <v>519</v>
      </c>
      <c r="C245" s="549"/>
      <c r="D245" s="549"/>
      <c r="E245" s="550"/>
      <c r="F245" s="548"/>
      <c r="G245" s="645"/>
      <c r="H245" s="645"/>
      <c r="I245" s="645"/>
      <c r="J245" s="645"/>
      <c r="K245" s="645"/>
      <c r="L245" s="615"/>
      <c r="M245" s="552">
        <f t="shared" ref="M245:R245" si="94">SUM(M231:M244)</f>
        <v>475053.53632478637</v>
      </c>
      <c r="N245" s="552">
        <f t="shared" si="94"/>
        <v>331571.43162393162</v>
      </c>
      <c r="O245" s="552">
        <f t="shared" si="94"/>
        <v>133633.39743589744</v>
      </c>
      <c r="P245" s="552">
        <f t="shared" si="94"/>
        <v>138721.7735042735</v>
      </c>
      <c r="Q245" s="552">
        <f t="shared" si="94"/>
        <v>207004.21474358975</v>
      </c>
      <c r="R245" s="568">
        <f t="shared" si="94"/>
        <v>414008.4294871795</v>
      </c>
    </row>
    <row r="246" spans="1:18" s="576" customFormat="1" ht="15" customHeight="1">
      <c r="A246" s="1124" t="s">
        <v>29</v>
      </c>
      <c r="B246" s="1151" t="s">
        <v>525</v>
      </c>
      <c r="C246" s="1151"/>
      <c r="D246" s="549">
        <v>1</v>
      </c>
      <c r="E246" s="550"/>
      <c r="F246" s="548"/>
      <c r="G246" s="620">
        <v>0.6</v>
      </c>
      <c r="H246" s="620">
        <v>0.6</v>
      </c>
      <c r="I246" s="620">
        <v>0.6</v>
      </c>
      <c r="J246" s="620">
        <v>0.6</v>
      </c>
      <c r="K246" s="620">
        <v>0.6</v>
      </c>
      <c r="L246" s="628">
        <v>0.6</v>
      </c>
      <c r="M246" s="552">
        <f t="shared" ref="M246:P250" si="95">G246*M$245</f>
        <v>285032.12179487181</v>
      </c>
      <c r="N246" s="552">
        <f t="shared" si="95"/>
        <v>198942.85897435897</v>
      </c>
      <c r="O246" s="552">
        <f t="shared" si="95"/>
        <v>80180.038461538454</v>
      </c>
      <c r="P246" s="552">
        <f t="shared" si="95"/>
        <v>83233.064102564094</v>
      </c>
      <c r="Q246" s="552">
        <f t="shared" ref="Q246:Q250" si="96">K246*Q$245</f>
        <v>124202.52884615384</v>
      </c>
      <c r="R246" s="568">
        <f t="shared" ref="R246:R250" si="97">L246*R$245</f>
        <v>248405.05769230769</v>
      </c>
    </row>
    <row r="247" spans="1:18" s="576" customFormat="1" ht="15" customHeight="1">
      <c r="A247" s="1124"/>
      <c r="B247" s="1151"/>
      <c r="C247" s="1151"/>
      <c r="D247" s="549">
        <v>2</v>
      </c>
      <c r="E247" s="550"/>
      <c r="F247" s="548"/>
      <c r="G247" s="620">
        <v>0.75</v>
      </c>
      <c r="H247" s="620">
        <v>0.75</v>
      </c>
      <c r="I247" s="620">
        <v>0.75</v>
      </c>
      <c r="J247" s="620">
        <v>0.75</v>
      </c>
      <c r="K247" s="620">
        <v>0.75</v>
      </c>
      <c r="L247" s="628">
        <v>0.75</v>
      </c>
      <c r="M247" s="552">
        <f t="shared" si="95"/>
        <v>356290.15224358975</v>
      </c>
      <c r="N247" s="552">
        <f t="shared" si="95"/>
        <v>248678.57371794872</v>
      </c>
      <c r="O247" s="552">
        <f t="shared" si="95"/>
        <v>100225.04807692308</v>
      </c>
      <c r="P247" s="552">
        <f t="shared" si="95"/>
        <v>104041.33012820513</v>
      </c>
      <c r="Q247" s="552">
        <f t="shared" si="96"/>
        <v>155253.16105769231</v>
      </c>
      <c r="R247" s="568">
        <f t="shared" si="97"/>
        <v>310506.32211538462</v>
      </c>
    </row>
    <row r="248" spans="1:18" s="576" customFormat="1" ht="15" customHeight="1">
      <c r="A248" s="1124"/>
      <c r="B248" s="1151"/>
      <c r="C248" s="1151"/>
      <c r="D248" s="549">
        <v>3</v>
      </c>
      <c r="E248" s="550"/>
      <c r="F248" s="548"/>
      <c r="G248" s="620">
        <v>1</v>
      </c>
      <c r="H248" s="620">
        <v>1</v>
      </c>
      <c r="I248" s="620">
        <v>1</v>
      </c>
      <c r="J248" s="620">
        <v>1</v>
      </c>
      <c r="K248" s="620">
        <v>1</v>
      </c>
      <c r="L248" s="628">
        <v>1</v>
      </c>
      <c r="M248" s="552">
        <f t="shared" si="95"/>
        <v>475053.53632478637</v>
      </c>
      <c r="N248" s="552">
        <f t="shared" si="95"/>
        <v>331571.43162393162</v>
      </c>
      <c r="O248" s="552">
        <f t="shared" si="95"/>
        <v>133633.39743589744</v>
      </c>
      <c r="P248" s="552">
        <f t="shared" si="95"/>
        <v>138721.7735042735</v>
      </c>
      <c r="Q248" s="552">
        <f t="shared" si="96"/>
        <v>207004.21474358975</v>
      </c>
      <c r="R248" s="568">
        <f t="shared" si="97"/>
        <v>414008.4294871795</v>
      </c>
    </row>
    <row r="249" spans="1:18" s="576" customFormat="1" ht="15" customHeight="1">
      <c r="A249" s="1124"/>
      <c r="B249" s="1151"/>
      <c r="C249" s="1151"/>
      <c r="D249" s="549">
        <v>4</v>
      </c>
      <c r="E249" s="550"/>
      <c r="F249" s="548"/>
      <c r="G249" s="620">
        <v>1.2</v>
      </c>
      <c r="H249" s="620">
        <v>1.35</v>
      </c>
      <c r="I249" s="620">
        <v>1.35</v>
      </c>
      <c r="J249" s="620">
        <v>1.35</v>
      </c>
      <c r="K249" s="620">
        <v>1.1000000000000001</v>
      </c>
      <c r="L249" s="628">
        <v>1.1000000000000001</v>
      </c>
      <c r="M249" s="552">
        <f t="shared" si="95"/>
        <v>570064.24358974362</v>
      </c>
      <c r="N249" s="552">
        <f t="shared" si="95"/>
        <v>447621.43269230775</v>
      </c>
      <c r="O249" s="552">
        <f t="shared" si="95"/>
        <v>180405.08653846156</v>
      </c>
      <c r="P249" s="552">
        <f t="shared" si="95"/>
        <v>187274.39423076925</v>
      </c>
      <c r="Q249" s="552">
        <f t="shared" si="96"/>
        <v>227704.63621794875</v>
      </c>
      <c r="R249" s="568">
        <f t="shared" si="97"/>
        <v>455409.2724358975</v>
      </c>
    </row>
    <row r="250" spans="1:18" s="576" customFormat="1" ht="15" customHeight="1">
      <c r="A250" s="1124"/>
      <c r="B250" s="1151"/>
      <c r="C250" s="1151"/>
      <c r="D250" s="549">
        <v>5</v>
      </c>
      <c r="E250" s="550"/>
      <c r="F250" s="548"/>
      <c r="G250" s="620"/>
      <c r="H250" s="620">
        <v>1.75</v>
      </c>
      <c r="I250" s="620">
        <v>1.75</v>
      </c>
      <c r="J250" s="620">
        <v>1.75</v>
      </c>
      <c r="K250" s="620"/>
      <c r="L250" s="628"/>
      <c r="M250" s="552">
        <f t="shared" si="95"/>
        <v>0</v>
      </c>
      <c r="N250" s="552">
        <f t="shared" si="95"/>
        <v>580250.00534188037</v>
      </c>
      <c r="O250" s="552">
        <f t="shared" si="95"/>
        <v>233858.4455128205</v>
      </c>
      <c r="P250" s="552">
        <f t="shared" si="95"/>
        <v>242763.10363247863</v>
      </c>
      <c r="Q250" s="552">
        <f t="shared" si="96"/>
        <v>0</v>
      </c>
      <c r="R250" s="568">
        <f t="shared" si="97"/>
        <v>0</v>
      </c>
    </row>
    <row r="251" spans="1:18" s="576" customFormat="1" ht="30" customHeight="1">
      <c r="A251" s="547"/>
      <c r="B251" s="1118" t="s">
        <v>418</v>
      </c>
      <c r="C251" s="1118"/>
      <c r="D251" s="1118"/>
      <c r="E251" s="1118"/>
      <c r="F251" s="1118"/>
      <c r="G251" s="1118"/>
      <c r="H251" s="1118"/>
      <c r="I251" s="1118"/>
      <c r="J251" s="1118"/>
      <c r="K251" s="1118"/>
      <c r="L251" s="1118"/>
      <c r="M251" s="1118"/>
      <c r="N251" s="1118"/>
      <c r="O251" s="1118"/>
      <c r="P251" s="1118"/>
      <c r="Q251" s="1118"/>
      <c r="R251" s="1119"/>
    </row>
    <row r="252" spans="1:18" s="576" customFormat="1">
      <c r="A252" s="547"/>
      <c r="B252" s="634"/>
      <c r="C252" s="549"/>
      <c r="D252" s="549"/>
      <c r="E252" s="550"/>
      <c r="F252" s="548"/>
      <c r="G252" s="635"/>
      <c r="H252" s="635"/>
      <c r="I252" s="635"/>
      <c r="J252" s="635"/>
      <c r="K252" s="635"/>
      <c r="L252" s="636"/>
      <c r="M252" s="552"/>
      <c r="N252" s="552"/>
      <c r="O252" s="552"/>
      <c r="P252" s="552"/>
      <c r="Q252" s="552"/>
      <c r="R252" s="724"/>
    </row>
    <row r="253" spans="1:18" s="576" customFormat="1">
      <c r="A253" s="547"/>
      <c r="B253" s="634"/>
      <c r="C253" s="549"/>
      <c r="D253" s="549"/>
      <c r="E253" s="550"/>
      <c r="F253" s="548"/>
      <c r="G253" s="635"/>
      <c r="H253" s="635"/>
      <c r="I253" s="635"/>
      <c r="J253" s="635"/>
      <c r="K253" s="635"/>
      <c r="L253" s="636"/>
      <c r="M253" s="552"/>
      <c r="N253" s="552"/>
      <c r="O253" s="552"/>
      <c r="P253" s="552"/>
      <c r="Q253" s="552"/>
      <c r="R253" s="724"/>
    </row>
    <row r="254" spans="1:18" s="577" customFormat="1">
      <c r="A254" s="555">
        <v>2</v>
      </c>
      <c r="B254" s="548" t="s">
        <v>65</v>
      </c>
      <c r="C254" s="549"/>
      <c r="D254" s="549"/>
      <c r="E254" s="550"/>
      <c r="F254" s="549"/>
      <c r="G254" s="614"/>
      <c r="H254" s="614"/>
      <c r="I254" s="614"/>
      <c r="J254" s="638"/>
      <c r="K254" s="638"/>
      <c r="L254" s="620"/>
      <c r="M254" s="549"/>
      <c r="N254" s="549"/>
      <c r="O254" s="549"/>
      <c r="P254" s="639"/>
      <c r="Q254" s="633"/>
      <c r="R254" s="618"/>
    </row>
    <row r="255" spans="1:18" s="962" customFormat="1">
      <c r="A255" s="960" t="s">
        <v>27</v>
      </c>
      <c r="B255" s="1117" t="s">
        <v>681</v>
      </c>
      <c r="C255" s="1117"/>
      <c r="D255" s="1117"/>
      <c r="E255" s="1117"/>
      <c r="F255" s="1117"/>
      <c r="G255" s="1117"/>
      <c r="H255" s="1117"/>
      <c r="I255" s="1117"/>
      <c r="J255" s="1117"/>
      <c r="K255" s="1117"/>
      <c r="L255" s="1117"/>
      <c r="M255" s="1117"/>
      <c r="N255" s="1117"/>
      <c r="O255" s="1117"/>
      <c r="P255" s="1117"/>
      <c r="Q255" s="1117"/>
      <c r="R255" s="961"/>
    </row>
    <row r="256" spans="1:18" s="577" customFormat="1">
      <c r="A256" s="555" t="s">
        <v>28</v>
      </c>
      <c r="B256" s="548" t="s">
        <v>420</v>
      </c>
      <c r="C256" s="549"/>
      <c r="D256" s="549"/>
      <c r="E256" s="550"/>
      <c r="F256" s="549"/>
      <c r="G256" s="614"/>
      <c r="H256" s="614"/>
      <c r="I256" s="614"/>
      <c r="J256" s="638"/>
      <c r="K256" s="638"/>
      <c r="L256" s="620"/>
      <c r="M256" s="549"/>
      <c r="N256" s="549"/>
      <c r="O256" s="549"/>
      <c r="P256" s="639"/>
      <c r="Q256" s="633"/>
      <c r="R256" s="618"/>
    </row>
    <row r="257" spans="1:18">
      <c r="A257" s="539">
        <v>1</v>
      </c>
      <c r="B257" s="640" t="s">
        <v>597</v>
      </c>
      <c r="C257" s="541" t="s">
        <v>91</v>
      </c>
      <c r="D257" s="541">
        <v>18</v>
      </c>
      <c r="E257" s="619">
        <f>VLOOKUP(B257,GiaVL!$B$4:'GiaVL'!$D$185,3,0)</f>
        <v>240000</v>
      </c>
      <c r="F257" s="542">
        <f t="shared" ref="F257:F268" si="98">E257/D257/26</f>
        <v>512.82051282051282</v>
      </c>
      <c r="G257" s="620">
        <v>10.59</v>
      </c>
      <c r="H257" s="620">
        <v>6.74</v>
      </c>
      <c r="I257" s="620">
        <v>3.87</v>
      </c>
      <c r="J257" s="641">
        <v>4.18</v>
      </c>
      <c r="K257" s="641">
        <v>5.86</v>
      </c>
      <c r="L257" s="620">
        <v>11.72</v>
      </c>
      <c r="M257" s="639">
        <f t="shared" ref="M257:M269" si="99">$F257*G257</f>
        <v>5430.7692307692305</v>
      </c>
      <c r="N257" s="639">
        <f t="shared" ref="N257:N269" si="100">$F257*H257</f>
        <v>3456.4102564102564</v>
      </c>
      <c r="O257" s="639">
        <f t="shared" ref="O257:O269" si="101">$F257*I257</f>
        <v>1984.6153846153848</v>
      </c>
      <c r="P257" s="639">
        <f t="shared" ref="P257:P269" si="102">$F257*J257</f>
        <v>2143.5897435897436</v>
      </c>
      <c r="Q257" s="639">
        <f>$F257*K257</f>
        <v>3005.1282051282051</v>
      </c>
      <c r="R257" s="642">
        <f>$F257*L257</f>
        <v>6010.2564102564102</v>
      </c>
    </row>
    <row r="258" spans="1:18">
      <c r="A258" s="539">
        <v>2</v>
      </c>
      <c r="B258" s="640" t="s">
        <v>98</v>
      </c>
      <c r="C258" s="541" t="s">
        <v>99</v>
      </c>
      <c r="D258" s="541">
        <v>12</v>
      </c>
      <c r="E258" s="619">
        <f>VLOOKUP(B258,GiaVL!$B$4:'GiaVL'!$D$185,3,0)</f>
        <v>145000</v>
      </c>
      <c r="F258" s="542">
        <f t="shared" si="98"/>
        <v>464.74358974358978</v>
      </c>
      <c r="G258" s="620">
        <v>10.59</v>
      </c>
      <c r="H258" s="620">
        <v>6.74</v>
      </c>
      <c r="I258" s="620">
        <v>3.87</v>
      </c>
      <c r="J258" s="641">
        <v>4.18</v>
      </c>
      <c r="K258" s="641">
        <v>5.86</v>
      </c>
      <c r="L258" s="620">
        <v>11.72</v>
      </c>
      <c r="M258" s="639">
        <f t="shared" si="99"/>
        <v>4921.6346153846162</v>
      </c>
      <c r="N258" s="639">
        <f t="shared" si="100"/>
        <v>3132.3717948717954</v>
      </c>
      <c r="O258" s="639">
        <f t="shared" si="101"/>
        <v>1798.5576923076926</v>
      </c>
      <c r="P258" s="639">
        <f t="shared" si="102"/>
        <v>1942.6282051282051</v>
      </c>
      <c r="Q258" s="639">
        <f t="shared" ref="Q258:Q269" si="103">$F258*K258</f>
        <v>2723.3974358974365</v>
      </c>
      <c r="R258" s="642">
        <f t="shared" ref="R258:R269" si="104">$F258*L258</f>
        <v>5446.794871794873</v>
      </c>
    </row>
    <row r="259" spans="1:18">
      <c r="A259" s="539">
        <v>3</v>
      </c>
      <c r="B259" s="640" t="s">
        <v>101</v>
      </c>
      <c r="C259" s="541" t="s">
        <v>91</v>
      </c>
      <c r="D259" s="541">
        <v>12</v>
      </c>
      <c r="E259" s="619">
        <f>VLOOKUP(B259,GiaVL!$B$4:'GiaVL'!$D$185,3,0)</f>
        <v>50000</v>
      </c>
      <c r="F259" s="542">
        <f t="shared" si="98"/>
        <v>160.25641025641028</v>
      </c>
      <c r="G259" s="620">
        <v>10.59</v>
      </c>
      <c r="H259" s="620">
        <v>6.74</v>
      </c>
      <c r="I259" s="620">
        <v>3.87</v>
      </c>
      <c r="J259" s="641">
        <v>4.18</v>
      </c>
      <c r="K259" s="641">
        <v>5.86</v>
      </c>
      <c r="L259" s="620">
        <v>11.72</v>
      </c>
      <c r="M259" s="639">
        <f t="shared" si="99"/>
        <v>1697.1153846153848</v>
      </c>
      <c r="N259" s="639">
        <f t="shared" si="100"/>
        <v>1080.1282051282053</v>
      </c>
      <c r="O259" s="639">
        <f t="shared" si="101"/>
        <v>620.19230769230774</v>
      </c>
      <c r="P259" s="639">
        <f t="shared" si="102"/>
        <v>669.87179487179492</v>
      </c>
      <c r="Q259" s="639">
        <f t="shared" si="103"/>
        <v>939.10256410256432</v>
      </c>
      <c r="R259" s="642">
        <f t="shared" si="104"/>
        <v>1878.2051282051286</v>
      </c>
    </row>
    <row r="260" spans="1:18">
      <c r="A260" s="539">
        <v>4</v>
      </c>
      <c r="B260" s="640" t="s">
        <v>106</v>
      </c>
      <c r="C260" s="541" t="s">
        <v>94</v>
      </c>
      <c r="D260" s="541">
        <v>9</v>
      </c>
      <c r="E260" s="619">
        <f>VLOOKUP(B260,GiaVL!$B$4:'GiaVL'!$D$185,3,0)</f>
        <v>210000</v>
      </c>
      <c r="F260" s="542">
        <f t="shared" si="98"/>
        <v>897.43589743589735</v>
      </c>
      <c r="G260" s="620">
        <v>10.59</v>
      </c>
      <c r="H260" s="620">
        <v>6.74</v>
      </c>
      <c r="I260" s="620">
        <v>3.87</v>
      </c>
      <c r="J260" s="641">
        <v>4.18</v>
      </c>
      <c r="K260" s="641">
        <v>5.86</v>
      </c>
      <c r="L260" s="620">
        <v>11.72</v>
      </c>
      <c r="M260" s="639">
        <f t="shared" si="99"/>
        <v>9503.8461538461524</v>
      </c>
      <c r="N260" s="639">
        <f t="shared" si="100"/>
        <v>6048.7179487179483</v>
      </c>
      <c r="O260" s="639">
        <f t="shared" si="101"/>
        <v>3473.0769230769229</v>
      </c>
      <c r="P260" s="639">
        <f t="shared" si="102"/>
        <v>3751.2820512820508</v>
      </c>
      <c r="Q260" s="639">
        <f t="shared" si="103"/>
        <v>5258.9743589743584</v>
      </c>
      <c r="R260" s="642">
        <f t="shared" si="104"/>
        <v>10517.948717948717</v>
      </c>
    </row>
    <row r="261" spans="1:18">
      <c r="A261" s="539">
        <v>5</v>
      </c>
      <c r="B261" s="540" t="s">
        <v>115</v>
      </c>
      <c r="C261" s="541" t="s">
        <v>91</v>
      </c>
      <c r="D261" s="541">
        <v>48</v>
      </c>
      <c r="E261" s="619">
        <f>VLOOKUP(B261,GiaVL!$B$4:'GiaVL'!$D$185,3,0)</f>
        <v>350000</v>
      </c>
      <c r="F261" s="542">
        <f t="shared" si="98"/>
        <v>280.44871794871796</v>
      </c>
      <c r="G261" s="620">
        <v>4.87</v>
      </c>
      <c r="H261" s="620">
        <v>3.43</v>
      </c>
      <c r="I261" s="620">
        <v>2.35</v>
      </c>
      <c r="J261" s="641">
        <v>2.4700000000000002</v>
      </c>
      <c r="K261" s="641">
        <v>3.1</v>
      </c>
      <c r="L261" s="620">
        <v>6.2</v>
      </c>
      <c r="M261" s="639">
        <f t="shared" si="99"/>
        <v>1365.7852564102566</v>
      </c>
      <c r="N261" s="639">
        <f t="shared" si="100"/>
        <v>961.93910256410265</v>
      </c>
      <c r="O261" s="639">
        <f t="shared" si="101"/>
        <v>659.05448717948718</v>
      </c>
      <c r="P261" s="639">
        <f t="shared" si="102"/>
        <v>692.70833333333337</v>
      </c>
      <c r="Q261" s="639">
        <f t="shared" si="103"/>
        <v>869.39102564102564</v>
      </c>
      <c r="R261" s="642">
        <f t="shared" si="104"/>
        <v>1738.7820512820513</v>
      </c>
    </row>
    <row r="262" spans="1:18">
      <c r="A262" s="539">
        <v>6</v>
      </c>
      <c r="B262" s="640" t="s">
        <v>292</v>
      </c>
      <c r="C262" s="541" t="s">
        <v>91</v>
      </c>
      <c r="D262" s="541">
        <v>24</v>
      </c>
      <c r="E262" s="619">
        <f>VLOOKUP(B262,GiaVL!$B$4:'GiaVL'!$D$185,3,0)</f>
        <v>100000</v>
      </c>
      <c r="F262" s="542">
        <f t="shared" si="98"/>
        <v>160.25641025641028</v>
      </c>
      <c r="G262" s="620">
        <v>4.87</v>
      </c>
      <c r="H262" s="620">
        <v>3.43</v>
      </c>
      <c r="I262" s="620">
        <v>2.35</v>
      </c>
      <c r="J262" s="641">
        <v>2.4700000000000002</v>
      </c>
      <c r="K262" s="641">
        <v>3.1</v>
      </c>
      <c r="L262" s="620">
        <v>6.2</v>
      </c>
      <c r="M262" s="639">
        <f t="shared" si="99"/>
        <v>780.44871794871801</v>
      </c>
      <c r="N262" s="639">
        <f t="shared" si="100"/>
        <v>549.6794871794873</v>
      </c>
      <c r="O262" s="639">
        <f t="shared" si="101"/>
        <v>376.60256410256414</v>
      </c>
      <c r="P262" s="639">
        <f t="shared" si="102"/>
        <v>395.83333333333343</v>
      </c>
      <c r="Q262" s="639">
        <f t="shared" si="103"/>
        <v>496.79487179487188</v>
      </c>
      <c r="R262" s="642">
        <f t="shared" si="104"/>
        <v>993.58974358974376</v>
      </c>
    </row>
    <row r="263" spans="1:18">
      <c r="A263" s="539">
        <v>7</v>
      </c>
      <c r="B263" s="640" t="s">
        <v>114</v>
      </c>
      <c r="C263" s="541" t="s">
        <v>91</v>
      </c>
      <c r="D263" s="541">
        <v>12</v>
      </c>
      <c r="E263" s="619">
        <f>VLOOKUP(B263,GiaVL!$B$4:'GiaVL'!$D$185,3,0)</f>
        <v>15000</v>
      </c>
      <c r="F263" s="542">
        <f t="shared" si="98"/>
        <v>48.07692307692308</v>
      </c>
      <c r="G263" s="620">
        <v>4.87</v>
      </c>
      <c r="H263" s="620">
        <v>3.43</v>
      </c>
      <c r="I263" s="620">
        <v>2.35</v>
      </c>
      <c r="J263" s="641">
        <v>2.4700000000000002</v>
      </c>
      <c r="K263" s="641">
        <v>3.1</v>
      </c>
      <c r="L263" s="620">
        <v>6.2</v>
      </c>
      <c r="M263" s="639">
        <f t="shared" si="99"/>
        <v>234.13461538461542</v>
      </c>
      <c r="N263" s="639">
        <f t="shared" si="100"/>
        <v>164.90384615384616</v>
      </c>
      <c r="O263" s="639">
        <f t="shared" si="101"/>
        <v>112.98076923076924</v>
      </c>
      <c r="P263" s="639">
        <f t="shared" si="102"/>
        <v>118.75000000000001</v>
      </c>
      <c r="Q263" s="639">
        <f t="shared" si="103"/>
        <v>149.03846153846155</v>
      </c>
      <c r="R263" s="642">
        <f t="shared" si="104"/>
        <v>298.07692307692309</v>
      </c>
    </row>
    <row r="264" spans="1:18" s="14" customFormat="1">
      <c r="A264" s="7">
        <v>8</v>
      </c>
      <c r="B264" s="65" t="s">
        <v>666</v>
      </c>
      <c r="C264" s="18" t="s">
        <v>91</v>
      </c>
      <c r="D264" s="18">
        <v>60</v>
      </c>
      <c r="E264" s="833">
        <f>VLOOKUP(B264,GiaVL!$B$4:'GiaVL'!$D$185,3,0)</f>
        <v>2000000</v>
      </c>
      <c r="F264" s="834">
        <f t="shared" si="98"/>
        <v>1282.0512820512822</v>
      </c>
      <c r="G264" s="836">
        <v>1.62</v>
      </c>
      <c r="H264" s="836">
        <v>1.1399999999999999</v>
      </c>
      <c r="I264" s="836">
        <v>0.78</v>
      </c>
      <c r="J264" s="888">
        <v>0.82</v>
      </c>
      <c r="K264" s="888">
        <v>1.03</v>
      </c>
      <c r="L264" s="836">
        <v>2.06</v>
      </c>
      <c r="M264" s="889">
        <f t="shared" si="99"/>
        <v>2076.9230769230771</v>
      </c>
      <c r="N264" s="889">
        <f t="shared" si="100"/>
        <v>1461.5384615384617</v>
      </c>
      <c r="O264" s="889">
        <f t="shared" si="101"/>
        <v>1000.0000000000001</v>
      </c>
      <c r="P264" s="889">
        <f t="shared" si="102"/>
        <v>1051.2820512820513</v>
      </c>
      <c r="Q264" s="889">
        <f t="shared" si="103"/>
        <v>1320.5128205128208</v>
      </c>
      <c r="R264" s="890">
        <f t="shared" si="104"/>
        <v>2641.0256410256416</v>
      </c>
    </row>
    <row r="265" spans="1:18" s="14" customFormat="1">
      <c r="A265" s="7">
        <v>9</v>
      </c>
      <c r="B265" s="65" t="s">
        <v>667</v>
      </c>
      <c r="C265" s="18" t="s">
        <v>91</v>
      </c>
      <c r="D265" s="18">
        <v>60</v>
      </c>
      <c r="E265" s="833">
        <f>VLOOKUP(B265,GiaVL!$B$4:'GiaVL'!$D$185,3,0)</f>
        <v>2400000</v>
      </c>
      <c r="F265" s="834">
        <f t="shared" si="98"/>
        <v>1538.4615384615386</v>
      </c>
      <c r="G265" s="836">
        <v>6.5</v>
      </c>
      <c r="H265" s="836">
        <v>4.57</v>
      </c>
      <c r="I265" s="836">
        <v>3.14</v>
      </c>
      <c r="J265" s="888">
        <v>3.29</v>
      </c>
      <c r="K265" s="888">
        <v>4.13</v>
      </c>
      <c r="L265" s="836">
        <v>8.26</v>
      </c>
      <c r="M265" s="889">
        <f t="shared" si="99"/>
        <v>10000</v>
      </c>
      <c r="N265" s="889">
        <f t="shared" si="100"/>
        <v>7030.7692307692314</v>
      </c>
      <c r="O265" s="889">
        <f t="shared" si="101"/>
        <v>4830.7692307692314</v>
      </c>
      <c r="P265" s="889">
        <f t="shared" si="102"/>
        <v>5061.5384615384619</v>
      </c>
      <c r="Q265" s="889">
        <f t="shared" si="103"/>
        <v>6353.8461538461543</v>
      </c>
      <c r="R265" s="890">
        <f t="shared" si="104"/>
        <v>12707.692307692309</v>
      </c>
    </row>
    <row r="266" spans="1:18" s="14" customFormat="1">
      <c r="A266" s="7">
        <v>10</v>
      </c>
      <c r="B266" s="6" t="s">
        <v>156</v>
      </c>
      <c r="C266" s="18" t="s">
        <v>91</v>
      </c>
      <c r="D266" s="18">
        <v>4</v>
      </c>
      <c r="E266" s="833">
        <f>VLOOKUP(B266,GiaVL!$B$4:'GiaVL'!$D$185,3,0)</f>
        <v>87000</v>
      </c>
      <c r="F266" s="834">
        <f t="shared" si="98"/>
        <v>836.53846153846155</v>
      </c>
      <c r="G266" s="836">
        <v>4.87</v>
      </c>
      <c r="H266" s="836">
        <v>3.43</v>
      </c>
      <c r="I266" s="836">
        <v>2.35</v>
      </c>
      <c r="J266" s="888">
        <v>2.4700000000000002</v>
      </c>
      <c r="K266" s="888">
        <v>3.1</v>
      </c>
      <c r="L266" s="836">
        <v>6.2</v>
      </c>
      <c r="M266" s="889">
        <f t="shared" si="99"/>
        <v>4073.9423076923076</v>
      </c>
      <c r="N266" s="889">
        <f t="shared" si="100"/>
        <v>2869.3269230769233</v>
      </c>
      <c r="O266" s="889">
        <f t="shared" si="101"/>
        <v>1965.8653846153848</v>
      </c>
      <c r="P266" s="889">
        <f t="shared" si="102"/>
        <v>2066.25</v>
      </c>
      <c r="Q266" s="889">
        <f t="shared" si="103"/>
        <v>2593.2692307692309</v>
      </c>
      <c r="R266" s="890">
        <f t="shared" si="104"/>
        <v>5186.5384615384619</v>
      </c>
    </row>
    <row r="267" spans="1:18" s="14" customFormat="1">
      <c r="A267" s="7">
        <v>11</v>
      </c>
      <c r="B267" s="65" t="s">
        <v>611</v>
      </c>
      <c r="C267" s="18" t="s">
        <v>91</v>
      </c>
      <c r="D267" s="18">
        <v>24</v>
      </c>
      <c r="E267" s="833">
        <f>VLOOKUP(B267,GiaVL!$B$4:'GiaVL'!$D$185,3,0)</f>
        <v>247000</v>
      </c>
      <c r="F267" s="834">
        <f t="shared" si="98"/>
        <v>395.83333333333331</v>
      </c>
      <c r="G267" s="836">
        <v>0.01</v>
      </c>
      <c r="H267" s="836">
        <v>0.01</v>
      </c>
      <c r="I267" s="836">
        <v>0.01</v>
      </c>
      <c r="J267" s="836">
        <v>0.01</v>
      </c>
      <c r="K267" s="836">
        <v>0.01</v>
      </c>
      <c r="L267" s="836">
        <v>0.02</v>
      </c>
      <c r="M267" s="889">
        <f t="shared" si="99"/>
        <v>3.958333333333333</v>
      </c>
      <c r="N267" s="889">
        <f t="shared" si="100"/>
        <v>3.958333333333333</v>
      </c>
      <c r="O267" s="889">
        <f t="shared" si="101"/>
        <v>3.958333333333333</v>
      </c>
      <c r="P267" s="889">
        <f t="shared" si="102"/>
        <v>3.958333333333333</v>
      </c>
      <c r="Q267" s="889">
        <f t="shared" si="103"/>
        <v>3.958333333333333</v>
      </c>
      <c r="R267" s="890">
        <f t="shared" si="104"/>
        <v>7.9166666666666661</v>
      </c>
    </row>
    <row r="268" spans="1:18" s="14" customFormat="1">
      <c r="A268" s="7">
        <v>12</v>
      </c>
      <c r="B268" s="65" t="s">
        <v>668</v>
      </c>
      <c r="C268" s="18" t="s">
        <v>94</v>
      </c>
      <c r="D268" s="18">
        <v>30</v>
      </c>
      <c r="E268" s="833">
        <f>VLOOKUP(B268,GiaVL!$B$4:'GiaVL'!$D$185,3,0)</f>
        <v>165000</v>
      </c>
      <c r="F268" s="834">
        <f t="shared" si="98"/>
        <v>211.53846153846155</v>
      </c>
      <c r="G268" s="836">
        <v>1.62</v>
      </c>
      <c r="H268" s="836">
        <v>1.1399999999999999</v>
      </c>
      <c r="I268" s="836">
        <v>0.78</v>
      </c>
      <c r="J268" s="888">
        <v>0.82</v>
      </c>
      <c r="K268" s="888">
        <v>1.03</v>
      </c>
      <c r="L268" s="836">
        <v>2.06</v>
      </c>
      <c r="M268" s="889">
        <f t="shared" si="99"/>
        <v>342.69230769230774</v>
      </c>
      <c r="N268" s="889">
        <f t="shared" si="100"/>
        <v>241.15384615384613</v>
      </c>
      <c r="O268" s="889">
        <f t="shared" si="101"/>
        <v>165</v>
      </c>
      <c r="P268" s="889">
        <f t="shared" si="102"/>
        <v>173.46153846153845</v>
      </c>
      <c r="Q268" s="889">
        <f t="shared" si="103"/>
        <v>217.88461538461539</v>
      </c>
      <c r="R268" s="890">
        <f t="shared" si="104"/>
        <v>435.76923076923077</v>
      </c>
    </row>
    <row r="269" spans="1:18" ht="13.5">
      <c r="A269" s="539">
        <v>13</v>
      </c>
      <c r="B269" s="540" t="s">
        <v>612</v>
      </c>
      <c r="C269" s="541" t="s">
        <v>117</v>
      </c>
      <c r="D269" s="643">
        <v>1.05</v>
      </c>
      <c r="E269" s="619">
        <f>VLOOKUP(B269,GiaVL!$B$4:'GiaVL'!$D$185,3,0)</f>
        <v>2226</v>
      </c>
      <c r="F269" s="644">
        <f>D269*E269</f>
        <v>2337.3000000000002</v>
      </c>
      <c r="G269" s="620">
        <v>3.6999999999999998E-2</v>
      </c>
      <c r="H269" s="620">
        <v>0.03</v>
      </c>
      <c r="I269" s="620">
        <v>0.02</v>
      </c>
      <c r="J269" s="641">
        <v>0.02</v>
      </c>
      <c r="K269" s="641">
        <v>0.02</v>
      </c>
      <c r="L269" s="620">
        <v>0.04</v>
      </c>
      <c r="M269" s="639">
        <f t="shared" si="99"/>
        <v>86.480100000000007</v>
      </c>
      <c r="N269" s="639">
        <f t="shared" si="100"/>
        <v>70.119</v>
      </c>
      <c r="O269" s="639">
        <f t="shared" si="101"/>
        <v>46.746000000000002</v>
      </c>
      <c r="P269" s="639">
        <f t="shared" si="102"/>
        <v>46.746000000000002</v>
      </c>
      <c r="Q269" s="639">
        <f t="shared" si="103"/>
        <v>46.746000000000002</v>
      </c>
      <c r="R269" s="642">
        <f t="shared" si="104"/>
        <v>93.492000000000004</v>
      </c>
    </row>
    <row r="270" spans="1:18">
      <c r="A270" s="547"/>
      <c r="B270" s="548" t="s">
        <v>519</v>
      </c>
      <c r="C270" s="549"/>
      <c r="D270" s="549"/>
      <c r="E270" s="550"/>
      <c r="F270" s="548"/>
      <c r="G270" s="645"/>
      <c r="H270" s="645"/>
      <c r="I270" s="645"/>
      <c r="J270" s="645"/>
      <c r="K270" s="645"/>
      <c r="L270" s="615"/>
      <c r="M270" s="552">
        <f t="shared" ref="M270:R270" si="105">SUM(M257:M269)</f>
        <v>40517.730100000001</v>
      </c>
      <c r="N270" s="552">
        <f t="shared" si="105"/>
        <v>27071.016435897436</v>
      </c>
      <c r="O270" s="552">
        <f t="shared" si="105"/>
        <v>17037.419076923074</v>
      </c>
      <c r="P270" s="552">
        <f t="shared" si="105"/>
        <v>18117.899846153847</v>
      </c>
      <c r="Q270" s="552">
        <f t="shared" si="105"/>
        <v>23978.044076923077</v>
      </c>
      <c r="R270" s="568">
        <f t="shared" si="105"/>
        <v>47956.088153846154</v>
      </c>
    </row>
    <row r="271" spans="1:18" s="576" customFormat="1" ht="15" customHeight="1">
      <c r="A271" s="1147" t="s">
        <v>28</v>
      </c>
      <c r="B271" s="1116" t="s">
        <v>291</v>
      </c>
      <c r="C271" s="1116"/>
      <c r="D271" s="549">
        <v>1</v>
      </c>
      <c r="E271" s="550"/>
      <c r="F271" s="548"/>
      <c r="G271" s="620">
        <v>0.6</v>
      </c>
      <c r="H271" s="620">
        <v>0.6</v>
      </c>
      <c r="I271" s="620">
        <v>0.6</v>
      </c>
      <c r="J271" s="620">
        <v>0.6</v>
      </c>
      <c r="K271" s="620">
        <v>0.6</v>
      </c>
      <c r="L271" s="628">
        <v>0.6</v>
      </c>
      <c r="M271" s="552">
        <f t="shared" ref="M271:P275" si="106">G271*M$270</f>
        <v>24310.638060000001</v>
      </c>
      <c r="N271" s="552">
        <f t="shared" si="106"/>
        <v>16242.609861538462</v>
      </c>
      <c r="O271" s="552">
        <f t="shared" si="106"/>
        <v>10222.451446153844</v>
      </c>
      <c r="P271" s="552">
        <f t="shared" si="106"/>
        <v>10870.739907692308</v>
      </c>
      <c r="Q271" s="552">
        <f t="shared" ref="Q271:Q275" si="107">K271*Q$270</f>
        <v>14386.826446153846</v>
      </c>
      <c r="R271" s="568">
        <f t="shared" ref="R271:R275" si="108">L271*R$270</f>
        <v>28773.652892307691</v>
      </c>
    </row>
    <row r="272" spans="1:18" s="576" customFormat="1" ht="15" customHeight="1">
      <c r="A272" s="1147"/>
      <c r="B272" s="1116"/>
      <c r="C272" s="1116"/>
      <c r="D272" s="549">
        <v>2</v>
      </c>
      <c r="E272" s="550"/>
      <c r="F272" s="548"/>
      <c r="G272" s="620">
        <v>0.75</v>
      </c>
      <c r="H272" s="620">
        <v>0.75</v>
      </c>
      <c r="I272" s="620">
        <v>0.75</v>
      </c>
      <c r="J272" s="620">
        <v>0.75</v>
      </c>
      <c r="K272" s="620">
        <v>0.75</v>
      </c>
      <c r="L272" s="628">
        <v>0.75</v>
      </c>
      <c r="M272" s="552">
        <f t="shared" si="106"/>
        <v>30388.297575000001</v>
      </c>
      <c r="N272" s="552">
        <f t="shared" si="106"/>
        <v>20303.262326923075</v>
      </c>
      <c r="O272" s="552">
        <f t="shared" si="106"/>
        <v>12778.064307692304</v>
      </c>
      <c r="P272" s="552">
        <f t="shared" si="106"/>
        <v>13588.424884615386</v>
      </c>
      <c r="Q272" s="552">
        <f t="shared" si="107"/>
        <v>17983.533057692308</v>
      </c>
      <c r="R272" s="568">
        <f t="shared" si="108"/>
        <v>35967.066115384616</v>
      </c>
    </row>
    <row r="273" spans="1:18" s="576" customFormat="1" ht="15" customHeight="1">
      <c r="A273" s="1147"/>
      <c r="B273" s="1116"/>
      <c r="C273" s="1116"/>
      <c r="D273" s="549">
        <v>3</v>
      </c>
      <c r="E273" s="550"/>
      <c r="F273" s="548"/>
      <c r="G273" s="620">
        <v>1</v>
      </c>
      <c r="H273" s="620">
        <v>1</v>
      </c>
      <c r="I273" s="620">
        <v>1</v>
      </c>
      <c r="J273" s="620">
        <v>1</v>
      </c>
      <c r="K273" s="620">
        <v>1</v>
      </c>
      <c r="L273" s="628">
        <v>1</v>
      </c>
      <c r="M273" s="552">
        <f t="shared" si="106"/>
        <v>40517.730100000001</v>
      </c>
      <c r="N273" s="552">
        <f t="shared" si="106"/>
        <v>27071.016435897436</v>
      </c>
      <c r="O273" s="552">
        <f t="shared" si="106"/>
        <v>17037.419076923074</v>
      </c>
      <c r="P273" s="552">
        <f t="shared" si="106"/>
        <v>18117.899846153847</v>
      </c>
      <c r="Q273" s="552">
        <f t="shared" si="107"/>
        <v>23978.044076923077</v>
      </c>
      <c r="R273" s="568">
        <f t="shared" si="108"/>
        <v>47956.088153846154</v>
      </c>
    </row>
    <row r="274" spans="1:18" s="576" customFormat="1" ht="15" customHeight="1">
      <c r="A274" s="1147"/>
      <c r="B274" s="1116"/>
      <c r="C274" s="1116"/>
      <c r="D274" s="549">
        <v>4</v>
      </c>
      <c r="E274" s="550"/>
      <c r="F274" s="548"/>
      <c r="G274" s="620">
        <v>1.2</v>
      </c>
      <c r="H274" s="620">
        <v>1.35</v>
      </c>
      <c r="I274" s="620">
        <v>1.35</v>
      </c>
      <c r="J274" s="620">
        <v>1.35</v>
      </c>
      <c r="K274" s="620">
        <v>1.1000000000000001</v>
      </c>
      <c r="L274" s="628">
        <v>1.1000000000000001</v>
      </c>
      <c r="M274" s="552">
        <f t="shared" si="106"/>
        <v>48621.276120000002</v>
      </c>
      <c r="N274" s="552">
        <f t="shared" si="106"/>
        <v>36545.872188461544</v>
      </c>
      <c r="O274" s="552">
        <f t="shared" si="106"/>
        <v>23000.51575384615</v>
      </c>
      <c r="P274" s="552">
        <f t="shared" si="106"/>
        <v>24459.164792307696</v>
      </c>
      <c r="Q274" s="552">
        <f t="shared" si="107"/>
        <v>26375.848484615388</v>
      </c>
      <c r="R274" s="568">
        <f t="shared" si="108"/>
        <v>52751.696969230776</v>
      </c>
    </row>
    <row r="275" spans="1:18" s="576" customFormat="1" ht="15" customHeight="1">
      <c r="A275" s="1147"/>
      <c r="B275" s="1116"/>
      <c r="C275" s="1116"/>
      <c r="D275" s="549">
        <v>5</v>
      </c>
      <c r="E275" s="550"/>
      <c r="F275" s="548"/>
      <c r="G275" s="620"/>
      <c r="H275" s="620">
        <v>1.75</v>
      </c>
      <c r="I275" s="620">
        <v>1.75</v>
      </c>
      <c r="J275" s="620">
        <v>1.75</v>
      </c>
      <c r="K275" s="620"/>
      <c r="L275" s="628"/>
      <c r="M275" s="552">
        <f t="shared" si="106"/>
        <v>0</v>
      </c>
      <c r="N275" s="552">
        <f t="shared" si="106"/>
        <v>47374.278762820511</v>
      </c>
      <c r="O275" s="552">
        <f t="shared" si="106"/>
        <v>29815.483384615378</v>
      </c>
      <c r="P275" s="552">
        <f t="shared" si="106"/>
        <v>31706.324730769233</v>
      </c>
      <c r="Q275" s="552">
        <f t="shared" si="107"/>
        <v>0</v>
      </c>
      <c r="R275" s="568">
        <f t="shared" si="108"/>
        <v>0</v>
      </c>
    </row>
    <row r="276" spans="1:18" s="576" customFormat="1" ht="29.25" customHeight="1">
      <c r="A276" s="547"/>
      <c r="B276" s="1118" t="s">
        <v>418</v>
      </c>
      <c r="C276" s="1118"/>
      <c r="D276" s="1118"/>
      <c r="E276" s="1118"/>
      <c r="F276" s="1118"/>
      <c r="G276" s="1118"/>
      <c r="H276" s="1118"/>
      <c r="I276" s="1118"/>
      <c r="J276" s="1118"/>
      <c r="K276" s="1118"/>
      <c r="L276" s="1118"/>
      <c r="M276" s="1118"/>
      <c r="N276" s="1118"/>
      <c r="O276" s="1118"/>
      <c r="P276" s="1118"/>
      <c r="Q276" s="1118"/>
      <c r="R276" s="1119"/>
    </row>
    <row r="277" spans="1:18" s="576" customFormat="1">
      <c r="A277" s="547"/>
      <c r="B277" s="540" t="s">
        <v>293</v>
      </c>
      <c r="C277" s="549"/>
      <c r="D277" s="549"/>
      <c r="E277" s="550"/>
      <c r="F277" s="548"/>
      <c r="G277" s="630"/>
      <c r="H277" s="630"/>
      <c r="I277" s="620"/>
      <c r="J277" s="628"/>
      <c r="K277" s="628"/>
      <c r="L277" s="628"/>
      <c r="M277" s="704"/>
      <c r="N277" s="704"/>
      <c r="O277" s="704"/>
      <c r="P277" s="704"/>
      <c r="Q277" s="704"/>
      <c r="R277" s="705"/>
    </row>
    <row r="278" spans="1:18" s="576" customFormat="1">
      <c r="A278" s="547"/>
      <c r="B278" s="548"/>
      <c r="C278" s="549"/>
      <c r="D278" s="549"/>
      <c r="E278" s="550"/>
      <c r="F278" s="548"/>
      <c r="G278" s="645"/>
      <c r="H278" s="645"/>
      <c r="I278" s="645"/>
      <c r="J278" s="650"/>
      <c r="K278" s="650"/>
      <c r="L278" s="650"/>
      <c r="M278" s="552"/>
      <c r="N278" s="704"/>
      <c r="O278" s="552"/>
      <c r="P278" s="552"/>
      <c r="Q278" s="552"/>
      <c r="R278" s="568"/>
    </row>
    <row r="279" spans="1:18" s="577" customFormat="1">
      <c r="A279" s="555" t="s">
        <v>29</v>
      </c>
      <c r="B279" s="548" t="s">
        <v>294</v>
      </c>
      <c r="C279" s="549"/>
      <c r="D279" s="549"/>
      <c r="E279" s="550"/>
      <c r="F279" s="549"/>
      <c r="G279" s="614"/>
      <c r="H279" s="614"/>
      <c r="I279" s="614"/>
      <c r="J279" s="638"/>
      <c r="K279" s="638"/>
      <c r="L279" s="620"/>
      <c r="M279" s="549"/>
      <c r="N279" s="549"/>
      <c r="O279" s="549"/>
      <c r="P279" s="639"/>
      <c r="Q279" s="633"/>
      <c r="R279" s="618"/>
    </row>
    <row r="280" spans="1:18" s="14" customFormat="1">
      <c r="A280" s="7">
        <v>1</v>
      </c>
      <c r="B280" s="950" t="s">
        <v>171</v>
      </c>
      <c r="C280" s="18" t="s">
        <v>91</v>
      </c>
      <c r="D280" s="18">
        <v>9</v>
      </c>
      <c r="E280" s="833">
        <f>VLOOKUP(B280,GiaVL!$B$4:'GiaVL'!$D$185,3,0)</f>
        <v>150000</v>
      </c>
      <c r="F280" s="834">
        <f t="shared" ref="F280:F288" si="109">E280/D280/26</f>
        <v>641.02564102564111</v>
      </c>
      <c r="G280" s="836">
        <v>2.08</v>
      </c>
      <c r="H280" s="836">
        <v>2.08</v>
      </c>
      <c r="I280" s="836">
        <v>2.08</v>
      </c>
      <c r="J280" s="888">
        <v>2.08</v>
      </c>
      <c r="K280" s="888">
        <v>2.08</v>
      </c>
      <c r="L280" s="836">
        <v>2.08</v>
      </c>
      <c r="M280" s="889">
        <f t="shared" ref="M280:M289" si="110">$F280*G280</f>
        <v>1333.3333333333335</v>
      </c>
      <c r="N280" s="889">
        <f t="shared" ref="N280:N289" si="111">$F280*H280</f>
        <v>1333.3333333333335</v>
      </c>
      <c r="O280" s="889">
        <f t="shared" ref="O280:O289" si="112">$F280*I280</f>
        <v>1333.3333333333335</v>
      </c>
      <c r="P280" s="889">
        <f t="shared" ref="P280:P289" si="113">$F280*J280</f>
        <v>1333.3333333333335</v>
      </c>
      <c r="Q280" s="889">
        <f t="shared" ref="Q280:Q289" si="114">$F280*K280</f>
        <v>1333.3333333333335</v>
      </c>
      <c r="R280" s="890">
        <f t="shared" ref="R280:R289" si="115">$F280*L280</f>
        <v>1333.3333333333335</v>
      </c>
    </row>
    <row r="281" spans="1:18" s="14" customFormat="1">
      <c r="A281" s="7">
        <v>2</v>
      </c>
      <c r="B281" s="950" t="s">
        <v>286</v>
      </c>
      <c r="C281" s="18" t="s">
        <v>91</v>
      </c>
      <c r="D281" s="18">
        <v>60</v>
      </c>
      <c r="E281" s="833">
        <f>VLOOKUP(B281,GiaVL!$B$4:'GiaVL'!$D$185,3,0)</f>
        <v>1500000</v>
      </c>
      <c r="F281" s="834">
        <f t="shared" si="109"/>
        <v>961.53846153846155</v>
      </c>
      <c r="G281" s="836">
        <v>1.04</v>
      </c>
      <c r="H281" s="836">
        <v>1.04</v>
      </c>
      <c r="I281" s="836">
        <v>1.04</v>
      </c>
      <c r="J281" s="888">
        <v>1.04</v>
      </c>
      <c r="K281" s="888">
        <v>1.04</v>
      </c>
      <c r="L281" s="836">
        <v>1.04</v>
      </c>
      <c r="M281" s="889">
        <f t="shared" si="110"/>
        <v>1000</v>
      </c>
      <c r="N281" s="889">
        <f t="shared" si="111"/>
        <v>1000</v>
      </c>
      <c r="O281" s="889">
        <f t="shared" si="112"/>
        <v>1000</v>
      </c>
      <c r="P281" s="889">
        <f t="shared" si="113"/>
        <v>1000</v>
      </c>
      <c r="Q281" s="889">
        <f t="shared" si="114"/>
        <v>1000</v>
      </c>
      <c r="R281" s="890">
        <f t="shared" si="115"/>
        <v>1000</v>
      </c>
    </row>
    <row r="282" spans="1:18" s="14" customFormat="1">
      <c r="A282" s="7">
        <v>3</v>
      </c>
      <c r="B282" s="950" t="s">
        <v>554</v>
      </c>
      <c r="C282" s="18" t="s">
        <v>94</v>
      </c>
      <c r="D282" s="18">
        <v>60</v>
      </c>
      <c r="E282" s="833">
        <f>VLOOKUP(B282,GiaVL!$B$4:'GiaVL'!$D$185,3,0)</f>
        <v>300000</v>
      </c>
      <c r="F282" s="834">
        <f t="shared" si="109"/>
        <v>192.30769230769232</v>
      </c>
      <c r="G282" s="836">
        <v>1.04</v>
      </c>
      <c r="H282" s="836">
        <v>1.04</v>
      </c>
      <c r="I282" s="836">
        <v>1.04</v>
      </c>
      <c r="J282" s="888">
        <v>1.04</v>
      </c>
      <c r="K282" s="888">
        <v>1.04</v>
      </c>
      <c r="L282" s="836">
        <v>1.04</v>
      </c>
      <c r="M282" s="889">
        <f t="shared" si="110"/>
        <v>200.00000000000003</v>
      </c>
      <c r="N282" s="889">
        <f t="shared" si="111"/>
        <v>200.00000000000003</v>
      </c>
      <c r="O282" s="889">
        <f t="shared" si="112"/>
        <v>200.00000000000003</v>
      </c>
      <c r="P282" s="889">
        <f t="shared" si="113"/>
        <v>200.00000000000003</v>
      </c>
      <c r="Q282" s="889">
        <f t="shared" si="114"/>
        <v>200.00000000000003</v>
      </c>
      <c r="R282" s="890">
        <f t="shared" si="115"/>
        <v>200.00000000000003</v>
      </c>
    </row>
    <row r="283" spans="1:18" s="14" customFormat="1">
      <c r="A283" s="7">
        <v>4</v>
      </c>
      <c r="B283" s="950" t="s">
        <v>287</v>
      </c>
      <c r="C283" s="18" t="s">
        <v>99</v>
      </c>
      <c r="D283" s="18">
        <v>60</v>
      </c>
      <c r="E283" s="833">
        <f>VLOOKUP(B283,GiaVL!$B$4:'GiaVL'!$D$185,3,0)</f>
        <v>220000</v>
      </c>
      <c r="F283" s="834">
        <f t="shared" si="109"/>
        <v>141.02564102564102</v>
      </c>
      <c r="G283" s="836">
        <v>0.78</v>
      </c>
      <c r="H283" s="836">
        <v>0.78</v>
      </c>
      <c r="I283" s="836">
        <v>0.78</v>
      </c>
      <c r="J283" s="888">
        <v>0.78</v>
      </c>
      <c r="K283" s="888">
        <v>0.78</v>
      </c>
      <c r="L283" s="836">
        <v>0.78</v>
      </c>
      <c r="M283" s="889">
        <f t="shared" si="110"/>
        <v>110</v>
      </c>
      <c r="N283" s="889">
        <f t="shared" si="111"/>
        <v>110</v>
      </c>
      <c r="O283" s="889">
        <f t="shared" si="112"/>
        <v>110</v>
      </c>
      <c r="P283" s="889">
        <f t="shared" si="113"/>
        <v>110</v>
      </c>
      <c r="Q283" s="889">
        <f t="shared" si="114"/>
        <v>110</v>
      </c>
      <c r="R283" s="890">
        <f t="shared" si="115"/>
        <v>110</v>
      </c>
    </row>
    <row r="284" spans="1:18" s="14" customFormat="1">
      <c r="A284" s="7">
        <v>5</v>
      </c>
      <c r="B284" s="950" t="s">
        <v>159</v>
      </c>
      <c r="C284" s="18" t="s">
        <v>91</v>
      </c>
      <c r="D284" s="18">
        <v>60</v>
      </c>
      <c r="E284" s="833">
        <f>VLOOKUP(B284,GiaVL!$B$4:'GiaVL'!$D$185,3,0)</f>
        <v>2250000</v>
      </c>
      <c r="F284" s="834">
        <f t="shared" si="109"/>
        <v>1442.3076923076924</v>
      </c>
      <c r="G284" s="836">
        <v>0.78</v>
      </c>
      <c r="H284" s="836">
        <v>0.78</v>
      </c>
      <c r="I284" s="836">
        <v>0.78</v>
      </c>
      <c r="J284" s="888">
        <v>0.78</v>
      </c>
      <c r="K284" s="888">
        <v>0.78</v>
      </c>
      <c r="L284" s="836">
        <v>0.78</v>
      </c>
      <c r="M284" s="889">
        <f t="shared" si="110"/>
        <v>1125</v>
      </c>
      <c r="N284" s="889">
        <f t="shared" si="111"/>
        <v>1125</v>
      </c>
      <c r="O284" s="889">
        <f t="shared" si="112"/>
        <v>1125</v>
      </c>
      <c r="P284" s="889">
        <f t="shared" si="113"/>
        <v>1125</v>
      </c>
      <c r="Q284" s="889">
        <f t="shared" si="114"/>
        <v>1125</v>
      </c>
      <c r="R284" s="890">
        <f t="shared" si="115"/>
        <v>1125</v>
      </c>
    </row>
    <row r="285" spans="1:18" s="14" customFormat="1">
      <c r="A285" s="7">
        <v>6</v>
      </c>
      <c r="B285" s="950" t="s">
        <v>288</v>
      </c>
      <c r="C285" s="18" t="s">
        <v>91</v>
      </c>
      <c r="D285" s="18">
        <v>30</v>
      </c>
      <c r="E285" s="833">
        <f>VLOOKUP(B285,GiaVL!$B$4:'GiaVL'!$D$185,3,0)</f>
        <v>165000</v>
      </c>
      <c r="F285" s="834">
        <f t="shared" si="109"/>
        <v>211.53846153846155</v>
      </c>
      <c r="G285" s="836">
        <v>2.08</v>
      </c>
      <c r="H285" s="836">
        <v>2.08</v>
      </c>
      <c r="I285" s="836">
        <v>2.08</v>
      </c>
      <c r="J285" s="888">
        <v>2.08</v>
      </c>
      <c r="K285" s="888">
        <v>2.08</v>
      </c>
      <c r="L285" s="836">
        <v>2.08</v>
      </c>
      <c r="M285" s="889">
        <f t="shared" si="110"/>
        <v>440.00000000000006</v>
      </c>
      <c r="N285" s="889">
        <f t="shared" si="111"/>
        <v>440.00000000000006</v>
      </c>
      <c r="O285" s="889">
        <f t="shared" si="112"/>
        <v>440.00000000000006</v>
      </c>
      <c r="P285" s="889">
        <f t="shared" si="113"/>
        <v>440.00000000000006</v>
      </c>
      <c r="Q285" s="889">
        <f t="shared" si="114"/>
        <v>440.00000000000006</v>
      </c>
      <c r="R285" s="890">
        <f t="shared" si="115"/>
        <v>440.00000000000006</v>
      </c>
    </row>
    <row r="286" spans="1:18" s="14" customFormat="1">
      <c r="A286" s="7">
        <v>7</v>
      </c>
      <c r="B286" s="65" t="s">
        <v>638</v>
      </c>
      <c r="C286" s="18" t="s">
        <v>91</v>
      </c>
      <c r="D286" s="18">
        <v>60</v>
      </c>
      <c r="E286" s="833">
        <f>VLOOKUP(B286,GiaVL!$B$4:'GiaVL'!$D$185,3,0)</f>
        <v>2000000</v>
      </c>
      <c r="F286" s="834">
        <f t="shared" si="109"/>
        <v>1282.0512820512822</v>
      </c>
      <c r="G286" s="836">
        <v>1.56</v>
      </c>
      <c r="H286" s="836">
        <v>1.56</v>
      </c>
      <c r="I286" s="836">
        <v>1.56</v>
      </c>
      <c r="J286" s="888">
        <v>1.56</v>
      </c>
      <c r="K286" s="888">
        <v>1.56</v>
      </c>
      <c r="L286" s="836">
        <v>1.56</v>
      </c>
      <c r="M286" s="889">
        <f t="shared" si="110"/>
        <v>2000.0000000000002</v>
      </c>
      <c r="N286" s="889">
        <f t="shared" si="111"/>
        <v>2000.0000000000002</v>
      </c>
      <c r="O286" s="889">
        <f t="shared" si="112"/>
        <v>2000.0000000000002</v>
      </c>
      <c r="P286" s="889">
        <f t="shared" si="113"/>
        <v>2000.0000000000002</v>
      </c>
      <c r="Q286" s="889">
        <f t="shared" si="114"/>
        <v>2000.0000000000002</v>
      </c>
      <c r="R286" s="890">
        <f t="shared" si="115"/>
        <v>2000.0000000000002</v>
      </c>
    </row>
    <row r="287" spans="1:18" s="14" customFormat="1">
      <c r="A287" s="7">
        <v>8</v>
      </c>
      <c r="B287" s="6" t="s">
        <v>158</v>
      </c>
      <c r="C287" s="18" t="s">
        <v>91</v>
      </c>
      <c r="D287" s="18">
        <v>36</v>
      </c>
      <c r="E287" s="833">
        <f>VLOOKUP(B287,GiaVL!$B$4:'GiaVL'!$D$185,3,0)</f>
        <v>290000</v>
      </c>
      <c r="F287" s="834">
        <f t="shared" si="109"/>
        <v>309.82905982905982</v>
      </c>
      <c r="G287" s="836">
        <v>0.26</v>
      </c>
      <c r="H287" s="836">
        <v>0.26</v>
      </c>
      <c r="I287" s="836">
        <v>0.26</v>
      </c>
      <c r="J287" s="888">
        <v>0.26</v>
      </c>
      <c r="K287" s="888">
        <v>0.26</v>
      </c>
      <c r="L287" s="836">
        <v>0.26</v>
      </c>
      <c r="M287" s="889">
        <f t="shared" si="110"/>
        <v>80.555555555555557</v>
      </c>
      <c r="N287" s="889">
        <f t="shared" si="111"/>
        <v>80.555555555555557</v>
      </c>
      <c r="O287" s="889">
        <f t="shared" si="112"/>
        <v>80.555555555555557</v>
      </c>
      <c r="P287" s="889">
        <f t="shared" si="113"/>
        <v>80.555555555555557</v>
      </c>
      <c r="Q287" s="889">
        <f t="shared" si="114"/>
        <v>80.555555555555557</v>
      </c>
      <c r="R287" s="890">
        <f t="shared" si="115"/>
        <v>80.555555555555557</v>
      </c>
    </row>
    <row r="288" spans="1:18" s="14" customFormat="1">
      <c r="A288" s="7">
        <v>9</v>
      </c>
      <c r="B288" s="6" t="s">
        <v>260</v>
      </c>
      <c r="C288" s="18" t="s">
        <v>116</v>
      </c>
      <c r="D288" s="18">
        <v>36</v>
      </c>
      <c r="E288" s="833">
        <f>VLOOKUP(B288,GiaVL!$B$4:'GiaVL'!$D$185,3,0)</f>
        <v>2640000</v>
      </c>
      <c r="F288" s="834">
        <f t="shared" si="109"/>
        <v>2820.5128205128203</v>
      </c>
      <c r="G288" s="836">
        <v>0.26</v>
      </c>
      <c r="H288" s="836">
        <v>0.26</v>
      </c>
      <c r="I288" s="836">
        <v>0.26</v>
      </c>
      <c r="J288" s="888">
        <v>0.26</v>
      </c>
      <c r="K288" s="888">
        <v>0.26</v>
      </c>
      <c r="L288" s="836">
        <v>0.26</v>
      </c>
      <c r="M288" s="889">
        <f t="shared" si="110"/>
        <v>733.33333333333326</v>
      </c>
      <c r="N288" s="889">
        <f t="shared" si="111"/>
        <v>733.33333333333326</v>
      </c>
      <c r="O288" s="889">
        <f t="shared" si="112"/>
        <v>733.33333333333326</v>
      </c>
      <c r="P288" s="889">
        <f t="shared" si="113"/>
        <v>733.33333333333326</v>
      </c>
      <c r="Q288" s="889">
        <f t="shared" si="114"/>
        <v>733.33333333333326</v>
      </c>
      <c r="R288" s="890">
        <f t="shared" si="115"/>
        <v>733.33333333333326</v>
      </c>
    </row>
    <row r="289" spans="1:18" s="14" customFormat="1" ht="13.5">
      <c r="A289" s="7">
        <v>10</v>
      </c>
      <c r="B289" s="6" t="str">
        <f>B269</f>
        <v>Điện</v>
      </c>
      <c r="C289" s="18" t="s">
        <v>117</v>
      </c>
      <c r="D289" s="951">
        <v>1.05</v>
      </c>
      <c r="E289" s="833">
        <f>VLOOKUP(B289,GiaVL!$B$4:'GiaVL'!$D$185,3,0)</f>
        <v>2226</v>
      </c>
      <c r="F289" s="256">
        <f>D289*E289</f>
        <v>2337.3000000000002</v>
      </c>
      <c r="G289" s="836">
        <v>2.9</v>
      </c>
      <c r="H289" s="836">
        <v>2.9</v>
      </c>
      <c r="I289" s="836">
        <v>2.9</v>
      </c>
      <c r="J289" s="888">
        <v>2.9</v>
      </c>
      <c r="K289" s="888">
        <v>2.9</v>
      </c>
      <c r="L289" s="836">
        <v>2.9</v>
      </c>
      <c r="M289" s="889">
        <f t="shared" si="110"/>
        <v>6778.17</v>
      </c>
      <c r="N289" s="889">
        <f t="shared" si="111"/>
        <v>6778.17</v>
      </c>
      <c r="O289" s="889">
        <f t="shared" si="112"/>
        <v>6778.17</v>
      </c>
      <c r="P289" s="889">
        <f t="shared" si="113"/>
        <v>6778.17</v>
      </c>
      <c r="Q289" s="889">
        <f t="shared" si="114"/>
        <v>6778.17</v>
      </c>
      <c r="R289" s="890">
        <f t="shared" si="115"/>
        <v>6778.17</v>
      </c>
    </row>
    <row r="290" spans="1:18">
      <c r="A290" s="547"/>
      <c r="B290" s="548" t="s">
        <v>519</v>
      </c>
      <c r="C290" s="549"/>
      <c r="D290" s="549"/>
      <c r="E290" s="550"/>
      <c r="F290" s="548"/>
      <c r="G290" s="645"/>
      <c r="H290" s="645"/>
      <c r="I290" s="645"/>
      <c r="J290" s="645"/>
      <c r="K290" s="645"/>
      <c r="L290" s="615"/>
      <c r="M290" s="552">
        <f t="shared" ref="M290:R290" si="116">SUM(M280:M289)</f>
        <v>13800.392222222223</v>
      </c>
      <c r="N290" s="552">
        <f t="shared" si="116"/>
        <v>13800.392222222223</v>
      </c>
      <c r="O290" s="552">
        <f t="shared" si="116"/>
        <v>13800.392222222223</v>
      </c>
      <c r="P290" s="552">
        <f t="shared" si="116"/>
        <v>13800.392222222223</v>
      </c>
      <c r="Q290" s="552">
        <f t="shared" si="116"/>
        <v>13800.392222222223</v>
      </c>
      <c r="R290" s="568">
        <f t="shared" si="116"/>
        <v>13800.392222222223</v>
      </c>
    </row>
    <row r="291" spans="1:18">
      <c r="A291" s="547"/>
      <c r="B291" s="548"/>
      <c r="C291" s="549"/>
      <c r="D291" s="549"/>
      <c r="E291" s="550"/>
      <c r="F291" s="548"/>
      <c r="G291" s="645"/>
      <c r="H291" s="645"/>
      <c r="I291" s="645"/>
      <c r="J291" s="645"/>
      <c r="K291" s="645"/>
      <c r="L291" s="615"/>
      <c r="M291" s="552"/>
      <c r="N291" s="552"/>
      <c r="O291" s="552"/>
      <c r="P291" s="552"/>
      <c r="Q291" s="552"/>
      <c r="R291" s="568"/>
    </row>
    <row r="292" spans="1:18" s="576" customFormat="1" ht="29.25" customHeight="1">
      <c r="A292" s="547"/>
      <c r="B292" s="1118" t="s">
        <v>418</v>
      </c>
      <c r="C292" s="1118"/>
      <c r="D292" s="1118"/>
      <c r="E292" s="1118"/>
      <c r="F292" s="1118"/>
      <c r="G292" s="1118"/>
      <c r="H292" s="1118"/>
      <c r="I292" s="1118"/>
      <c r="J292" s="1118"/>
      <c r="K292" s="1118"/>
      <c r="L292" s="1118"/>
      <c r="M292" s="1118"/>
      <c r="N292" s="1118"/>
      <c r="O292" s="1118"/>
      <c r="P292" s="1118"/>
      <c r="Q292" s="1118"/>
      <c r="R292" s="1119"/>
    </row>
    <row r="293" spans="1:18" s="576" customFormat="1">
      <c r="A293" s="547"/>
      <c r="B293" s="727"/>
      <c r="C293" s="727"/>
      <c r="D293" s="727"/>
      <c r="E293" s="727"/>
      <c r="F293" s="727"/>
      <c r="G293" s="727"/>
      <c r="H293" s="727"/>
      <c r="I293" s="727"/>
      <c r="J293" s="727"/>
      <c r="K293" s="727"/>
      <c r="L293" s="727"/>
      <c r="M293" s="727"/>
      <c r="N293" s="727"/>
      <c r="O293" s="727"/>
      <c r="P293" s="727"/>
      <c r="Q293" s="727"/>
      <c r="R293" s="728"/>
    </row>
    <row r="294" spans="1:18" s="577" customFormat="1">
      <c r="A294" s="555" t="s">
        <v>30</v>
      </c>
      <c r="B294" s="637" t="s">
        <v>421</v>
      </c>
      <c r="C294" s="549"/>
      <c r="D294" s="549"/>
      <c r="E294" s="550"/>
      <c r="F294" s="549"/>
      <c r="G294" s="614"/>
      <c r="H294" s="614"/>
      <c r="I294" s="614"/>
      <c r="J294" s="638"/>
      <c r="K294" s="638"/>
      <c r="L294" s="620"/>
      <c r="M294" s="549"/>
      <c r="N294" s="549"/>
      <c r="O294" s="549"/>
      <c r="P294" s="639"/>
      <c r="Q294" s="633"/>
      <c r="R294" s="618"/>
    </row>
    <row r="295" spans="1:18" s="14" customFormat="1">
      <c r="A295" s="7">
        <v>1</v>
      </c>
      <c r="B295" s="950" t="s">
        <v>171</v>
      </c>
      <c r="C295" s="18" t="s">
        <v>91</v>
      </c>
      <c r="D295" s="18">
        <v>9</v>
      </c>
      <c r="E295" s="833">
        <f>VLOOKUP(B295,GiaVL!$B$4:'GiaVL'!$D$185,3,0)</f>
        <v>150000</v>
      </c>
      <c r="F295" s="834">
        <f t="shared" ref="F295:F302" si="117">E295/D295/26</f>
        <v>641.02564102564111</v>
      </c>
      <c r="G295" s="836">
        <v>0.89</v>
      </c>
      <c r="H295" s="836">
        <v>1.97</v>
      </c>
      <c r="I295" s="836">
        <v>2.54</v>
      </c>
      <c r="J295" s="888">
        <v>3.53</v>
      </c>
      <c r="K295" s="888">
        <v>4.76</v>
      </c>
      <c r="L295" s="836">
        <v>9.52</v>
      </c>
      <c r="M295" s="889">
        <f t="shared" ref="M295:M303" si="118">$F295*G295</f>
        <v>570.51282051282055</v>
      </c>
      <c r="N295" s="889">
        <f t="shared" ref="N295:N303" si="119">$F295*H295</f>
        <v>1262.8205128205129</v>
      </c>
      <c r="O295" s="889">
        <f t="shared" ref="O295:O303" si="120">$F295*I295</f>
        <v>1628.2051282051284</v>
      </c>
      <c r="P295" s="889">
        <f t="shared" ref="P295:P303" si="121">$F295*J295</f>
        <v>2262.8205128205132</v>
      </c>
      <c r="Q295" s="889">
        <f>$F295*K295</f>
        <v>3051.2820512820517</v>
      </c>
      <c r="R295" s="890">
        <f>$F295*L295</f>
        <v>6102.5641025641035</v>
      </c>
    </row>
    <row r="296" spans="1:18" s="14" customFormat="1">
      <c r="A296" s="7">
        <v>2</v>
      </c>
      <c r="B296" s="950" t="s">
        <v>286</v>
      </c>
      <c r="C296" s="18" t="s">
        <v>91</v>
      </c>
      <c r="D296" s="18">
        <v>60</v>
      </c>
      <c r="E296" s="833">
        <f>VLOOKUP(B296,GiaVL!$B$4:'GiaVL'!$D$185,3,0)</f>
        <v>1500000</v>
      </c>
      <c r="F296" s="834">
        <f t="shared" si="117"/>
        <v>961.53846153846155</v>
      </c>
      <c r="G296" s="836">
        <v>0.4</v>
      </c>
      <c r="H296" s="836">
        <v>0.73</v>
      </c>
      <c r="I296" s="835">
        <v>0.93</v>
      </c>
      <c r="J296" s="888">
        <v>1.26</v>
      </c>
      <c r="K296" s="888">
        <v>1.7</v>
      </c>
      <c r="L296" s="835">
        <v>3.4</v>
      </c>
      <c r="M296" s="889">
        <f t="shared" si="118"/>
        <v>384.61538461538464</v>
      </c>
      <c r="N296" s="889">
        <f t="shared" si="119"/>
        <v>701.92307692307691</v>
      </c>
      <c r="O296" s="889">
        <f t="shared" si="120"/>
        <v>894.23076923076928</v>
      </c>
      <c r="P296" s="889">
        <f t="shared" si="121"/>
        <v>1211.5384615384617</v>
      </c>
      <c r="Q296" s="889">
        <f t="shared" ref="Q296:Q303" si="122">$F296*K296</f>
        <v>1634.6153846153845</v>
      </c>
      <c r="R296" s="890">
        <f t="shared" ref="R296:R303" si="123">$F296*L296</f>
        <v>3269.2307692307691</v>
      </c>
    </row>
    <row r="297" spans="1:18" s="14" customFormat="1">
      <c r="A297" s="7">
        <v>3</v>
      </c>
      <c r="B297" s="950" t="str">
        <f>B282</f>
        <v>Ghế tựa (Xuân Hòa)</v>
      </c>
      <c r="C297" s="18" t="s">
        <v>94</v>
      </c>
      <c r="D297" s="18">
        <v>60</v>
      </c>
      <c r="E297" s="833">
        <f>VLOOKUP(B297,GiaVL!$B$4:'GiaVL'!$D$185,3,0)</f>
        <v>300000</v>
      </c>
      <c r="F297" s="834">
        <f t="shared" si="117"/>
        <v>192.30769230769232</v>
      </c>
      <c r="G297" s="836">
        <v>0.4</v>
      </c>
      <c r="H297" s="836">
        <v>0.73</v>
      </c>
      <c r="I297" s="835">
        <v>0.93</v>
      </c>
      <c r="J297" s="888">
        <v>1.26</v>
      </c>
      <c r="K297" s="888">
        <v>1.7</v>
      </c>
      <c r="L297" s="835">
        <v>3.4</v>
      </c>
      <c r="M297" s="889">
        <f t="shared" si="118"/>
        <v>76.923076923076934</v>
      </c>
      <c r="N297" s="889">
        <f t="shared" si="119"/>
        <v>140.38461538461539</v>
      </c>
      <c r="O297" s="889">
        <f t="shared" si="120"/>
        <v>178.84615384615387</v>
      </c>
      <c r="P297" s="889">
        <f t="shared" si="121"/>
        <v>242.30769230769232</v>
      </c>
      <c r="Q297" s="889">
        <f t="shared" si="122"/>
        <v>326.92307692307696</v>
      </c>
      <c r="R297" s="890">
        <f t="shared" si="123"/>
        <v>653.84615384615392</v>
      </c>
    </row>
    <row r="298" spans="1:18" s="14" customFormat="1">
      <c r="A298" s="7">
        <v>4</v>
      </c>
      <c r="B298" s="950" t="s">
        <v>287</v>
      </c>
      <c r="C298" s="18" t="s">
        <v>99</v>
      </c>
      <c r="D298" s="18">
        <v>60</v>
      </c>
      <c r="E298" s="833">
        <f>VLOOKUP(B298,GiaVL!$B$4:'GiaVL'!$D$185,3,0)</f>
        <v>220000</v>
      </c>
      <c r="F298" s="834">
        <f t="shared" si="117"/>
        <v>141.02564102564102</v>
      </c>
      <c r="G298" s="836">
        <v>0.1</v>
      </c>
      <c r="H298" s="836">
        <v>0.18</v>
      </c>
      <c r="I298" s="836">
        <v>0.23</v>
      </c>
      <c r="J298" s="888">
        <v>0.31</v>
      </c>
      <c r="K298" s="888">
        <v>0.43</v>
      </c>
      <c r="L298" s="836">
        <v>0.86</v>
      </c>
      <c r="M298" s="889">
        <f t="shared" si="118"/>
        <v>14.102564102564102</v>
      </c>
      <c r="N298" s="889">
        <f t="shared" si="119"/>
        <v>25.384615384615383</v>
      </c>
      <c r="O298" s="889">
        <f t="shared" si="120"/>
        <v>32.435897435897438</v>
      </c>
      <c r="P298" s="889">
        <f t="shared" si="121"/>
        <v>43.717948717948715</v>
      </c>
      <c r="Q298" s="889">
        <f t="shared" si="122"/>
        <v>60.641025641025635</v>
      </c>
      <c r="R298" s="890">
        <f t="shared" si="123"/>
        <v>121.28205128205127</v>
      </c>
    </row>
    <row r="299" spans="1:18" s="14" customFormat="1">
      <c r="A299" s="7">
        <v>5</v>
      </c>
      <c r="B299" s="950" t="s">
        <v>159</v>
      </c>
      <c r="C299" s="18" t="s">
        <v>91</v>
      </c>
      <c r="D299" s="18">
        <v>60</v>
      </c>
      <c r="E299" s="833">
        <f>VLOOKUP(B299,GiaVL!$B$4:'GiaVL'!$D$185,3,0)</f>
        <v>2250000</v>
      </c>
      <c r="F299" s="834">
        <f t="shared" si="117"/>
        <v>1442.3076923076924</v>
      </c>
      <c r="G299" s="836">
        <v>0.1</v>
      </c>
      <c r="H299" s="836">
        <v>0.18</v>
      </c>
      <c r="I299" s="836">
        <v>0.23</v>
      </c>
      <c r="J299" s="888">
        <v>0.31</v>
      </c>
      <c r="K299" s="888">
        <v>0.43</v>
      </c>
      <c r="L299" s="836">
        <v>0.86</v>
      </c>
      <c r="M299" s="889">
        <f t="shared" si="118"/>
        <v>144.23076923076925</v>
      </c>
      <c r="N299" s="889">
        <f t="shared" si="119"/>
        <v>259.61538461538464</v>
      </c>
      <c r="O299" s="889">
        <f t="shared" si="120"/>
        <v>331.73076923076928</v>
      </c>
      <c r="P299" s="889">
        <f t="shared" si="121"/>
        <v>447.11538461538464</v>
      </c>
      <c r="Q299" s="889">
        <f t="shared" si="122"/>
        <v>620.19230769230774</v>
      </c>
      <c r="R299" s="890">
        <f t="shared" si="123"/>
        <v>1240.3846153846155</v>
      </c>
    </row>
    <row r="300" spans="1:18" s="14" customFormat="1">
      <c r="A300" s="7">
        <v>6</v>
      </c>
      <c r="B300" s="6" t="s">
        <v>288</v>
      </c>
      <c r="C300" s="18" t="s">
        <v>91</v>
      </c>
      <c r="D300" s="18">
        <v>30</v>
      </c>
      <c r="E300" s="833">
        <f>VLOOKUP(B300,GiaVL!$B$4:'GiaVL'!$D$185,3,0)</f>
        <v>165000</v>
      </c>
      <c r="F300" s="834">
        <f t="shared" si="117"/>
        <v>211.53846153846155</v>
      </c>
      <c r="G300" s="836">
        <v>0.81</v>
      </c>
      <c r="H300" s="836">
        <v>1.46</v>
      </c>
      <c r="I300" s="836">
        <v>1.86</v>
      </c>
      <c r="J300" s="888">
        <v>2.5099999999999998</v>
      </c>
      <c r="K300" s="888">
        <v>3.4</v>
      </c>
      <c r="L300" s="836">
        <v>6.8</v>
      </c>
      <c r="M300" s="889">
        <f t="shared" si="118"/>
        <v>171.34615384615387</v>
      </c>
      <c r="N300" s="889">
        <f t="shared" si="119"/>
        <v>308.84615384615387</v>
      </c>
      <c r="O300" s="889">
        <f t="shared" si="120"/>
        <v>393.46153846153851</v>
      </c>
      <c r="P300" s="889">
        <f t="shared" si="121"/>
        <v>530.96153846153845</v>
      </c>
      <c r="Q300" s="889">
        <f t="shared" si="122"/>
        <v>719.23076923076928</v>
      </c>
      <c r="R300" s="890">
        <f t="shared" si="123"/>
        <v>1438.4615384615386</v>
      </c>
    </row>
    <row r="301" spans="1:18" s="14" customFormat="1">
      <c r="A301" s="7">
        <v>7</v>
      </c>
      <c r="B301" s="6" t="str">
        <f>B286</f>
        <v>Ổn áp (chung) 10A</v>
      </c>
      <c r="C301" s="18" t="s">
        <v>91</v>
      </c>
      <c r="D301" s="18">
        <v>60</v>
      </c>
      <c r="E301" s="833">
        <f>VLOOKUP(B301,GiaVL!$B$4:'GiaVL'!$D$185,3,0)</f>
        <v>2000000</v>
      </c>
      <c r="F301" s="834">
        <f t="shared" si="117"/>
        <v>1282.0512820512822</v>
      </c>
      <c r="G301" s="836">
        <v>0.61</v>
      </c>
      <c r="H301" s="836">
        <v>1.1000000000000001</v>
      </c>
      <c r="I301" s="836">
        <v>1.4</v>
      </c>
      <c r="J301" s="888">
        <v>1.88</v>
      </c>
      <c r="K301" s="888">
        <v>2.5499999999999998</v>
      </c>
      <c r="L301" s="836">
        <v>5.0999999999999996</v>
      </c>
      <c r="M301" s="889">
        <f t="shared" si="118"/>
        <v>782.0512820512821</v>
      </c>
      <c r="N301" s="889">
        <f t="shared" si="119"/>
        <v>1410.2564102564106</v>
      </c>
      <c r="O301" s="889">
        <f t="shared" si="120"/>
        <v>1794.8717948717949</v>
      </c>
      <c r="P301" s="889">
        <f t="shared" si="121"/>
        <v>2410.2564102564106</v>
      </c>
      <c r="Q301" s="889">
        <f t="shared" si="122"/>
        <v>3269.2307692307695</v>
      </c>
      <c r="R301" s="890">
        <f t="shared" si="123"/>
        <v>6538.461538461539</v>
      </c>
    </row>
    <row r="302" spans="1:18" s="14" customFormat="1">
      <c r="A302" s="7">
        <v>8</v>
      </c>
      <c r="B302" s="6" t="s">
        <v>260</v>
      </c>
      <c r="C302" s="18" t="s">
        <v>116</v>
      </c>
      <c r="D302" s="18">
        <v>60</v>
      </c>
      <c r="E302" s="833">
        <f>VLOOKUP(B302,GiaVL!$B$4:'GiaVL'!$D$185,3,0)</f>
        <v>2640000</v>
      </c>
      <c r="F302" s="834">
        <f t="shared" si="117"/>
        <v>1692.3076923076924</v>
      </c>
      <c r="G302" s="836">
        <v>0.1</v>
      </c>
      <c r="H302" s="836">
        <v>0.18</v>
      </c>
      <c r="I302" s="836">
        <v>0.23</v>
      </c>
      <c r="J302" s="888">
        <v>0.31</v>
      </c>
      <c r="K302" s="888">
        <v>0.43</v>
      </c>
      <c r="L302" s="836">
        <v>0.86</v>
      </c>
      <c r="M302" s="889">
        <f t="shared" si="118"/>
        <v>169.23076923076925</v>
      </c>
      <c r="N302" s="889">
        <f t="shared" si="119"/>
        <v>304.61538461538464</v>
      </c>
      <c r="O302" s="889">
        <f t="shared" si="120"/>
        <v>389.23076923076928</v>
      </c>
      <c r="P302" s="889">
        <f t="shared" si="121"/>
        <v>524.61538461538464</v>
      </c>
      <c r="Q302" s="889">
        <f t="shared" si="122"/>
        <v>727.69230769230774</v>
      </c>
      <c r="R302" s="890">
        <f t="shared" si="123"/>
        <v>1455.3846153846155</v>
      </c>
    </row>
    <row r="303" spans="1:18" s="14" customFormat="1">
      <c r="A303" s="7">
        <v>9</v>
      </c>
      <c r="B303" s="950" t="str">
        <f>B289</f>
        <v>Điện</v>
      </c>
      <c r="C303" s="18" t="s">
        <v>117</v>
      </c>
      <c r="D303" s="18"/>
      <c r="E303" s="833">
        <f>VLOOKUP(B303,GiaVL!$B$4:'GiaVL'!$D$185,3,0)</f>
        <v>2226</v>
      </c>
      <c r="F303" s="834">
        <f>E303</f>
        <v>2226</v>
      </c>
      <c r="G303" s="836">
        <v>0.3</v>
      </c>
      <c r="H303" s="836">
        <v>0.5</v>
      </c>
      <c r="I303" s="836">
        <v>0.6</v>
      </c>
      <c r="J303" s="888">
        <v>0.8</v>
      </c>
      <c r="K303" s="888">
        <v>1.1000000000000001</v>
      </c>
      <c r="L303" s="836">
        <v>2.2000000000000002</v>
      </c>
      <c r="M303" s="889">
        <f t="shared" si="118"/>
        <v>667.8</v>
      </c>
      <c r="N303" s="889">
        <f t="shared" si="119"/>
        <v>1113</v>
      </c>
      <c r="O303" s="889">
        <f t="shared" si="120"/>
        <v>1335.6</v>
      </c>
      <c r="P303" s="889">
        <f t="shared" si="121"/>
        <v>1780.8000000000002</v>
      </c>
      <c r="Q303" s="889">
        <f t="shared" si="122"/>
        <v>2448.6000000000004</v>
      </c>
      <c r="R303" s="890">
        <f t="shared" si="123"/>
        <v>4897.2000000000007</v>
      </c>
    </row>
    <row r="304" spans="1:18" s="14" customFormat="1" ht="13.5" thickBot="1">
      <c r="A304" s="952"/>
      <c r="B304" s="953" t="s">
        <v>519</v>
      </c>
      <c r="C304" s="954"/>
      <c r="D304" s="954"/>
      <c r="E304" s="955"/>
      <c r="F304" s="953"/>
      <c r="G304" s="956"/>
      <c r="H304" s="956"/>
      <c r="I304" s="956"/>
      <c r="J304" s="956"/>
      <c r="K304" s="956"/>
      <c r="L304" s="957"/>
      <c r="M304" s="958">
        <f>SUM(M295:M303)</f>
        <v>2980.8128205128205</v>
      </c>
      <c r="N304" s="958">
        <f>SUM(N295:N303)/6.25</f>
        <v>884.29538461538471</v>
      </c>
      <c r="O304" s="958">
        <f>SUM(O295:O303)/25</f>
        <v>279.14451282051283</v>
      </c>
      <c r="P304" s="958">
        <f>SUM(P295:P303)/100</f>
        <v>94.541333333333355</v>
      </c>
      <c r="Q304" s="958">
        <f>SUM(Q295:Q303)/900</f>
        <v>14.287119658119662</v>
      </c>
      <c r="R304" s="959">
        <f>SUM(R295:R303)/3600</f>
        <v>7.1435598290598312</v>
      </c>
    </row>
  </sheetData>
  <mergeCells count="75">
    <mergeCell ref="A271:A275"/>
    <mergeCell ref="B271:C275"/>
    <mergeCell ref="A222:A226"/>
    <mergeCell ref="B222:C226"/>
    <mergeCell ref="G159:L159"/>
    <mergeCell ref="E187:E188"/>
    <mergeCell ref="A246:A250"/>
    <mergeCell ref="B246:C250"/>
    <mergeCell ref="B178:C182"/>
    <mergeCell ref="A200:A204"/>
    <mergeCell ref="A178:A182"/>
    <mergeCell ref="A159:A161"/>
    <mergeCell ref="A187:A188"/>
    <mergeCell ref="F159:F161"/>
    <mergeCell ref="G160:J160"/>
    <mergeCell ref="B183:R183"/>
    <mergeCell ref="A82:A86"/>
    <mergeCell ref="B108:R108"/>
    <mergeCell ref="B59:B60"/>
    <mergeCell ref="C59:C60"/>
    <mergeCell ref="L46:O46"/>
    <mergeCell ref="B103:C107"/>
    <mergeCell ref="A1:N1"/>
    <mergeCell ref="B3:N3"/>
    <mergeCell ref="B4:N4"/>
    <mergeCell ref="D59:D60"/>
    <mergeCell ref="E59:E60"/>
    <mergeCell ref="F59:F60"/>
    <mergeCell ref="G46:G47"/>
    <mergeCell ref="H46:H47"/>
    <mergeCell ref="C46:C47"/>
    <mergeCell ref="A59:A60"/>
    <mergeCell ref="F5:F6"/>
    <mergeCell ref="A46:A47"/>
    <mergeCell ref="B46:B47"/>
    <mergeCell ref="M59:R59"/>
    <mergeCell ref="G59:L59"/>
    <mergeCell ref="B128:R128"/>
    <mergeCell ref="K160:L160"/>
    <mergeCell ref="M160:P160"/>
    <mergeCell ref="M159:R159"/>
    <mergeCell ref="E159:E161"/>
    <mergeCell ref="Q160:R160"/>
    <mergeCell ref="A123:A127"/>
    <mergeCell ref="B82:C86"/>
    <mergeCell ref="A103:A107"/>
    <mergeCell ref="K5:N5"/>
    <mergeCell ref="D46:D47"/>
    <mergeCell ref="E46:E47"/>
    <mergeCell ref="F46:F47"/>
    <mergeCell ref="A32:A36"/>
    <mergeCell ref="B32:C36"/>
    <mergeCell ref="B43:N43"/>
    <mergeCell ref="G5:J5"/>
    <mergeCell ref="A5:A6"/>
    <mergeCell ref="B5:B6"/>
    <mergeCell ref="C5:C6"/>
    <mergeCell ref="D5:D6"/>
    <mergeCell ref="E5:E6"/>
    <mergeCell ref="B123:C127"/>
    <mergeCell ref="B255:Q255"/>
    <mergeCell ref="B276:R276"/>
    <mergeCell ref="B292:R292"/>
    <mergeCell ref="F187:F188"/>
    <mergeCell ref="C187:C188"/>
    <mergeCell ref="D187:D188"/>
    <mergeCell ref="G187:L187"/>
    <mergeCell ref="B200:C204"/>
    <mergeCell ref="M187:R187"/>
    <mergeCell ref="B228:R228"/>
    <mergeCell ref="B251:R251"/>
    <mergeCell ref="B187:B188"/>
    <mergeCell ref="D159:D161"/>
    <mergeCell ref="B159:B161"/>
    <mergeCell ref="C159:C161"/>
  </mergeCells>
  <phoneticPr fontId="0" type="noConversion"/>
  <printOptions horizontalCentered="1"/>
  <pageMargins left="0.31496062992125984" right="0.19685039370078741" top="0.51181102362204722" bottom="0.55118110236220474" header="0.51181102362204722" footer="0.27559055118110237"/>
  <pageSetup paperSize="9" scale="65" firstPageNumber="84" fitToHeight="0" orientation="landscape" useFirstPageNumber="1" horizontalDpi="4294967295" verticalDpi="4294967295" r:id="rId1"/>
  <headerFooter alignWithMargins="0">
    <oddFooter xml:space="preserve">&amp;C&amp;".VnArial,Regular"
</oddFooter>
  </headerFooter>
  <ignoredErrors>
    <ignoredError sqref="L38:L4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448"/>
  <sheetViews>
    <sheetView showZeros="0" zoomScaleNormal="100" workbookViewId="0">
      <pane ySplit="8" topLeftCell="A294" activePane="bottomLeft" state="frozen"/>
      <selection pane="bottomLeft" activeCell="T174" sqref="T174"/>
    </sheetView>
  </sheetViews>
  <sheetFormatPr defaultColWidth="9" defaultRowHeight="13" customHeight="1"/>
  <cols>
    <col min="1" max="1" width="4.4609375" style="14" customWidth="1"/>
    <col min="2" max="2" width="18.765625" style="14" customWidth="1"/>
    <col min="3" max="3" width="4.07421875" style="13" customWidth="1"/>
    <col min="4" max="4" width="4.4609375" style="55" customWidth="1"/>
    <col min="5" max="5" width="5" style="14" bestFit="1" customWidth="1"/>
    <col min="6" max="6" width="10.765625" style="39" customWidth="1"/>
    <col min="7" max="7" width="8.23046875" style="39" customWidth="1"/>
    <col min="8" max="8" width="5.23046875" style="40" customWidth="1"/>
    <col min="9" max="9" width="5.3046875" style="40" customWidth="1"/>
    <col min="10" max="11" width="6.4609375" style="40" bestFit="1" customWidth="1"/>
    <col min="12" max="12" width="5.3046875" style="40" customWidth="1"/>
    <col min="13" max="13" width="5.07421875" style="40" customWidth="1"/>
    <col min="14" max="14" width="7.69140625" style="39" bestFit="1" customWidth="1"/>
    <col min="15" max="15" width="8.69140625" style="39" customWidth="1"/>
    <col min="16" max="16" width="8.84375" style="39" customWidth="1"/>
    <col min="17" max="17" width="8.69140625" style="39" customWidth="1"/>
    <col min="18" max="18" width="7.69140625" style="39" bestFit="1" customWidth="1"/>
    <col min="19" max="19" width="7.69140625" style="39" hidden="1" customWidth="1"/>
    <col min="20" max="20" width="10.4609375" style="14" bestFit="1" customWidth="1"/>
    <col min="21" max="16384" width="9" style="14"/>
  </cols>
  <sheetData>
    <row r="1" spans="1:19" s="5" customFormat="1" ht="18">
      <c r="A1" s="1169" t="s">
        <v>618</v>
      </c>
      <c r="B1" s="1169"/>
      <c r="C1" s="1169"/>
      <c r="D1" s="1169"/>
      <c r="E1" s="1169"/>
      <c r="F1" s="1169"/>
      <c r="G1" s="1169"/>
      <c r="H1" s="1169"/>
      <c r="I1" s="1169"/>
      <c r="J1" s="1169"/>
      <c r="K1" s="1169"/>
      <c r="L1" s="1169"/>
      <c r="M1" s="1169"/>
      <c r="N1" s="1169"/>
      <c r="O1" s="1169"/>
      <c r="P1" s="1169"/>
      <c r="Q1" s="1169"/>
      <c r="R1" s="1169"/>
      <c r="S1" s="205"/>
    </row>
    <row r="2" spans="1:19" ht="13" customHeight="1">
      <c r="F2" s="61"/>
      <c r="G2" s="61"/>
      <c r="H2" s="40" t="s">
        <v>43</v>
      </c>
      <c r="I2" s="40" t="s">
        <v>43</v>
      </c>
      <c r="J2" s="40" t="s">
        <v>43</v>
      </c>
      <c r="K2" s="40" t="s">
        <v>43</v>
      </c>
      <c r="L2" s="40" t="s">
        <v>43</v>
      </c>
      <c r="M2" s="40" t="s">
        <v>43</v>
      </c>
      <c r="N2" s="61"/>
      <c r="O2" s="61"/>
      <c r="P2" s="61"/>
      <c r="Q2" s="61"/>
      <c r="R2" s="61"/>
      <c r="S2" s="197"/>
    </row>
    <row r="3" spans="1:19" s="15" customFormat="1" ht="19.5" customHeight="1">
      <c r="A3" s="1175" t="s">
        <v>510</v>
      </c>
      <c r="B3" s="1176" t="s">
        <v>86</v>
      </c>
      <c r="C3" s="1176" t="s">
        <v>70</v>
      </c>
      <c r="D3" s="1177" t="s">
        <v>511</v>
      </c>
      <c r="E3" s="1177" t="s">
        <v>512</v>
      </c>
      <c r="F3" s="1176" t="s">
        <v>229</v>
      </c>
      <c r="G3" s="1177" t="s">
        <v>513</v>
      </c>
      <c r="H3" s="1168" t="s">
        <v>241</v>
      </c>
      <c r="I3" s="1168"/>
      <c r="J3" s="1168"/>
      <c r="K3" s="1168"/>
      <c r="L3" s="1168"/>
      <c r="M3" s="1168"/>
      <c r="N3" s="1168" t="s">
        <v>80</v>
      </c>
      <c r="O3" s="1168"/>
      <c r="P3" s="1168"/>
      <c r="Q3" s="1168"/>
      <c r="R3" s="1168"/>
      <c r="S3" s="183"/>
    </row>
    <row r="4" spans="1:19" s="15" customFormat="1" ht="19.5" customHeight="1">
      <c r="A4" s="1175"/>
      <c r="B4" s="1176"/>
      <c r="C4" s="1176"/>
      <c r="D4" s="1177"/>
      <c r="E4" s="1177"/>
      <c r="F4" s="1176"/>
      <c r="G4" s="1177"/>
      <c r="H4" s="69" t="s">
        <v>124</v>
      </c>
      <c r="I4" s="69" t="s">
        <v>125</v>
      </c>
      <c r="J4" s="69" t="s">
        <v>126</v>
      </c>
      <c r="K4" s="69" t="s">
        <v>127</v>
      </c>
      <c r="L4" s="69" t="s">
        <v>128</v>
      </c>
      <c r="M4" s="69" t="s">
        <v>129</v>
      </c>
      <c r="N4" s="204" t="s">
        <v>124</v>
      </c>
      <c r="O4" s="204" t="s">
        <v>125</v>
      </c>
      <c r="P4" s="204" t="s">
        <v>126</v>
      </c>
      <c r="Q4" s="204" t="s">
        <v>127</v>
      </c>
      <c r="R4" s="204" t="s">
        <v>128</v>
      </c>
      <c r="S4" s="184" t="s">
        <v>129</v>
      </c>
    </row>
    <row r="5" spans="1:19" s="15" customFormat="1" ht="18" customHeight="1">
      <c r="A5" s="198" t="s">
        <v>27</v>
      </c>
      <c r="B5" s="199" t="s">
        <v>122</v>
      </c>
      <c r="C5" s="200"/>
      <c r="D5" s="200"/>
      <c r="E5" s="201">
        <v>7</v>
      </c>
      <c r="F5" s="202">
        <v>500</v>
      </c>
      <c r="G5" s="202">
        <f>E5*F5</f>
        <v>3500</v>
      </c>
      <c r="H5" s="203" t="s">
        <v>239</v>
      </c>
      <c r="I5" s="203"/>
      <c r="J5" s="203"/>
      <c r="K5" s="203"/>
      <c r="L5" s="203"/>
      <c r="M5" s="203"/>
      <c r="N5" s="203"/>
      <c r="O5" s="203"/>
      <c r="P5" s="203"/>
      <c r="Q5" s="203"/>
      <c r="R5" s="203"/>
      <c r="S5" s="186"/>
    </row>
    <row r="6" spans="1:19" s="15" customFormat="1" ht="18" customHeight="1">
      <c r="A6" s="29" t="s">
        <v>28</v>
      </c>
      <c r="B6" s="30" t="s">
        <v>122</v>
      </c>
      <c r="C6" s="41"/>
      <c r="D6" s="41"/>
      <c r="E6" s="82">
        <v>8</v>
      </c>
      <c r="F6" s="42">
        <v>500</v>
      </c>
      <c r="G6" s="43">
        <f>E6*F6</f>
        <v>4000</v>
      </c>
      <c r="H6" s="185" t="s">
        <v>240</v>
      </c>
      <c r="I6" s="185"/>
      <c r="J6" s="185"/>
      <c r="K6" s="185"/>
      <c r="L6" s="185"/>
      <c r="M6" s="185"/>
      <c r="N6" s="185"/>
      <c r="O6" s="185"/>
      <c r="P6" s="185"/>
      <c r="Q6" s="185"/>
      <c r="R6" s="185"/>
      <c r="S6" s="186"/>
    </row>
    <row r="7" spans="1:19" s="15" customFormat="1" ht="18" customHeight="1">
      <c r="A7" s="29" t="s">
        <v>29</v>
      </c>
      <c r="B7" s="30" t="s">
        <v>122</v>
      </c>
      <c r="C7" s="41"/>
      <c r="D7" s="41"/>
      <c r="E7" s="82">
        <v>8</v>
      </c>
      <c r="F7" s="42">
        <v>250</v>
      </c>
      <c r="G7" s="43">
        <f>E7*F7</f>
        <v>2000</v>
      </c>
      <c r="H7" s="185" t="s">
        <v>676</v>
      </c>
      <c r="I7" s="185"/>
      <c r="J7" s="185"/>
      <c r="K7" s="185"/>
      <c r="L7" s="185"/>
      <c r="M7" s="185"/>
      <c r="N7" s="185"/>
      <c r="O7" s="185"/>
      <c r="P7" s="185"/>
      <c r="Q7" s="185"/>
      <c r="R7" s="185"/>
      <c r="S7" s="186"/>
    </row>
    <row r="8" spans="1:19" s="15" customFormat="1" ht="18" customHeight="1">
      <c r="A8" s="29" t="s">
        <v>30</v>
      </c>
      <c r="B8" s="30" t="s">
        <v>122</v>
      </c>
      <c r="C8" s="41"/>
      <c r="D8" s="41"/>
      <c r="E8" s="82">
        <v>15</v>
      </c>
      <c r="F8" s="42">
        <v>250</v>
      </c>
      <c r="G8" s="43">
        <f>E8*F8</f>
        <v>3750</v>
      </c>
      <c r="H8" s="185" t="s">
        <v>677</v>
      </c>
      <c r="I8" s="185"/>
      <c r="J8" s="185"/>
      <c r="K8" s="185"/>
      <c r="L8" s="185"/>
      <c r="M8" s="185"/>
      <c r="N8" s="185"/>
      <c r="O8" s="185"/>
      <c r="P8" s="185"/>
      <c r="Q8" s="185"/>
      <c r="R8" s="185"/>
      <c r="S8" s="186"/>
    </row>
    <row r="9" spans="1:19" s="50" customFormat="1" ht="20.25" customHeight="1">
      <c r="A9" s="187" t="str">
        <f>L_CViec!A7</f>
        <v>I</v>
      </c>
      <c r="B9" s="188" t="str">
        <f>L_CViec!B7</f>
        <v>LƯỚI ĐỊA CHÍNH:</v>
      </c>
      <c r="C9" s="84"/>
      <c r="D9" s="189"/>
      <c r="E9" s="84"/>
      <c r="F9" s="190"/>
      <c r="G9" s="190"/>
      <c r="H9" s="248"/>
      <c r="I9" s="248"/>
      <c r="J9" s="248"/>
      <c r="K9" s="248"/>
      <c r="L9" s="248"/>
      <c r="M9" s="248"/>
      <c r="N9" s="191"/>
      <c r="O9" s="191"/>
      <c r="P9" s="191"/>
      <c r="Q9" s="191"/>
      <c r="R9" s="191"/>
      <c r="S9" s="192"/>
    </row>
    <row r="10" spans="1:19" s="15" customFormat="1">
      <c r="A10" s="8">
        <v>2</v>
      </c>
      <c r="B10" s="9" t="s">
        <v>123</v>
      </c>
      <c r="C10" s="25"/>
      <c r="D10" s="56"/>
      <c r="E10" s="25"/>
      <c r="F10" s="28"/>
      <c r="G10" s="28"/>
      <c r="H10" s="249"/>
      <c r="I10" s="249"/>
      <c r="J10" s="249"/>
      <c r="K10" s="249"/>
      <c r="L10" s="249"/>
      <c r="M10" s="249"/>
      <c r="N10" s="76"/>
      <c r="O10" s="76"/>
      <c r="P10" s="76"/>
      <c r="Q10" s="76"/>
      <c r="R10" s="76"/>
      <c r="S10" s="77"/>
    </row>
    <row r="11" spans="1:19" s="20" customFormat="1" ht="13.5">
      <c r="A11" s="11">
        <v>1.1000000000000001</v>
      </c>
      <c r="B11" s="10" t="str">
        <f>L_CViec!B8</f>
        <v xml:space="preserve">Chọn vị trí điểm, chôn mốc </v>
      </c>
      <c r="C11" s="52"/>
      <c r="D11" s="57"/>
      <c r="E11" s="52"/>
      <c r="F11" s="53"/>
      <c r="G11" s="53"/>
      <c r="H11" s="250"/>
      <c r="I11" s="250"/>
      <c r="J11" s="250"/>
      <c r="K11" s="250"/>
      <c r="L11" s="250"/>
      <c r="M11" s="250"/>
      <c r="N11" s="76">
        <f>SUM(N12)</f>
        <v>32945.471999999994</v>
      </c>
      <c r="O11" s="76">
        <f>SUM(O12)</f>
        <v>42096.991999999998</v>
      </c>
      <c r="P11" s="76">
        <f>SUM(P12)</f>
        <v>49418.207999999999</v>
      </c>
      <c r="Q11" s="76">
        <f>SUM(Q12)</f>
        <v>62230.336000000003</v>
      </c>
      <c r="R11" s="76">
        <f>SUM(R12)</f>
        <v>65890.943999999989</v>
      </c>
      <c r="S11" s="74"/>
    </row>
    <row r="12" spans="1:19" s="13" customFormat="1">
      <c r="A12" s="7"/>
      <c r="B12" s="179" t="s">
        <v>592</v>
      </c>
      <c r="C12" s="18" t="s">
        <v>91</v>
      </c>
      <c r="D12" s="58"/>
      <c r="E12" s="18">
        <v>1</v>
      </c>
      <c r="F12" s="44">
        <f>VLOOKUP(B12,GiaVL!$B$4:'GiaVL'!$D$189,3,0)</f>
        <v>686364000</v>
      </c>
      <c r="G12" s="44">
        <f>F12/G$8</f>
        <v>183030.39999999999</v>
      </c>
      <c r="H12" s="251">
        <v>0.18</v>
      </c>
      <c r="I12" s="251">
        <v>0.23</v>
      </c>
      <c r="J12" s="251">
        <v>0.27</v>
      </c>
      <c r="K12" s="251">
        <v>0.34</v>
      </c>
      <c r="L12" s="251">
        <v>0.36</v>
      </c>
      <c r="M12" s="251"/>
      <c r="N12" s="62">
        <f>$E12*$G12*H12</f>
        <v>32945.471999999994</v>
      </c>
      <c r="O12" s="62">
        <f>$E12*$G12*I12</f>
        <v>42096.991999999998</v>
      </c>
      <c r="P12" s="62">
        <f>$E12*$G12*J12</f>
        <v>49418.207999999999</v>
      </c>
      <c r="Q12" s="62">
        <f>$E12*$G12*K12</f>
        <v>62230.336000000003</v>
      </c>
      <c r="R12" s="62">
        <f>$E12*$G12*L12</f>
        <v>65890.943999999989</v>
      </c>
      <c r="S12" s="75"/>
    </row>
    <row r="13" spans="1:19" s="20" customFormat="1" ht="13.5">
      <c r="A13" s="11">
        <v>1.2</v>
      </c>
      <c r="B13" s="10" t="str">
        <f>L_CViec!B9</f>
        <v>Xây tường vây</v>
      </c>
      <c r="C13" s="52"/>
      <c r="D13" s="57"/>
      <c r="E13" s="52"/>
      <c r="F13" s="48"/>
      <c r="G13" s="48"/>
      <c r="H13" s="250" t="s">
        <v>199</v>
      </c>
      <c r="I13" s="250" t="s">
        <v>199</v>
      </c>
      <c r="J13" s="250" t="s">
        <v>199</v>
      </c>
      <c r="K13" s="250" t="s">
        <v>199</v>
      </c>
      <c r="L13" s="250" t="s">
        <v>199</v>
      </c>
      <c r="M13" s="250"/>
      <c r="N13" s="76">
        <f>SUM(N14)</f>
        <v>32945.471999999994</v>
      </c>
      <c r="O13" s="76">
        <f>SUM(O14)</f>
        <v>32945.471999999994</v>
      </c>
      <c r="P13" s="76">
        <f>SUM(P14)</f>
        <v>40266.688000000002</v>
      </c>
      <c r="Q13" s="76">
        <f>SUM(Q14)</f>
        <v>47587.904000000002</v>
      </c>
      <c r="R13" s="76">
        <f>SUM(R14)</f>
        <v>53078.815999999992</v>
      </c>
      <c r="S13" s="74"/>
    </row>
    <row r="14" spans="1:19" s="13" customFormat="1">
      <c r="A14" s="7"/>
      <c r="B14" s="179" t="s">
        <v>592</v>
      </c>
      <c r="C14" s="18" t="s">
        <v>91</v>
      </c>
      <c r="D14" s="58"/>
      <c r="E14" s="18">
        <v>1</v>
      </c>
      <c r="F14" s="44">
        <f>VLOOKUP(B14,GiaVL!$B$4:'GiaVL'!$D$189,3,0)</f>
        <v>686364000</v>
      </c>
      <c r="G14" s="44">
        <f>F14/G$8</f>
        <v>183030.39999999999</v>
      </c>
      <c r="H14" s="251">
        <v>0.18</v>
      </c>
      <c r="I14" s="251">
        <v>0.18</v>
      </c>
      <c r="J14" s="251">
        <v>0.22</v>
      </c>
      <c r="K14" s="251">
        <v>0.26</v>
      </c>
      <c r="L14" s="251">
        <v>0.28999999999999998</v>
      </c>
      <c r="M14" s="251"/>
      <c r="N14" s="62">
        <f>$E14*$G14*H14</f>
        <v>32945.471999999994</v>
      </c>
      <c r="O14" s="62">
        <f>$E14*$G14*I14</f>
        <v>32945.471999999994</v>
      </c>
      <c r="P14" s="62">
        <f>$E14*$G14*J14</f>
        <v>40266.688000000002</v>
      </c>
      <c r="Q14" s="62">
        <f>$E14*$G14*K14</f>
        <v>47587.904000000002</v>
      </c>
      <c r="R14" s="62">
        <f>$E14*$G14*L14</f>
        <v>53078.815999999992</v>
      </c>
      <c r="S14" s="75"/>
    </row>
    <row r="15" spans="1:19" s="26" customFormat="1" ht="13.5">
      <c r="A15" s="11">
        <v>1.3</v>
      </c>
      <c r="B15" s="10" t="str">
        <f>L_CViec!B10</f>
        <v>Tiếp điểm</v>
      </c>
      <c r="C15" s="52"/>
      <c r="D15" s="57"/>
      <c r="E15" s="52"/>
      <c r="F15" s="48"/>
      <c r="G15" s="48"/>
      <c r="H15" s="250" t="s">
        <v>199</v>
      </c>
      <c r="I15" s="250" t="s">
        <v>199</v>
      </c>
      <c r="J15" s="250" t="s">
        <v>199</v>
      </c>
      <c r="K15" s="250" t="s">
        <v>199</v>
      </c>
      <c r="L15" s="250" t="s">
        <v>199</v>
      </c>
      <c r="M15" s="250"/>
      <c r="N15" s="76">
        <f>SUM(N16)</f>
        <v>32945.471999999994</v>
      </c>
      <c r="O15" s="76">
        <f>SUM(O16)</f>
        <v>42096.991999999998</v>
      </c>
      <c r="P15" s="76">
        <f>SUM(P16)</f>
        <v>49418.207999999999</v>
      </c>
      <c r="Q15" s="76">
        <f>SUM(Q16)</f>
        <v>62230.336000000003</v>
      </c>
      <c r="R15" s="76">
        <f>SUM(R16)</f>
        <v>65890.943999999989</v>
      </c>
      <c r="S15" s="74"/>
    </row>
    <row r="16" spans="1:19">
      <c r="A16" s="7"/>
      <c r="B16" s="179" t="s">
        <v>592</v>
      </c>
      <c r="C16" s="18" t="s">
        <v>91</v>
      </c>
      <c r="D16" s="58"/>
      <c r="E16" s="18">
        <v>1</v>
      </c>
      <c r="F16" s="44">
        <f>VLOOKUP(B16,GiaVL!$B$4:'GiaVL'!$D$189,3,0)</f>
        <v>686364000</v>
      </c>
      <c r="G16" s="44">
        <f>F16/G$8</f>
        <v>183030.39999999999</v>
      </c>
      <c r="H16" s="251">
        <v>0.18</v>
      </c>
      <c r="I16" s="251">
        <v>0.23</v>
      </c>
      <c r="J16" s="251">
        <v>0.27</v>
      </c>
      <c r="K16" s="251">
        <v>0.34</v>
      </c>
      <c r="L16" s="251">
        <v>0.36</v>
      </c>
      <c r="M16" s="251"/>
      <c r="N16" s="62">
        <f>$E16*$G16*H16</f>
        <v>32945.471999999994</v>
      </c>
      <c r="O16" s="62">
        <f>$E16*$G16*I16</f>
        <v>42096.991999999998</v>
      </c>
      <c r="P16" s="62">
        <f>$E16*$G16*J16</f>
        <v>49418.207999999999</v>
      </c>
      <c r="Q16" s="62">
        <f>$E16*$G16*K16</f>
        <v>62230.336000000003</v>
      </c>
      <c r="R16" s="62">
        <f>$E16*$G16*L16</f>
        <v>65890.943999999989</v>
      </c>
      <c r="S16" s="75"/>
    </row>
    <row r="17" spans="1:19" s="26" customFormat="1" ht="13.5">
      <c r="A17" s="11">
        <v>1.4</v>
      </c>
      <c r="B17" s="10" t="str">
        <f>L_CViec!B11</f>
        <v>Đo ngắm</v>
      </c>
      <c r="C17" s="52"/>
      <c r="D17" s="57"/>
      <c r="E17" s="52"/>
      <c r="F17" s="48"/>
      <c r="G17" s="48"/>
      <c r="H17" s="250" t="s">
        <v>199</v>
      </c>
      <c r="I17" s="250" t="s">
        <v>199</v>
      </c>
      <c r="J17" s="250" t="s">
        <v>199</v>
      </c>
      <c r="K17" s="250" t="s">
        <v>199</v>
      </c>
      <c r="L17" s="250" t="s">
        <v>199</v>
      </c>
      <c r="M17" s="250"/>
      <c r="N17" s="76">
        <f>SUM(N18:N20)</f>
        <v>16379</v>
      </c>
      <c r="O17" s="76">
        <f>SUM(O18:O20)</f>
        <v>24777</v>
      </c>
      <c r="P17" s="76">
        <f>SUM(P18:P20)</f>
        <v>29717</v>
      </c>
      <c r="Q17" s="76">
        <f>SUM(Q18:Q20)</f>
        <v>40585</v>
      </c>
      <c r="R17" s="76">
        <f>SUM(R18:R20)</f>
        <v>53923</v>
      </c>
      <c r="S17" s="74"/>
    </row>
    <row r="18" spans="1:19">
      <c r="A18" s="7"/>
      <c r="B18" s="65" t="s">
        <v>603</v>
      </c>
      <c r="C18" s="18" t="s">
        <v>94</v>
      </c>
      <c r="D18" s="58"/>
      <c r="E18" s="18">
        <v>1</v>
      </c>
      <c r="F18" s="63">
        <f>VLOOKUP(B18,GiaVL!$B$4:'GiaVL'!$D$189,3,0)</f>
        <v>85000000</v>
      </c>
      <c r="G18" s="63">
        <f>F18/G$7</f>
        <v>42500</v>
      </c>
      <c r="H18" s="251">
        <v>0.33</v>
      </c>
      <c r="I18" s="251">
        <v>0.5</v>
      </c>
      <c r="J18" s="251">
        <v>0.6</v>
      </c>
      <c r="K18" s="251">
        <v>0.82</v>
      </c>
      <c r="L18" s="251">
        <v>1.0900000000000001</v>
      </c>
      <c r="M18" s="251"/>
      <c r="N18" s="78">
        <f t="shared" ref="N18:R20" si="0">$E18*$G18*H18</f>
        <v>14025</v>
      </c>
      <c r="O18" s="78">
        <f t="shared" si="0"/>
        <v>21250</v>
      </c>
      <c r="P18" s="78">
        <f t="shared" si="0"/>
        <v>25500</v>
      </c>
      <c r="Q18" s="78">
        <f t="shared" si="0"/>
        <v>34850</v>
      </c>
      <c r="R18" s="78">
        <f t="shared" si="0"/>
        <v>46325</v>
      </c>
      <c r="S18" s="79"/>
    </row>
    <row r="19" spans="1:19">
      <c r="A19" s="7"/>
      <c r="B19" s="6" t="s">
        <v>130</v>
      </c>
      <c r="C19" s="18" t="s">
        <v>91</v>
      </c>
      <c r="D19" s="58"/>
      <c r="E19" s="18">
        <v>1</v>
      </c>
      <c r="F19" s="44">
        <f>GiaVL!D110</f>
        <v>13800000</v>
      </c>
      <c r="G19" s="44">
        <f>F19/G$7</f>
        <v>6900</v>
      </c>
      <c r="H19" s="251">
        <v>0.33</v>
      </c>
      <c r="I19" s="251">
        <v>0.5</v>
      </c>
      <c r="J19" s="251">
        <v>0.6</v>
      </c>
      <c r="K19" s="251">
        <v>0.82</v>
      </c>
      <c r="L19" s="251">
        <v>1.0900000000000001</v>
      </c>
      <c r="M19" s="251"/>
      <c r="N19" s="62">
        <f t="shared" ref="N19" si="1">$E19*$G19*H19</f>
        <v>2277</v>
      </c>
      <c r="O19" s="62">
        <f t="shared" ref="O19" si="2">$E19*$G19*I19</f>
        <v>3450</v>
      </c>
      <c r="P19" s="62">
        <f t="shared" ref="P19" si="3">$E19*$G19*J19</f>
        <v>4140</v>
      </c>
      <c r="Q19" s="62">
        <f t="shared" ref="Q19" si="4">$E19*$G19*K19</f>
        <v>5658</v>
      </c>
      <c r="R19" s="62">
        <f t="shared" ref="R19" si="5">$E19*$G19*L19</f>
        <v>7521.0000000000009</v>
      </c>
      <c r="S19" s="75"/>
    </row>
    <row r="20" spans="1:19">
      <c r="A20" s="7"/>
      <c r="B20" s="6" t="s">
        <v>591</v>
      </c>
      <c r="C20" s="18" t="s">
        <v>91</v>
      </c>
      <c r="D20" s="58"/>
      <c r="E20" s="18">
        <v>2</v>
      </c>
      <c r="F20" s="44">
        <f>VLOOKUP(B20,GiaVL!$B$4:'GiaVL'!$D$189,3,0)</f>
        <v>1100000</v>
      </c>
      <c r="G20" s="44">
        <f>F20/G$7</f>
        <v>550</v>
      </c>
      <c r="H20" s="251">
        <v>7.0000000000000007E-2</v>
      </c>
      <c r="I20" s="251">
        <v>7.0000000000000007E-2</v>
      </c>
      <c r="J20" s="251">
        <v>7.0000000000000007E-2</v>
      </c>
      <c r="K20" s="251">
        <v>7.0000000000000007E-2</v>
      </c>
      <c r="L20" s="251">
        <v>7.0000000000000007E-2</v>
      </c>
      <c r="M20" s="251"/>
      <c r="N20" s="62">
        <f t="shared" si="0"/>
        <v>77.000000000000014</v>
      </c>
      <c r="O20" s="62">
        <f t="shared" si="0"/>
        <v>77.000000000000014</v>
      </c>
      <c r="P20" s="62">
        <f t="shared" si="0"/>
        <v>77.000000000000014</v>
      </c>
      <c r="Q20" s="62">
        <f t="shared" si="0"/>
        <v>77.000000000000014</v>
      </c>
      <c r="R20" s="62">
        <f t="shared" si="0"/>
        <v>77.000000000000014</v>
      </c>
      <c r="S20" s="75"/>
    </row>
    <row r="21" spans="1:19" s="26" customFormat="1" ht="13.5">
      <c r="A21" s="11" t="s">
        <v>132</v>
      </c>
      <c r="B21" s="10" t="str">
        <f>L_CViec!B12</f>
        <v>Tính toán, bình sai</v>
      </c>
      <c r="C21" s="52"/>
      <c r="D21" s="57"/>
      <c r="E21" s="52"/>
      <c r="F21" s="48"/>
      <c r="G21" s="48"/>
      <c r="H21" s="250" t="s">
        <v>199</v>
      </c>
      <c r="I21" s="250" t="s">
        <v>199</v>
      </c>
      <c r="J21" s="250" t="s">
        <v>199</v>
      </c>
      <c r="K21" s="250" t="s">
        <v>199</v>
      </c>
      <c r="L21" s="250" t="s">
        <v>199</v>
      </c>
      <c r="M21" s="250"/>
      <c r="N21" s="76">
        <f>SUM(N22:N22)</f>
        <v>1529</v>
      </c>
      <c r="O21" s="76">
        <f>SUM(O22:O22)</f>
        <v>1529</v>
      </c>
      <c r="P21" s="76">
        <f>SUM(P22:P22)</f>
        <v>1529</v>
      </c>
      <c r="Q21" s="76">
        <f>SUM(Q22:Q22)</f>
        <v>1529</v>
      </c>
      <c r="R21" s="76">
        <f>SUM(R22:R22)</f>
        <v>1529</v>
      </c>
      <c r="S21" s="74"/>
    </row>
    <row r="22" spans="1:19">
      <c r="A22" s="7"/>
      <c r="B22" s="6" t="s">
        <v>131</v>
      </c>
      <c r="C22" s="18" t="s">
        <v>91</v>
      </c>
      <c r="D22" s="58"/>
      <c r="E22" s="18">
        <v>1</v>
      </c>
      <c r="F22" s="44">
        <f>VLOOKUP(B22,GiaVL!$B$4:'GiaVL'!$D$189,3,0)</f>
        <v>13900000</v>
      </c>
      <c r="G22" s="44">
        <f>F22/G$7</f>
        <v>6950</v>
      </c>
      <c r="H22" s="251">
        <v>0.22</v>
      </c>
      <c r="I22" s="251">
        <v>0.22</v>
      </c>
      <c r="J22" s="251">
        <v>0.22</v>
      </c>
      <c r="K22" s="251">
        <v>0.22</v>
      </c>
      <c r="L22" s="251">
        <v>0.22</v>
      </c>
      <c r="M22" s="251"/>
      <c r="N22" s="62">
        <f>$E22*$G22*H22</f>
        <v>1529</v>
      </c>
      <c r="O22" s="62">
        <f>$E22*$G22*I22</f>
        <v>1529</v>
      </c>
      <c r="P22" s="62">
        <f>$E22*$G22*J22</f>
        <v>1529</v>
      </c>
      <c r="Q22" s="62">
        <f>$E22*$G22*K22</f>
        <v>1529</v>
      </c>
      <c r="R22" s="62">
        <f>$E22*$G22*L22</f>
        <v>1529</v>
      </c>
      <c r="S22" s="75"/>
    </row>
    <row r="23" spans="1:19" s="13" customFormat="1">
      <c r="A23" s="7"/>
      <c r="B23" s="9" t="s">
        <v>219</v>
      </c>
      <c r="C23" s="18"/>
      <c r="D23" s="58"/>
      <c r="E23" s="18"/>
      <c r="F23" s="44"/>
      <c r="G23" s="44"/>
      <c r="H23" s="251"/>
      <c r="I23" s="251"/>
      <c r="J23" s="251"/>
      <c r="K23" s="251"/>
      <c r="L23" s="251"/>
      <c r="M23" s="251"/>
      <c r="N23" s="62"/>
      <c r="O23" s="62"/>
      <c r="P23" s="62"/>
      <c r="Q23" s="62"/>
      <c r="R23" s="62"/>
      <c r="S23" s="75"/>
    </row>
    <row r="24" spans="1:19" s="13" customFormat="1" ht="27" customHeight="1">
      <c r="A24" s="7"/>
      <c r="B24" s="1170" t="s">
        <v>394</v>
      </c>
      <c r="C24" s="1170"/>
      <c r="D24" s="1170"/>
      <c r="E24" s="1170"/>
      <c r="F24" s="1170"/>
      <c r="G24" s="1170"/>
      <c r="H24" s="1170"/>
      <c r="I24" s="1170"/>
      <c r="J24" s="1170"/>
      <c r="K24" s="1170"/>
      <c r="L24" s="1170"/>
      <c r="M24" s="1170"/>
      <c r="N24" s="1170"/>
      <c r="O24" s="1170"/>
      <c r="P24" s="1170"/>
      <c r="Q24" s="1170"/>
      <c r="R24" s="1170"/>
      <c r="S24" s="1171"/>
    </row>
    <row r="25" spans="1:19" ht="16.5" customHeight="1">
      <c r="A25" s="71"/>
      <c r="B25" s="6"/>
      <c r="C25" s="18"/>
      <c r="D25" s="27"/>
      <c r="E25" s="6"/>
      <c r="F25" s="44"/>
      <c r="G25" s="44"/>
      <c r="H25" s="251"/>
      <c r="I25" s="251"/>
      <c r="J25" s="251"/>
      <c r="K25" s="251"/>
      <c r="L25" s="251"/>
      <c r="M25" s="251"/>
      <c r="N25" s="62"/>
      <c r="O25" s="62"/>
      <c r="P25" s="62"/>
      <c r="Q25" s="62"/>
      <c r="R25" s="62"/>
      <c r="S25" s="75"/>
    </row>
    <row r="26" spans="1:19" s="50" customFormat="1" ht="16.5" customHeight="1">
      <c r="A26" s="193" t="str">
        <f>L_CViec!A14</f>
        <v>II</v>
      </c>
      <c r="B26" s="188" t="str">
        <f>L_CViec!B14</f>
        <v>ĐO ĐẠC THÀNH LẬP BẢN ĐỒ ĐỊA CHÍNH</v>
      </c>
      <c r="C26" s="84"/>
      <c r="D26" s="189"/>
      <c r="E26" s="84"/>
      <c r="F26" s="190"/>
      <c r="G26" s="190"/>
      <c r="H26" s="248"/>
      <c r="I26" s="248"/>
      <c r="J26" s="248"/>
      <c r="K26" s="248"/>
      <c r="L26" s="248"/>
      <c r="M26" s="248"/>
      <c r="N26" s="194"/>
      <c r="O26" s="194"/>
      <c r="P26" s="194"/>
      <c r="Q26" s="194"/>
      <c r="R26" s="194"/>
      <c r="S26" s="195"/>
    </row>
    <row r="27" spans="1:19" s="15" customFormat="1">
      <c r="A27" s="8" t="s">
        <v>220</v>
      </c>
      <c r="B27" s="9" t="s">
        <v>63</v>
      </c>
      <c r="C27" s="25"/>
      <c r="D27" s="56"/>
      <c r="E27" s="25"/>
      <c r="F27" s="28"/>
      <c r="G27" s="28"/>
      <c r="H27" s="249"/>
      <c r="I27" s="249"/>
      <c r="J27" s="249"/>
      <c r="K27" s="249"/>
      <c r="L27" s="249"/>
      <c r="M27" s="249"/>
      <c r="N27" s="76"/>
      <c r="O27" s="76"/>
      <c r="P27" s="76"/>
      <c r="Q27" s="76"/>
      <c r="R27" s="76"/>
      <c r="S27" s="77"/>
    </row>
    <row r="28" spans="1:19" s="15" customFormat="1">
      <c r="A28" s="8">
        <v>2</v>
      </c>
      <c r="B28" s="9" t="s">
        <v>123</v>
      </c>
      <c r="C28" s="25"/>
      <c r="D28" s="56"/>
      <c r="E28" s="25"/>
      <c r="F28" s="28"/>
      <c r="G28" s="28"/>
      <c r="H28" s="249"/>
      <c r="I28" s="249"/>
      <c r="J28" s="249"/>
      <c r="K28" s="249"/>
      <c r="L28" s="249"/>
      <c r="M28" s="249"/>
      <c r="N28" s="76"/>
      <c r="O28" s="76"/>
      <c r="P28" s="76"/>
      <c r="Q28" s="76"/>
      <c r="R28" s="76"/>
      <c r="S28" s="77"/>
    </row>
    <row r="29" spans="1:19" s="15" customFormat="1">
      <c r="A29" s="8">
        <v>2.1</v>
      </c>
      <c r="B29" s="54" t="str">
        <f>L_CViec!B17</f>
        <v>Lập lưới khống chế đo vẽ</v>
      </c>
      <c r="C29" s="25"/>
      <c r="D29" s="56"/>
      <c r="E29" s="25"/>
      <c r="F29" s="45"/>
      <c r="G29" s="45"/>
      <c r="H29" s="249"/>
      <c r="I29" s="249"/>
      <c r="J29" s="249"/>
      <c r="K29" s="249"/>
      <c r="L29" s="249"/>
      <c r="M29" s="249"/>
      <c r="N29" s="76"/>
      <c r="O29" s="76"/>
      <c r="P29" s="76"/>
      <c r="Q29" s="76"/>
      <c r="R29" s="76"/>
      <c r="S29" s="77"/>
    </row>
    <row r="30" spans="1:19" s="15" customFormat="1">
      <c r="A30" s="31" t="s">
        <v>27</v>
      </c>
      <c r="B30" s="9" t="s">
        <v>230</v>
      </c>
      <c r="C30" s="25"/>
      <c r="D30" s="56"/>
      <c r="E30" s="25"/>
      <c r="F30" s="45"/>
      <c r="G30" s="45"/>
      <c r="H30" s="249"/>
      <c r="I30" s="249"/>
      <c r="J30" s="249"/>
      <c r="K30" s="249"/>
      <c r="L30" s="249"/>
      <c r="M30" s="249"/>
      <c r="N30" s="76">
        <f>SUM(N31:N33)</f>
        <v>59028.571428571428</v>
      </c>
      <c r="O30" s="76">
        <f>SUM(O31:O33)</f>
        <v>68036.57142857142</v>
      </c>
      <c r="P30" s="76">
        <f>SUM(P31:P33)</f>
        <v>75355.571428571435</v>
      </c>
      <c r="Q30" s="76">
        <f>SUM(Q31:Q33)</f>
        <v>83800.571428571435</v>
      </c>
      <c r="R30" s="76">
        <f t="shared" ref="R30:S30" si="6">SUM(R31:R33)</f>
        <v>0</v>
      </c>
      <c r="S30" s="77">
        <f t="shared" si="6"/>
        <v>0</v>
      </c>
    </row>
    <row r="31" spans="1:19" s="15" customFormat="1">
      <c r="A31" s="7"/>
      <c r="B31" s="6" t="s">
        <v>238</v>
      </c>
      <c r="C31" s="18" t="s">
        <v>60</v>
      </c>
      <c r="D31" s="58"/>
      <c r="E31" s="18">
        <v>1</v>
      </c>
      <c r="F31" s="44">
        <f>VLOOKUP(B31,GiaVL!$B$4:'GiaVL'!$D$189,3,0)</f>
        <v>98800000</v>
      </c>
      <c r="G31" s="44">
        <f>F31/G$7</f>
        <v>49400</v>
      </c>
      <c r="H31" s="251">
        <v>1.04</v>
      </c>
      <c r="I31" s="252">
        <v>1.2</v>
      </c>
      <c r="J31" s="251">
        <v>1.33</v>
      </c>
      <c r="K31" s="251">
        <v>1.48</v>
      </c>
      <c r="L31" s="251"/>
      <c r="M31" s="251"/>
      <c r="N31" s="62">
        <f t="shared" ref="N31:S33" si="7">$E31*$G31*H31</f>
        <v>51376</v>
      </c>
      <c r="O31" s="62">
        <f t="shared" si="7"/>
        <v>59280</v>
      </c>
      <c r="P31" s="62">
        <f t="shared" si="7"/>
        <v>65702</v>
      </c>
      <c r="Q31" s="62">
        <f t="shared" si="7"/>
        <v>73112</v>
      </c>
      <c r="R31" s="62">
        <f t="shared" si="7"/>
        <v>0</v>
      </c>
      <c r="S31" s="75">
        <f t="shared" si="7"/>
        <v>0</v>
      </c>
    </row>
    <row r="32" spans="1:19">
      <c r="A32" s="7"/>
      <c r="B32" s="6" t="s">
        <v>131</v>
      </c>
      <c r="C32" s="18" t="s">
        <v>59</v>
      </c>
      <c r="D32" s="58">
        <v>0.35</v>
      </c>
      <c r="E32" s="18">
        <v>1</v>
      </c>
      <c r="F32" s="44">
        <f>VLOOKUP(B32,GiaVL!$B$4:'GiaVL'!$D$189,3,0)</f>
        <v>13900000</v>
      </c>
      <c r="G32" s="44">
        <f>F32/G$5</f>
        <v>3971.4285714285716</v>
      </c>
      <c r="H32" s="251">
        <v>0.12</v>
      </c>
      <c r="I32" s="252">
        <v>0.12</v>
      </c>
      <c r="J32" s="251">
        <v>0.12</v>
      </c>
      <c r="K32" s="251">
        <v>0.12</v>
      </c>
      <c r="L32" s="251"/>
      <c r="M32" s="251"/>
      <c r="N32" s="62">
        <f t="shared" si="7"/>
        <v>476.57142857142856</v>
      </c>
      <c r="O32" s="62">
        <f t="shared" si="7"/>
        <v>476.57142857142856</v>
      </c>
      <c r="P32" s="62">
        <f t="shared" si="7"/>
        <v>476.57142857142856</v>
      </c>
      <c r="Q32" s="62">
        <f t="shared" si="7"/>
        <v>476.57142857142856</v>
      </c>
      <c r="R32" s="62">
        <f t="shared" si="7"/>
        <v>0</v>
      </c>
      <c r="S32" s="75">
        <f t="shared" si="7"/>
        <v>0</v>
      </c>
    </row>
    <row r="33" spans="1:19">
      <c r="A33" s="7"/>
      <c r="B33" s="6" t="s">
        <v>130</v>
      </c>
      <c r="C33" s="18" t="s">
        <v>59</v>
      </c>
      <c r="D33" s="58"/>
      <c r="E33" s="18">
        <v>1</v>
      </c>
      <c r="F33" s="44">
        <f>F19</f>
        <v>13800000</v>
      </c>
      <c r="G33" s="44">
        <f>F33/G$7</f>
        <v>6900</v>
      </c>
      <c r="H33" s="251">
        <v>1.04</v>
      </c>
      <c r="I33" s="252">
        <v>1.2</v>
      </c>
      <c r="J33" s="251">
        <v>1.33</v>
      </c>
      <c r="K33" s="251">
        <v>1.48</v>
      </c>
      <c r="L33" s="251"/>
      <c r="M33" s="251"/>
      <c r="N33" s="62">
        <f t="shared" si="7"/>
        <v>7176</v>
      </c>
      <c r="O33" s="62">
        <f t="shared" si="7"/>
        <v>8280</v>
      </c>
      <c r="P33" s="62">
        <f t="shared" si="7"/>
        <v>9177</v>
      </c>
      <c r="Q33" s="62">
        <f t="shared" si="7"/>
        <v>10212</v>
      </c>
      <c r="R33" s="62">
        <f t="shared" si="7"/>
        <v>0</v>
      </c>
      <c r="S33" s="75">
        <f t="shared" si="7"/>
        <v>0</v>
      </c>
    </row>
    <row r="34" spans="1:19" s="20" customFormat="1" ht="13.5">
      <c r="A34" s="46" t="s">
        <v>43</v>
      </c>
      <c r="B34" s="21" t="s">
        <v>612</v>
      </c>
      <c r="C34" s="22" t="s">
        <v>117</v>
      </c>
      <c r="D34" s="57">
        <v>1</v>
      </c>
      <c r="E34" s="47"/>
      <c r="F34" s="44">
        <f>VLOOKUP(B34,GiaVL!$B$4:'GiaVL'!$D$189,3,0)</f>
        <v>2226</v>
      </c>
      <c r="G34" s="48">
        <f>D34*F34</f>
        <v>2226</v>
      </c>
      <c r="H34" s="251">
        <v>0.32</v>
      </c>
      <c r="I34" s="252">
        <v>0.32</v>
      </c>
      <c r="J34" s="251">
        <v>0.32</v>
      </c>
      <c r="K34" s="251">
        <v>0.32</v>
      </c>
      <c r="L34" s="250"/>
      <c r="M34" s="250"/>
      <c r="N34" s="76">
        <f t="shared" ref="N34:S34" si="8">$G34*H34</f>
        <v>712.32</v>
      </c>
      <c r="O34" s="76">
        <f t="shared" si="8"/>
        <v>712.32</v>
      </c>
      <c r="P34" s="76">
        <f t="shared" si="8"/>
        <v>712.32</v>
      </c>
      <c r="Q34" s="76">
        <f t="shared" si="8"/>
        <v>712.32</v>
      </c>
      <c r="R34" s="76">
        <f t="shared" si="8"/>
        <v>0</v>
      </c>
      <c r="S34" s="74">
        <f t="shared" si="8"/>
        <v>0</v>
      </c>
    </row>
    <row r="35" spans="1:19" s="16" customFormat="1">
      <c r="A35" s="8" t="s">
        <v>28</v>
      </c>
      <c r="B35" s="9" t="s">
        <v>231</v>
      </c>
      <c r="C35" s="25"/>
      <c r="D35" s="56"/>
      <c r="E35" s="25"/>
      <c r="F35" s="45"/>
      <c r="G35" s="45"/>
      <c r="H35" s="249" t="s">
        <v>199</v>
      </c>
      <c r="I35" s="249" t="s">
        <v>199</v>
      </c>
      <c r="J35" s="249" t="s">
        <v>199</v>
      </c>
      <c r="K35" s="249" t="s">
        <v>199</v>
      </c>
      <c r="L35" s="249"/>
      <c r="M35" s="249"/>
      <c r="N35" s="76">
        <f>SUM(N36:N38)</f>
        <v>10534.845714285713</v>
      </c>
      <c r="O35" s="76">
        <f>SUM(O36:O38)</f>
        <v>13351.348571428573</v>
      </c>
      <c r="P35" s="76">
        <f t="shared" ref="P35:S35" si="9">SUM(P36:P38)</f>
        <v>17362.731428571427</v>
      </c>
      <c r="Q35" s="76">
        <f t="shared" si="9"/>
        <v>19752.491428571426</v>
      </c>
      <c r="R35" s="76">
        <f t="shared" si="9"/>
        <v>22056.902857142857</v>
      </c>
      <c r="S35" s="77">
        <f t="shared" si="9"/>
        <v>0</v>
      </c>
    </row>
    <row r="36" spans="1:19">
      <c r="A36" s="7"/>
      <c r="B36" s="6" t="s">
        <v>238</v>
      </c>
      <c r="C36" s="18" t="s">
        <v>60</v>
      </c>
      <c r="D36" s="58"/>
      <c r="E36" s="18">
        <v>1</v>
      </c>
      <c r="F36" s="44">
        <f>VLOOKUP(B36,GiaVL!$B$4:'GiaVL'!$D$189,3,0)</f>
        <v>98800000</v>
      </c>
      <c r="G36" s="44">
        <f>F36/G$7</f>
        <v>49400</v>
      </c>
      <c r="H36" s="251">
        <v>1.22</v>
      </c>
      <c r="I36" s="251">
        <v>1.55</v>
      </c>
      <c r="J36" s="251">
        <v>2.02</v>
      </c>
      <c r="K36" s="251">
        <v>2.2999999999999998</v>
      </c>
      <c r="L36" s="251">
        <v>2.57</v>
      </c>
      <c r="M36" s="251"/>
      <c r="N36" s="62">
        <f t="shared" ref="N36:R38" si="10">$E36*$G36*H36/6.25</f>
        <v>9642.8799999999992</v>
      </c>
      <c r="O36" s="62">
        <f t="shared" si="10"/>
        <v>12251.2</v>
      </c>
      <c r="P36" s="62">
        <f t="shared" si="10"/>
        <v>15966.08</v>
      </c>
      <c r="Q36" s="62">
        <f t="shared" si="10"/>
        <v>18179.199999999997</v>
      </c>
      <c r="R36" s="62">
        <f t="shared" si="10"/>
        <v>20313.28</v>
      </c>
      <c r="S36" s="75">
        <f>$E36*$G36*M36</f>
        <v>0</v>
      </c>
    </row>
    <row r="37" spans="1:19">
      <c r="A37" s="7"/>
      <c r="B37" s="6" t="s">
        <v>131</v>
      </c>
      <c r="C37" s="18" t="s">
        <v>59</v>
      </c>
      <c r="D37" s="58">
        <v>0.35</v>
      </c>
      <c r="E37" s="18">
        <v>1</v>
      </c>
      <c r="F37" s="44">
        <f>VLOOKUP(B37,GiaVL!$B$4:'GiaVL'!$D$189,3,0)</f>
        <v>13900000</v>
      </c>
      <c r="G37" s="44">
        <f>F37/G$7</f>
        <v>6950</v>
      </c>
      <c r="H37" s="251">
        <v>0.11</v>
      </c>
      <c r="I37" s="251">
        <v>0.11</v>
      </c>
      <c r="J37" s="251">
        <v>0.11</v>
      </c>
      <c r="K37" s="251">
        <v>0.11</v>
      </c>
      <c r="L37" s="251">
        <v>0.11</v>
      </c>
      <c r="M37" s="251"/>
      <c r="N37" s="62">
        <f t="shared" si="10"/>
        <v>122.32</v>
      </c>
      <c r="O37" s="62">
        <f t="shared" si="10"/>
        <v>122.32</v>
      </c>
      <c r="P37" s="62">
        <f t="shared" si="10"/>
        <v>122.32</v>
      </c>
      <c r="Q37" s="62">
        <f t="shared" si="10"/>
        <v>122.32</v>
      </c>
      <c r="R37" s="62">
        <f t="shared" si="10"/>
        <v>122.32</v>
      </c>
      <c r="S37" s="75">
        <f>$E37*$G37*M37</f>
        <v>0</v>
      </c>
    </row>
    <row r="38" spans="1:19">
      <c r="A38" s="7"/>
      <c r="B38" s="6" t="s">
        <v>130</v>
      </c>
      <c r="C38" s="18" t="s">
        <v>59</v>
      </c>
      <c r="D38" s="58"/>
      <c r="E38" s="18">
        <v>1</v>
      </c>
      <c r="F38" s="44">
        <f>F33</f>
        <v>13800000</v>
      </c>
      <c r="G38" s="44">
        <f>F38/G$5</f>
        <v>3942.8571428571427</v>
      </c>
      <c r="H38" s="251">
        <v>1.22</v>
      </c>
      <c r="I38" s="251">
        <v>1.55</v>
      </c>
      <c r="J38" s="251">
        <v>2.02</v>
      </c>
      <c r="K38" s="251">
        <v>2.2999999999999998</v>
      </c>
      <c r="L38" s="251">
        <v>2.57</v>
      </c>
      <c r="M38" s="251"/>
      <c r="N38" s="62">
        <f t="shared" si="10"/>
        <v>769.64571428571423</v>
      </c>
      <c r="O38" s="62">
        <f t="shared" si="10"/>
        <v>977.82857142857142</v>
      </c>
      <c r="P38" s="62">
        <f t="shared" si="10"/>
        <v>1274.3314285714287</v>
      </c>
      <c r="Q38" s="62">
        <f t="shared" si="10"/>
        <v>1450.9714285714283</v>
      </c>
      <c r="R38" s="62">
        <f t="shared" si="10"/>
        <v>1621.3028571428572</v>
      </c>
      <c r="S38" s="75">
        <f>$E38*$G38*M38</f>
        <v>0</v>
      </c>
    </row>
    <row r="39" spans="1:19" s="20" customFormat="1" ht="13.5">
      <c r="A39" s="46" t="s">
        <v>43</v>
      </c>
      <c r="B39" s="21" t="s">
        <v>612</v>
      </c>
      <c r="C39" s="22" t="s">
        <v>117</v>
      </c>
      <c r="D39" s="57">
        <v>1</v>
      </c>
      <c r="E39" s="47"/>
      <c r="F39" s="44">
        <f>VLOOKUP(B39,GiaVL!$B$4:'GiaVL'!$D$189,3,0)</f>
        <v>2226</v>
      </c>
      <c r="G39" s="48">
        <f>D39*F39</f>
        <v>2226</v>
      </c>
      <c r="H39" s="251">
        <v>0.32</v>
      </c>
      <c r="I39" s="251">
        <v>0.32</v>
      </c>
      <c r="J39" s="251">
        <v>0.32</v>
      </c>
      <c r="K39" s="251">
        <v>0.32</v>
      </c>
      <c r="L39" s="251">
        <v>0.32</v>
      </c>
      <c r="M39" s="251"/>
      <c r="N39" s="76">
        <f>$G39*H39/6.25</f>
        <v>113.97120000000001</v>
      </c>
      <c r="O39" s="76">
        <f>$G39*I39/6.25</f>
        <v>113.97120000000001</v>
      </c>
      <c r="P39" s="76">
        <f>$G39*J39/6.25</f>
        <v>113.97120000000001</v>
      </c>
      <c r="Q39" s="76">
        <f>$G39*K39/6.25</f>
        <v>113.97120000000001</v>
      </c>
      <c r="R39" s="76">
        <f>$G39*L39/6.25</f>
        <v>113.97120000000001</v>
      </c>
      <c r="S39" s="74">
        <f>$G39*M39</f>
        <v>0</v>
      </c>
    </row>
    <row r="40" spans="1:19" s="16" customFormat="1">
      <c r="A40" s="8" t="s">
        <v>29</v>
      </c>
      <c r="B40" s="9" t="s">
        <v>232</v>
      </c>
      <c r="C40" s="25"/>
      <c r="D40" s="56"/>
      <c r="E40" s="25"/>
      <c r="F40" s="45"/>
      <c r="G40" s="45"/>
      <c r="H40" s="249" t="s">
        <v>199</v>
      </c>
      <c r="I40" s="249" t="s">
        <v>199</v>
      </c>
      <c r="J40" s="249" t="s">
        <v>199</v>
      </c>
      <c r="K40" s="249" t="s">
        <v>199</v>
      </c>
      <c r="L40" s="249" t="s">
        <v>199</v>
      </c>
      <c r="M40" s="249"/>
      <c r="N40" s="76">
        <f t="shared" ref="N40:S40" si="11">SUM(N41:N43)</f>
        <v>3887.457142857143</v>
      </c>
      <c r="O40" s="76">
        <f t="shared" si="11"/>
        <v>4563.057142857142</v>
      </c>
      <c r="P40" s="76">
        <f t="shared" si="11"/>
        <v>5418.8171428571432</v>
      </c>
      <c r="Q40" s="76">
        <f t="shared" si="11"/>
        <v>7693.3371428571418</v>
      </c>
      <c r="R40" s="76">
        <f t="shared" si="11"/>
        <v>10373.217142857144</v>
      </c>
      <c r="S40" s="77">
        <f t="shared" si="11"/>
        <v>0</v>
      </c>
    </row>
    <row r="41" spans="1:19">
      <c r="A41" s="7"/>
      <c r="B41" s="6" t="s">
        <v>238</v>
      </c>
      <c r="C41" s="18" t="s">
        <v>60</v>
      </c>
      <c r="D41" s="58"/>
      <c r="E41" s="18">
        <v>1</v>
      </c>
      <c r="F41" s="44">
        <f>VLOOKUP(B41,GiaVL!$B$4:'GiaVL'!$D$189,3,0)</f>
        <v>98800000</v>
      </c>
      <c r="G41" s="44">
        <f>F41/G$7</f>
        <v>49400</v>
      </c>
      <c r="H41" s="251">
        <v>1.71</v>
      </c>
      <c r="I41" s="251">
        <v>2.0099999999999998</v>
      </c>
      <c r="J41" s="251">
        <v>2.39</v>
      </c>
      <c r="K41" s="251">
        <v>3.4</v>
      </c>
      <c r="L41" s="251">
        <v>4.59</v>
      </c>
      <c r="M41" s="251"/>
      <c r="N41" s="62">
        <f t="shared" ref="N41:R43" si="12">$E41*$G41*H41/25</f>
        <v>3378.96</v>
      </c>
      <c r="O41" s="62">
        <f t="shared" si="12"/>
        <v>3971.7599999999993</v>
      </c>
      <c r="P41" s="62">
        <f t="shared" si="12"/>
        <v>4722.6400000000003</v>
      </c>
      <c r="Q41" s="62">
        <f t="shared" si="12"/>
        <v>6718.4</v>
      </c>
      <c r="R41" s="62">
        <f t="shared" si="12"/>
        <v>9069.84</v>
      </c>
      <c r="S41" s="75">
        <f>$E41*$G41*M41</f>
        <v>0</v>
      </c>
    </row>
    <row r="42" spans="1:19">
      <c r="A42" s="7"/>
      <c r="B42" s="6" t="s">
        <v>130</v>
      </c>
      <c r="C42" s="18" t="s">
        <v>59</v>
      </c>
      <c r="D42" s="58"/>
      <c r="E42" s="18">
        <v>1</v>
      </c>
      <c r="F42" s="44">
        <f>F38</f>
        <v>13800000</v>
      </c>
      <c r="G42" s="44">
        <f>F42/G$7</f>
        <v>6900</v>
      </c>
      <c r="H42" s="251">
        <v>1.71</v>
      </c>
      <c r="I42" s="251">
        <v>2.0099999999999998</v>
      </c>
      <c r="J42" s="251">
        <v>2.39</v>
      </c>
      <c r="K42" s="251">
        <v>3.4</v>
      </c>
      <c r="L42" s="251">
        <v>4.59</v>
      </c>
      <c r="M42" s="251"/>
      <c r="N42" s="62">
        <f t="shared" si="12"/>
        <v>471.96</v>
      </c>
      <c r="O42" s="62">
        <f t="shared" si="12"/>
        <v>554.75999999999988</v>
      </c>
      <c r="P42" s="62">
        <f t="shared" si="12"/>
        <v>659.64</v>
      </c>
      <c r="Q42" s="62">
        <f t="shared" si="12"/>
        <v>938.4</v>
      </c>
      <c r="R42" s="62">
        <f t="shared" si="12"/>
        <v>1266.8399999999999</v>
      </c>
      <c r="S42" s="75">
        <f>$E42*$G42*M42</f>
        <v>0</v>
      </c>
    </row>
    <row r="43" spans="1:19" s="16" customFormat="1">
      <c r="A43" s="7"/>
      <c r="B43" s="6" t="s">
        <v>131</v>
      </c>
      <c r="C43" s="18" t="s">
        <v>59</v>
      </c>
      <c r="D43" s="58">
        <v>0.35</v>
      </c>
      <c r="E43" s="18">
        <v>1</v>
      </c>
      <c r="F43" s="44">
        <f>VLOOKUP(B43,GiaVL!$B$4:'GiaVL'!$D$189,3,0)</f>
        <v>13900000</v>
      </c>
      <c r="G43" s="44">
        <f>F43/G$5</f>
        <v>3971.4285714285716</v>
      </c>
      <c r="H43" s="251">
        <v>0.23</v>
      </c>
      <c r="I43" s="251">
        <v>0.23</v>
      </c>
      <c r="J43" s="251">
        <v>0.23</v>
      </c>
      <c r="K43" s="251">
        <v>0.23</v>
      </c>
      <c r="L43" s="251">
        <v>0.23</v>
      </c>
      <c r="M43" s="251"/>
      <c r="N43" s="62">
        <f t="shared" si="12"/>
        <v>36.537142857142861</v>
      </c>
      <c r="O43" s="62">
        <f t="shared" si="12"/>
        <v>36.537142857142861</v>
      </c>
      <c r="P43" s="62">
        <f t="shared" si="12"/>
        <v>36.537142857142861</v>
      </c>
      <c r="Q43" s="62">
        <f t="shared" si="12"/>
        <v>36.537142857142861</v>
      </c>
      <c r="R43" s="62">
        <f t="shared" si="12"/>
        <v>36.537142857142861</v>
      </c>
      <c r="S43" s="75">
        <f>$E43*$G43*M43</f>
        <v>0</v>
      </c>
    </row>
    <row r="44" spans="1:19" s="20" customFormat="1" ht="13.5">
      <c r="A44" s="46" t="s">
        <v>43</v>
      </c>
      <c r="B44" s="21" t="s">
        <v>612</v>
      </c>
      <c r="C44" s="22" t="s">
        <v>117</v>
      </c>
      <c r="D44" s="57">
        <v>1</v>
      </c>
      <c r="E44" s="47"/>
      <c r="F44" s="44">
        <f>VLOOKUP(B44,GiaVL!$B$4:'GiaVL'!$D$189,3,0)</f>
        <v>2226</v>
      </c>
      <c r="G44" s="48">
        <f>D44*F44</f>
        <v>2226</v>
      </c>
      <c r="H44" s="251">
        <v>0.66</v>
      </c>
      <c r="I44" s="251">
        <v>0.66</v>
      </c>
      <c r="J44" s="251">
        <v>0.66</v>
      </c>
      <c r="K44" s="251">
        <v>0.66</v>
      </c>
      <c r="L44" s="251">
        <v>0.66</v>
      </c>
      <c r="M44" s="251"/>
      <c r="N44" s="76">
        <f>$G44*H44/25</f>
        <v>58.766400000000004</v>
      </c>
      <c r="O44" s="76">
        <f>$G44*I44/25</f>
        <v>58.766400000000004</v>
      </c>
      <c r="P44" s="76">
        <f>$G44*J44/25</f>
        <v>58.766400000000004</v>
      </c>
      <c r="Q44" s="76">
        <f>$G44*K44/25</f>
        <v>58.766400000000004</v>
      </c>
      <c r="R44" s="76">
        <f>$G44*L44/25</f>
        <v>58.766400000000004</v>
      </c>
      <c r="S44" s="74">
        <f>$G44*M44</f>
        <v>0</v>
      </c>
    </row>
    <row r="45" spans="1:19" s="16" customFormat="1">
      <c r="A45" s="8" t="s">
        <v>30</v>
      </c>
      <c r="B45" s="9" t="s">
        <v>233</v>
      </c>
      <c r="C45" s="25"/>
      <c r="D45" s="56"/>
      <c r="E45" s="25"/>
      <c r="F45" s="45"/>
      <c r="G45" s="45"/>
      <c r="H45" s="249" t="s">
        <v>199</v>
      </c>
      <c r="I45" s="249" t="s">
        <v>199</v>
      </c>
      <c r="J45" s="249" t="s">
        <v>199</v>
      </c>
      <c r="K45" s="249" t="s">
        <v>199</v>
      </c>
      <c r="L45" s="251" t="s">
        <v>199</v>
      </c>
      <c r="M45" s="251"/>
      <c r="N45" s="76">
        <f t="shared" ref="N45:S45" si="13">SUM(N46:N48)</f>
        <v>1302.3757142857144</v>
      </c>
      <c r="O45" s="76">
        <f t="shared" si="13"/>
        <v>1521.9457142857145</v>
      </c>
      <c r="P45" s="76">
        <f t="shared" si="13"/>
        <v>1809.0757142857142</v>
      </c>
      <c r="Q45" s="76">
        <f t="shared" si="13"/>
        <v>2760.545714285714</v>
      </c>
      <c r="R45" s="76">
        <f t="shared" si="13"/>
        <v>4410.1357142857141</v>
      </c>
      <c r="S45" s="77">
        <f t="shared" si="13"/>
        <v>0</v>
      </c>
    </row>
    <row r="46" spans="1:19">
      <c r="A46" s="7"/>
      <c r="B46" s="6" t="s">
        <v>238</v>
      </c>
      <c r="C46" s="18" t="s">
        <v>60</v>
      </c>
      <c r="D46" s="58"/>
      <c r="E46" s="18">
        <v>1</v>
      </c>
      <c r="F46" s="44">
        <f>VLOOKUP(B46,GiaVL!$B$4:'GiaVL'!$D$189,3,0)</f>
        <v>98800000</v>
      </c>
      <c r="G46" s="44">
        <f>F46/G$7</f>
        <v>49400</v>
      </c>
      <c r="H46" s="251">
        <v>2.29</v>
      </c>
      <c r="I46" s="251">
        <v>2.68</v>
      </c>
      <c r="J46" s="251">
        <v>3.19</v>
      </c>
      <c r="K46" s="251">
        <v>4.88</v>
      </c>
      <c r="L46" s="251">
        <v>7.81</v>
      </c>
      <c r="M46" s="251"/>
      <c r="N46" s="62">
        <f t="shared" ref="N46:R48" si="14">$E46*$G46*H46/100</f>
        <v>1131.26</v>
      </c>
      <c r="O46" s="62">
        <f t="shared" si="14"/>
        <v>1323.92</v>
      </c>
      <c r="P46" s="62">
        <f t="shared" si="14"/>
        <v>1575.86</v>
      </c>
      <c r="Q46" s="62">
        <f t="shared" si="14"/>
        <v>2410.7199999999998</v>
      </c>
      <c r="R46" s="62">
        <f t="shared" si="14"/>
        <v>3858.14</v>
      </c>
      <c r="S46" s="75">
        <f>$E46*$G46*M46</f>
        <v>0</v>
      </c>
    </row>
    <row r="47" spans="1:19">
      <c r="A47" s="7"/>
      <c r="B47" s="6" t="s">
        <v>130</v>
      </c>
      <c r="C47" s="18" t="s">
        <v>59</v>
      </c>
      <c r="D47" s="58"/>
      <c r="E47" s="18">
        <v>1</v>
      </c>
      <c r="F47" s="44">
        <f>F42</f>
        <v>13800000</v>
      </c>
      <c r="G47" s="44">
        <f>F47/G$7</f>
        <v>6900</v>
      </c>
      <c r="H47" s="251">
        <v>2.29</v>
      </c>
      <c r="I47" s="251">
        <v>2.68</v>
      </c>
      <c r="J47" s="251">
        <v>3.19</v>
      </c>
      <c r="K47" s="251">
        <v>4.88</v>
      </c>
      <c r="L47" s="251">
        <v>7.81</v>
      </c>
      <c r="M47" s="251"/>
      <c r="N47" s="62">
        <f t="shared" si="14"/>
        <v>158.01</v>
      </c>
      <c r="O47" s="62">
        <f t="shared" si="14"/>
        <v>184.92</v>
      </c>
      <c r="P47" s="62">
        <f t="shared" si="14"/>
        <v>220.11</v>
      </c>
      <c r="Q47" s="62">
        <f t="shared" si="14"/>
        <v>336.72</v>
      </c>
      <c r="R47" s="62">
        <f t="shared" si="14"/>
        <v>538.89</v>
      </c>
      <c r="S47" s="75">
        <f>$E47*$G47*M47</f>
        <v>0</v>
      </c>
    </row>
    <row r="48" spans="1:19" s="15" customFormat="1">
      <c r="A48" s="7"/>
      <c r="B48" s="6" t="s">
        <v>131</v>
      </c>
      <c r="C48" s="18" t="s">
        <v>59</v>
      </c>
      <c r="D48" s="58">
        <v>0.35</v>
      </c>
      <c r="E48" s="18">
        <v>1</v>
      </c>
      <c r="F48" s="44">
        <f>VLOOKUP(B48,GiaVL!$B$4:'GiaVL'!$D$189,3,0)</f>
        <v>13900000</v>
      </c>
      <c r="G48" s="44">
        <f>F48/G$5</f>
        <v>3971.4285714285716</v>
      </c>
      <c r="H48" s="251">
        <v>0.33</v>
      </c>
      <c r="I48" s="251">
        <v>0.33</v>
      </c>
      <c r="J48" s="251">
        <v>0.33</v>
      </c>
      <c r="K48" s="251">
        <v>0.33</v>
      </c>
      <c r="L48" s="251">
        <v>0.33</v>
      </c>
      <c r="M48" s="251"/>
      <c r="N48" s="62">
        <f t="shared" si="14"/>
        <v>13.105714285714287</v>
      </c>
      <c r="O48" s="62">
        <f t="shared" si="14"/>
        <v>13.105714285714287</v>
      </c>
      <c r="P48" s="62">
        <f t="shared" si="14"/>
        <v>13.105714285714287</v>
      </c>
      <c r="Q48" s="62">
        <f t="shared" si="14"/>
        <v>13.105714285714287</v>
      </c>
      <c r="R48" s="62">
        <f t="shared" si="14"/>
        <v>13.105714285714287</v>
      </c>
      <c r="S48" s="75">
        <f>$E48*$G48*M48</f>
        <v>0</v>
      </c>
    </row>
    <row r="49" spans="1:19" s="20" customFormat="1" ht="13.5">
      <c r="A49" s="46" t="s">
        <v>43</v>
      </c>
      <c r="B49" s="21" t="s">
        <v>612</v>
      </c>
      <c r="C49" s="22" t="s">
        <v>117</v>
      </c>
      <c r="D49" s="57">
        <v>1</v>
      </c>
      <c r="E49" s="47"/>
      <c r="F49" s="44">
        <f>VLOOKUP(B49,GiaVL!$B$4:'GiaVL'!$D$189,3,0)</f>
        <v>2226</v>
      </c>
      <c r="G49" s="48">
        <f>D49*F49</f>
        <v>2226</v>
      </c>
      <c r="H49" s="251">
        <v>0.99</v>
      </c>
      <c r="I49" s="251">
        <v>0.99</v>
      </c>
      <c r="J49" s="251">
        <v>0.99</v>
      </c>
      <c r="K49" s="251">
        <v>0.99</v>
      </c>
      <c r="L49" s="251">
        <v>0.99</v>
      </c>
      <c r="M49" s="251"/>
      <c r="N49" s="76">
        <f>$G49*H49/100</f>
        <v>22.037399999999998</v>
      </c>
      <c r="O49" s="76">
        <f>$G49*I49/100</f>
        <v>22.037399999999998</v>
      </c>
      <c r="P49" s="76">
        <f>$G49*J49/100</f>
        <v>22.037399999999998</v>
      </c>
      <c r="Q49" s="76">
        <f>$G49*K49/100</f>
        <v>22.037399999999998</v>
      </c>
      <c r="R49" s="76">
        <f>$G49*L49/100</f>
        <v>22.037399999999998</v>
      </c>
      <c r="S49" s="74">
        <f>$G49*M49</f>
        <v>0</v>
      </c>
    </row>
    <row r="50" spans="1:19" s="15" customFormat="1">
      <c r="A50" s="8" t="s">
        <v>31</v>
      </c>
      <c r="B50" s="9" t="s">
        <v>234</v>
      </c>
      <c r="C50" s="25"/>
      <c r="D50" s="56"/>
      <c r="E50" s="25"/>
      <c r="F50" s="45"/>
      <c r="G50" s="45"/>
      <c r="H50" s="249" t="s">
        <v>199</v>
      </c>
      <c r="I50" s="249" t="s">
        <v>199</v>
      </c>
      <c r="J50" s="249" t="s">
        <v>199</v>
      </c>
      <c r="K50" s="249" t="s">
        <v>199</v>
      </c>
      <c r="L50" s="249"/>
      <c r="M50" s="249"/>
      <c r="N50" s="76">
        <f t="shared" ref="N50:S50" si="15">SUM(N51:N53)</f>
        <v>476.09714285714284</v>
      </c>
      <c r="O50" s="76">
        <f t="shared" si="15"/>
        <v>571.18158730158723</v>
      </c>
      <c r="P50" s="76">
        <f t="shared" si="15"/>
        <v>618.09825396825397</v>
      </c>
      <c r="Q50" s="76">
        <f t="shared" si="15"/>
        <v>665.0149206349206</v>
      </c>
      <c r="R50" s="76">
        <f t="shared" si="15"/>
        <v>0</v>
      </c>
      <c r="S50" s="77">
        <f t="shared" si="15"/>
        <v>0</v>
      </c>
    </row>
    <row r="51" spans="1:19" s="15" customFormat="1">
      <c r="A51" s="7"/>
      <c r="B51" s="6" t="s">
        <v>238</v>
      </c>
      <c r="C51" s="18" t="s">
        <v>60</v>
      </c>
      <c r="D51" s="58"/>
      <c r="E51" s="18">
        <v>1</v>
      </c>
      <c r="F51" s="44">
        <f>VLOOKUP(B51,GiaVL!$B$4:'GiaVL'!$D$189,3,0)</f>
        <v>98800000</v>
      </c>
      <c r="G51" s="44">
        <f>F51/G$7</f>
        <v>49400</v>
      </c>
      <c r="H51" s="251">
        <v>7.56</v>
      </c>
      <c r="I51" s="251">
        <v>9.08</v>
      </c>
      <c r="J51" s="251">
        <v>9.83</v>
      </c>
      <c r="K51" s="251">
        <v>10.58</v>
      </c>
      <c r="L51" s="251"/>
      <c r="M51" s="251"/>
      <c r="N51" s="62">
        <f t="shared" ref="N51:Q53" si="16">$E51*$G51*H51/900</f>
        <v>414.96</v>
      </c>
      <c r="O51" s="62">
        <f t="shared" si="16"/>
        <v>498.39111111111112</v>
      </c>
      <c r="P51" s="62">
        <f t="shared" si="16"/>
        <v>539.5577777777778</v>
      </c>
      <c r="Q51" s="62">
        <f t="shared" si="16"/>
        <v>580.72444444444443</v>
      </c>
      <c r="R51" s="62">
        <f t="shared" ref="R51:S53" si="17">$E51*$G51*L51</f>
        <v>0</v>
      </c>
      <c r="S51" s="75">
        <f t="shared" si="17"/>
        <v>0</v>
      </c>
    </row>
    <row r="52" spans="1:19">
      <c r="A52" s="7"/>
      <c r="B52" s="6" t="s">
        <v>130</v>
      </c>
      <c r="C52" s="18" t="s">
        <v>59</v>
      </c>
      <c r="D52" s="58"/>
      <c r="E52" s="18">
        <v>1</v>
      </c>
      <c r="F52" s="44">
        <f>F47</f>
        <v>13800000</v>
      </c>
      <c r="G52" s="44">
        <f>F52/G$7</f>
        <v>6900</v>
      </c>
      <c r="H52" s="251">
        <v>7.56</v>
      </c>
      <c r="I52" s="251">
        <v>9.08</v>
      </c>
      <c r="J52" s="251">
        <v>9.83</v>
      </c>
      <c r="K52" s="251">
        <v>10.58</v>
      </c>
      <c r="L52" s="251"/>
      <c r="M52" s="251"/>
      <c r="N52" s="62">
        <f t="shared" si="16"/>
        <v>57.96</v>
      </c>
      <c r="O52" s="62">
        <f t="shared" si="16"/>
        <v>69.61333333333333</v>
      </c>
      <c r="P52" s="62">
        <f t="shared" si="16"/>
        <v>75.36333333333333</v>
      </c>
      <c r="Q52" s="62">
        <f t="shared" si="16"/>
        <v>81.11333333333333</v>
      </c>
      <c r="R52" s="62">
        <f t="shared" si="17"/>
        <v>0</v>
      </c>
      <c r="S52" s="75">
        <f t="shared" si="17"/>
        <v>0</v>
      </c>
    </row>
    <row r="53" spans="1:19" s="15" customFormat="1">
      <c r="A53" s="7"/>
      <c r="B53" s="6" t="s">
        <v>131</v>
      </c>
      <c r="C53" s="18" t="s">
        <v>59</v>
      </c>
      <c r="D53" s="58">
        <v>0.35</v>
      </c>
      <c r="E53" s="18">
        <v>1</v>
      </c>
      <c r="F53" s="44">
        <f>VLOOKUP(B53,GiaVL!$B$4:'GiaVL'!$D$189,3,0)</f>
        <v>13900000</v>
      </c>
      <c r="G53" s="44">
        <f>F53/G$5</f>
        <v>3971.4285714285716</v>
      </c>
      <c r="H53" s="251">
        <v>0.72</v>
      </c>
      <c r="I53" s="251">
        <v>0.72</v>
      </c>
      <c r="J53" s="251">
        <v>0.72</v>
      </c>
      <c r="K53" s="251">
        <v>0.72</v>
      </c>
      <c r="L53" s="251"/>
      <c r="M53" s="251"/>
      <c r="N53" s="62">
        <f t="shared" si="16"/>
        <v>3.1771428571428575</v>
      </c>
      <c r="O53" s="62">
        <f t="shared" si="16"/>
        <v>3.1771428571428575</v>
      </c>
      <c r="P53" s="62">
        <f t="shared" si="16"/>
        <v>3.1771428571428575</v>
      </c>
      <c r="Q53" s="62">
        <f t="shared" si="16"/>
        <v>3.1771428571428575</v>
      </c>
      <c r="R53" s="62">
        <f t="shared" si="17"/>
        <v>0</v>
      </c>
      <c r="S53" s="75">
        <f t="shared" si="17"/>
        <v>0</v>
      </c>
    </row>
    <row r="54" spans="1:19" s="20" customFormat="1" ht="13.5">
      <c r="A54" s="46" t="s">
        <v>43</v>
      </c>
      <c r="B54" s="21" t="s">
        <v>612</v>
      </c>
      <c r="C54" s="22" t="s">
        <v>117</v>
      </c>
      <c r="D54" s="57">
        <v>1</v>
      </c>
      <c r="E54" s="47"/>
      <c r="F54" s="44">
        <f>VLOOKUP(B54,GiaVL!$B$4:'GiaVL'!$D$189,3,0)</f>
        <v>2226</v>
      </c>
      <c r="G54" s="48">
        <f>D54*F54</f>
        <v>2226</v>
      </c>
      <c r="H54" s="251">
        <v>2.08</v>
      </c>
      <c r="I54" s="251">
        <v>2.08</v>
      </c>
      <c r="J54" s="251">
        <v>2.08</v>
      </c>
      <c r="K54" s="251">
        <v>2.08</v>
      </c>
      <c r="L54" s="251"/>
      <c r="M54" s="251"/>
      <c r="N54" s="76">
        <f>$G54*H54/900</f>
        <v>5.1445333333333334</v>
      </c>
      <c r="O54" s="76">
        <f>$G54*I54/900</f>
        <v>5.1445333333333334</v>
      </c>
      <c r="P54" s="76">
        <f>$G54*J54/900</f>
        <v>5.1445333333333334</v>
      </c>
      <c r="Q54" s="76">
        <f>$G54*K54/900</f>
        <v>5.1445333333333334</v>
      </c>
      <c r="R54" s="76">
        <f>$G54*L54</f>
        <v>0</v>
      </c>
      <c r="S54" s="74">
        <f>$G54*M54</f>
        <v>0</v>
      </c>
    </row>
    <row r="55" spans="1:19" s="15" customFormat="1">
      <c r="A55" s="8" t="s">
        <v>37</v>
      </c>
      <c r="B55" s="9" t="s">
        <v>403</v>
      </c>
      <c r="C55" s="25"/>
      <c r="D55" s="56"/>
      <c r="E55" s="25"/>
      <c r="F55" s="45"/>
      <c r="G55" s="45"/>
      <c r="H55" s="249" t="s">
        <v>199</v>
      </c>
      <c r="I55" s="249" t="s">
        <v>199</v>
      </c>
      <c r="J55" s="249" t="s">
        <v>199</v>
      </c>
      <c r="K55" s="249" t="s">
        <v>199</v>
      </c>
      <c r="L55" s="249"/>
      <c r="M55" s="249"/>
      <c r="N55" s="76">
        <f t="shared" ref="N55:S55" si="18">SUM(N56:N58)</f>
        <v>216.31246031746031</v>
      </c>
      <c r="O55" s="76">
        <f t="shared" si="18"/>
        <v>259.47579365079361</v>
      </c>
      <c r="P55" s="76">
        <f t="shared" si="18"/>
        <v>281.05746031746031</v>
      </c>
      <c r="Q55" s="76">
        <f t="shared" si="18"/>
        <v>302.32634920634916</v>
      </c>
      <c r="R55" s="76">
        <f t="shared" si="18"/>
        <v>0</v>
      </c>
      <c r="S55" s="77">
        <f t="shared" si="18"/>
        <v>0</v>
      </c>
    </row>
    <row r="56" spans="1:19" s="15" customFormat="1">
      <c r="A56" s="7"/>
      <c r="B56" s="6" t="s">
        <v>238</v>
      </c>
      <c r="C56" s="18" t="s">
        <v>60</v>
      </c>
      <c r="D56" s="58"/>
      <c r="E56" s="18">
        <v>1</v>
      </c>
      <c r="F56" s="44">
        <f>VLOOKUP(B56,GiaVL!$B$4:'GiaVL'!$D$189,3,0)</f>
        <v>98800000</v>
      </c>
      <c r="G56" s="44">
        <f>F56/G$7</f>
        <v>49400</v>
      </c>
      <c r="H56" s="251">
        <v>13.74</v>
      </c>
      <c r="I56" s="251">
        <v>16.5</v>
      </c>
      <c r="J56" s="251">
        <v>17.88</v>
      </c>
      <c r="K56" s="251">
        <v>19.239999999999998</v>
      </c>
      <c r="L56" s="251"/>
      <c r="M56" s="251"/>
      <c r="N56" s="62">
        <f t="shared" ref="N56:Q58" si="19">$E56*$G56*H56/3600</f>
        <v>188.54333333333332</v>
      </c>
      <c r="O56" s="62">
        <f t="shared" si="19"/>
        <v>226.41666666666666</v>
      </c>
      <c r="P56" s="62">
        <f t="shared" si="19"/>
        <v>245.35333333333332</v>
      </c>
      <c r="Q56" s="62">
        <f t="shared" si="19"/>
        <v>264.01555555555552</v>
      </c>
      <c r="R56" s="62">
        <f t="shared" ref="R56:S58" si="20">$E56*$G56*L56</f>
        <v>0</v>
      </c>
      <c r="S56" s="75">
        <f t="shared" si="20"/>
        <v>0</v>
      </c>
    </row>
    <row r="57" spans="1:19">
      <c r="A57" s="7"/>
      <c r="B57" s="6" t="s">
        <v>130</v>
      </c>
      <c r="C57" s="18" t="s">
        <v>59</v>
      </c>
      <c r="D57" s="58"/>
      <c r="E57" s="18">
        <v>1</v>
      </c>
      <c r="F57" s="44">
        <f>F52</f>
        <v>13800000</v>
      </c>
      <c r="G57" s="44">
        <f>F57/G$7</f>
        <v>6900</v>
      </c>
      <c r="H57" s="251">
        <v>13.74</v>
      </c>
      <c r="I57" s="251">
        <v>16.5</v>
      </c>
      <c r="J57" s="251">
        <v>17.88</v>
      </c>
      <c r="K57" s="251">
        <v>19.239999999999998</v>
      </c>
      <c r="L57" s="251"/>
      <c r="M57" s="251"/>
      <c r="N57" s="62">
        <f t="shared" si="19"/>
        <v>26.335000000000001</v>
      </c>
      <c r="O57" s="62">
        <f t="shared" si="19"/>
        <v>31.625</v>
      </c>
      <c r="P57" s="62">
        <f t="shared" si="19"/>
        <v>34.270000000000003</v>
      </c>
      <c r="Q57" s="62">
        <f t="shared" si="19"/>
        <v>36.876666666666665</v>
      </c>
      <c r="R57" s="62">
        <f t="shared" si="20"/>
        <v>0</v>
      </c>
      <c r="S57" s="75">
        <f t="shared" si="20"/>
        <v>0</v>
      </c>
    </row>
    <row r="58" spans="1:19" s="15" customFormat="1">
      <c r="A58" s="7"/>
      <c r="B58" s="6" t="s">
        <v>131</v>
      </c>
      <c r="C58" s="18" t="s">
        <v>59</v>
      </c>
      <c r="D58" s="58">
        <v>0.35</v>
      </c>
      <c r="E58" s="18">
        <v>1</v>
      </c>
      <c r="F58" s="44">
        <f>VLOOKUP(B58,GiaVL!$B$4:'GiaVL'!$D$189,3,0)</f>
        <v>13900000</v>
      </c>
      <c r="G58" s="44">
        <f>F58/G$5</f>
        <v>3971.4285714285716</v>
      </c>
      <c r="H58" s="251">
        <v>1.3</v>
      </c>
      <c r="I58" s="251">
        <v>1.3</v>
      </c>
      <c r="J58" s="251">
        <v>1.3</v>
      </c>
      <c r="K58" s="251">
        <v>1.3</v>
      </c>
      <c r="L58" s="251"/>
      <c r="M58" s="251"/>
      <c r="N58" s="62">
        <f t="shared" si="19"/>
        <v>1.4341269841269841</v>
      </c>
      <c r="O58" s="62">
        <f t="shared" si="19"/>
        <v>1.4341269841269841</v>
      </c>
      <c r="P58" s="62">
        <f t="shared" si="19"/>
        <v>1.4341269841269841</v>
      </c>
      <c r="Q58" s="62">
        <f t="shared" si="19"/>
        <v>1.4341269841269841</v>
      </c>
      <c r="R58" s="62">
        <f t="shared" si="20"/>
        <v>0</v>
      </c>
      <c r="S58" s="75">
        <f t="shared" si="20"/>
        <v>0</v>
      </c>
    </row>
    <row r="59" spans="1:19" s="20" customFormat="1" ht="13.5">
      <c r="A59" s="46" t="s">
        <v>43</v>
      </c>
      <c r="B59" s="21" t="s">
        <v>612</v>
      </c>
      <c r="C59" s="22" t="s">
        <v>117</v>
      </c>
      <c r="D59" s="57">
        <v>1</v>
      </c>
      <c r="E59" s="47"/>
      <c r="F59" s="44">
        <f>VLOOKUP(B59,GiaVL!$B$4:'GiaVL'!$D$189,3,0)</f>
        <v>2226</v>
      </c>
      <c r="G59" s="48">
        <f>D59*F59</f>
        <v>2226</v>
      </c>
      <c r="H59" s="251">
        <v>3.78</v>
      </c>
      <c r="I59" s="251">
        <v>3.78</v>
      </c>
      <c r="J59" s="251">
        <v>3.78</v>
      </c>
      <c r="K59" s="251">
        <v>3.78</v>
      </c>
      <c r="L59" s="251"/>
      <c r="M59" s="251"/>
      <c r="N59" s="76">
        <f>$G59*H59/3600</f>
        <v>2.3372999999999995</v>
      </c>
      <c r="O59" s="76">
        <f>$G59*I59/3600</f>
        <v>2.3372999999999995</v>
      </c>
      <c r="P59" s="76">
        <f>$G59*J59/3600</f>
        <v>2.3372999999999995</v>
      </c>
      <c r="Q59" s="76">
        <f>$G59*K59/3600</f>
        <v>2.3372999999999995</v>
      </c>
      <c r="R59" s="76">
        <f>$G59*L59</f>
        <v>0</v>
      </c>
      <c r="S59" s="74">
        <f>$G59*M59</f>
        <v>0</v>
      </c>
    </row>
    <row r="60" spans="1:19" s="15" customFormat="1">
      <c r="A60" s="7"/>
      <c r="B60" s="6"/>
      <c r="C60" s="18"/>
      <c r="D60" s="58"/>
      <c r="E60" s="18"/>
      <c r="F60" s="44"/>
      <c r="G60" s="44"/>
      <c r="H60" s="251"/>
      <c r="I60" s="251"/>
      <c r="J60" s="251"/>
      <c r="K60" s="251"/>
      <c r="L60" s="251"/>
      <c r="M60" s="251"/>
      <c r="N60" s="62"/>
      <c r="O60" s="62"/>
      <c r="P60" s="62"/>
      <c r="Q60" s="62"/>
      <c r="R60" s="62"/>
      <c r="S60" s="75"/>
    </row>
    <row r="61" spans="1:19" s="15" customFormat="1">
      <c r="A61" s="8">
        <v>2.2000000000000002</v>
      </c>
      <c r="B61" s="9" t="str">
        <f>L_CViec!B19</f>
        <v>Đo đạc ranh giới thửa đất và các đối tượng địa lý có liên quan</v>
      </c>
      <c r="C61" s="25"/>
      <c r="D61" s="56"/>
      <c r="E61" s="25"/>
      <c r="F61" s="45"/>
      <c r="G61" s="45"/>
      <c r="H61" s="249"/>
      <c r="I61" s="249"/>
      <c r="J61" s="249"/>
      <c r="K61" s="249"/>
      <c r="L61" s="249"/>
      <c r="M61" s="249"/>
      <c r="N61" s="76"/>
      <c r="O61" s="76"/>
      <c r="P61" s="76"/>
      <c r="Q61" s="76"/>
      <c r="R61" s="76"/>
      <c r="S61" s="77"/>
    </row>
    <row r="62" spans="1:19" s="854" customFormat="1">
      <c r="A62" s="1163" t="s">
        <v>27</v>
      </c>
      <c r="B62" s="840" t="s">
        <v>230</v>
      </c>
      <c r="C62" s="848"/>
      <c r="D62" s="849"/>
      <c r="E62" s="848"/>
      <c r="F62" s="850"/>
      <c r="G62" s="850"/>
      <c r="H62" s="851"/>
      <c r="I62" s="851"/>
      <c r="J62" s="851"/>
      <c r="K62" s="851"/>
      <c r="L62" s="851"/>
      <c r="M62" s="851"/>
      <c r="N62" s="852">
        <f t="shared" ref="N62:S62" si="21">SUM(N63:N64)</f>
        <v>239838</v>
      </c>
      <c r="O62" s="852">
        <f t="shared" si="21"/>
        <v>278122</v>
      </c>
      <c r="P62" s="852">
        <f t="shared" si="21"/>
        <v>345119</v>
      </c>
      <c r="Q62" s="852">
        <f t="shared" si="21"/>
        <v>414368</v>
      </c>
      <c r="R62" s="852">
        <f t="shared" si="21"/>
        <v>0</v>
      </c>
      <c r="S62" s="853">
        <f t="shared" si="21"/>
        <v>0</v>
      </c>
    </row>
    <row r="63" spans="1:19" s="828" customFormat="1" ht="13.15" customHeight="1">
      <c r="A63" s="1164"/>
      <c r="B63" s="832" t="s">
        <v>238</v>
      </c>
      <c r="C63" s="831" t="s">
        <v>60</v>
      </c>
      <c r="D63" s="842"/>
      <c r="E63" s="831">
        <v>1</v>
      </c>
      <c r="F63" s="843">
        <f>VLOOKUP(B63,GiaVL!$B$4:'GiaVL'!$D$189,3,0)</f>
        <v>98800000</v>
      </c>
      <c r="G63" s="843">
        <f>F63/G$7</f>
        <v>49400</v>
      </c>
      <c r="H63" s="844">
        <v>4.26</v>
      </c>
      <c r="I63" s="844">
        <v>4.9400000000000004</v>
      </c>
      <c r="J63" s="844">
        <v>6.13</v>
      </c>
      <c r="K63" s="844">
        <v>7.36</v>
      </c>
      <c r="L63" s="844"/>
      <c r="M63" s="844"/>
      <c r="N63" s="845">
        <f t="shared" ref="N63:S64" si="22">$E63*$G63*H63</f>
        <v>210444</v>
      </c>
      <c r="O63" s="845">
        <f t="shared" si="22"/>
        <v>244036.00000000003</v>
      </c>
      <c r="P63" s="845">
        <f t="shared" si="22"/>
        <v>302822</v>
      </c>
      <c r="Q63" s="845">
        <f t="shared" si="22"/>
        <v>363584</v>
      </c>
      <c r="R63" s="845">
        <f t="shared" si="22"/>
        <v>0</v>
      </c>
      <c r="S63" s="846">
        <f t="shared" si="22"/>
        <v>0</v>
      </c>
    </row>
    <row r="64" spans="1:19" s="828" customFormat="1" ht="15" customHeight="1">
      <c r="A64" s="1165"/>
      <c r="B64" s="832" t="s">
        <v>130</v>
      </c>
      <c r="C64" s="831" t="s">
        <v>59</v>
      </c>
      <c r="D64" s="842"/>
      <c r="E64" s="831">
        <v>1</v>
      </c>
      <c r="F64" s="843">
        <f>F57</f>
        <v>13800000</v>
      </c>
      <c r="G64" s="843">
        <f>F64/G$7</f>
        <v>6900</v>
      </c>
      <c r="H64" s="844">
        <v>4.26</v>
      </c>
      <c r="I64" s="844">
        <v>4.9400000000000004</v>
      </c>
      <c r="J64" s="844">
        <v>6.13</v>
      </c>
      <c r="K64" s="844">
        <v>7.36</v>
      </c>
      <c r="L64" s="844"/>
      <c r="M64" s="844"/>
      <c r="N64" s="845">
        <f t="shared" si="22"/>
        <v>29394</v>
      </c>
      <c r="O64" s="845">
        <f t="shared" si="22"/>
        <v>34086</v>
      </c>
      <c r="P64" s="845">
        <f t="shared" si="22"/>
        <v>42297</v>
      </c>
      <c r="Q64" s="845">
        <f t="shared" si="22"/>
        <v>50784</v>
      </c>
      <c r="R64" s="845">
        <f t="shared" si="22"/>
        <v>0</v>
      </c>
      <c r="S64" s="846">
        <f t="shared" si="22"/>
        <v>0</v>
      </c>
    </row>
    <row r="65" spans="1:19" s="16" customFormat="1">
      <c r="A65" s="31" t="s">
        <v>28</v>
      </c>
      <c r="B65" s="9" t="s">
        <v>231</v>
      </c>
      <c r="C65" s="25"/>
      <c r="D65" s="56"/>
      <c r="E65" s="25"/>
      <c r="F65" s="45"/>
      <c r="G65" s="45"/>
      <c r="H65" s="249" t="s">
        <v>199</v>
      </c>
      <c r="I65" s="249" t="s">
        <v>199</v>
      </c>
      <c r="J65" s="249" t="s">
        <v>199</v>
      </c>
      <c r="K65" s="249" t="s">
        <v>199</v>
      </c>
      <c r="L65" s="249"/>
      <c r="M65" s="249"/>
      <c r="N65" s="76">
        <f t="shared" ref="N65:S65" si="23">SUM(N66:N67)</f>
        <v>49544</v>
      </c>
      <c r="O65" s="76">
        <f t="shared" si="23"/>
        <v>60984.160000000003</v>
      </c>
      <c r="P65" s="76">
        <f t="shared" si="23"/>
        <v>82243.040000000008</v>
      </c>
      <c r="Q65" s="76">
        <f t="shared" si="23"/>
        <v>108906.72</v>
      </c>
      <c r="R65" s="76">
        <f t="shared" si="23"/>
        <v>138633.12</v>
      </c>
      <c r="S65" s="77">
        <f t="shared" si="23"/>
        <v>0</v>
      </c>
    </row>
    <row r="66" spans="1:19">
      <c r="A66" s="7"/>
      <c r="B66" s="6" t="s">
        <v>238</v>
      </c>
      <c r="C66" s="18" t="s">
        <v>60</v>
      </c>
      <c r="D66" s="58"/>
      <c r="E66" s="18">
        <v>1</v>
      </c>
      <c r="F66" s="44">
        <f>VLOOKUP(B66,GiaVL!$B$4:'GiaVL'!$D$189,3,0)</f>
        <v>98800000</v>
      </c>
      <c r="G66" s="44">
        <f>F66/G$7</f>
        <v>49400</v>
      </c>
      <c r="H66" s="251">
        <v>5.5</v>
      </c>
      <c r="I66" s="251">
        <v>6.77</v>
      </c>
      <c r="J66" s="251">
        <v>9.1300000000000008</v>
      </c>
      <c r="K66" s="251">
        <v>12.09</v>
      </c>
      <c r="L66" s="251">
        <v>15.39</v>
      </c>
      <c r="M66" s="251"/>
      <c r="N66" s="62">
        <f t="shared" ref="N66:R67" si="24">$E66*$G66*H66/6.25</f>
        <v>43472</v>
      </c>
      <c r="O66" s="62">
        <f t="shared" si="24"/>
        <v>53510.080000000002</v>
      </c>
      <c r="P66" s="62">
        <f t="shared" si="24"/>
        <v>72163.520000000004</v>
      </c>
      <c r="Q66" s="62">
        <f t="shared" si="24"/>
        <v>95559.360000000001</v>
      </c>
      <c r="R66" s="62">
        <f t="shared" si="24"/>
        <v>121642.56</v>
      </c>
      <c r="S66" s="75">
        <f>$E66*$G66*M66</f>
        <v>0</v>
      </c>
    </row>
    <row r="67" spans="1:19">
      <c r="A67" s="7"/>
      <c r="B67" s="6" t="s">
        <v>130</v>
      </c>
      <c r="C67" s="18" t="s">
        <v>59</v>
      </c>
      <c r="D67" s="58"/>
      <c r="E67" s="18">
        <v>1</v>
      </c>
      <c r="F67" s="44">
        <f>F64</f>
        <v>13800000</v>
      </c>
      <c r="G67" s="44">
        <f>F67/G$7</f>
        <v>6900</v>
      </c>
      <c r="H67" s="251">
        <v>5.5</v>
      </c>
      <c r="I67" s="251">
        <v>6.77</v>
      </c>
      <c r="J67" s="251">
        <v>9.1300000000000008</v>
      </c>
      <c r="K67" s="251">
        <v>12.09</v>
      </c>
      <c r="L67" s="251">
        <v>15.39</v>
      </c>
      <c r="M67" s="251"/>
      <c r="N67" s="62">
        <f t="shared" si="24"/>
        <v>6072</v>
      </c>
      <c r="O67" s="62">
        <f t="shared" si="24"/>
        <v>7474.08</v>
      </c>
      <c r="P67" s="62">
        <f t="shared" si="24"/>
        <v>10079.52</v>
      </c>
      <c r="Q67" s="62">
        <f t="shared" si="24"/>
        <v>13347.36</v>
      </c>
      <c r="R67" s="62">
        <f t="shared" si="24"/>
        <v>16990.560000000001</v>
      </c>
      <c r="S67" s="75">
        <f>$E67*$G67*M67</f>
        <v>0</v>
      </c>
    </row>
    <row r="68" spans="1:19" s="16" customFormat="1">
      <c r="A68" s="8" t="s">
        <v>29</v>
      </c>
      <c r="B68" s="9" t="s">
        <v>232</v>
      </c>
      <c r="C68" s="25"/>
      <c r="D68" s="56"/>
      <c r="E68" s="25"/>
      <c r="F68" s="45"/>
      <c r="G68" s="45"/>
      <c r="H68" s="249" t="s">
        <v>199</v>
      </c>
      <c r="I68" s="249" t="s">
        <v>199</v>
      </c>
      <c r="J68" s="249" t="s">
        <v>199</v>
      </c>
      <c r="K68" s="249" t="s">
        <v>199</v>
      </c>
      <c r="L68" s="249" t="s">
        <v>199</v>
      </c>
      <c r="M68" s="249"/>
      <c r="N68" s="76">
        <f t="shared" ref="N68:S68" si="25">SUM(N69:N70)</f>
        <v>23555.920000000002</v>
      </c>
      <c r="O68" s="76">
        <f t="shared" si="25"/>
        <v>27767.160000000003</v>
      </c>
      <c r="P68" s="76">
        <f t="shared" si="25"/>
        <v>32811.64</v>
      </c>
      <c r="Q68" s="76">
        <f t="shared" si="25"/>
        <v>41008.92</v>
      </c>
      <c r="R68" s="76">
        <f t="shared" si="25"/>
        <v>51278.039999999994</v>
      </c>
      <c r="S68" s="77">
        <f t="shared" si="25"/>
        <v>0</v>
      </c>
    </row>
    <row r="69" spans="1:19">
      <c r="A69" s="7"/>
      <c r="B69" s="6" t="s">
        <v>238</v>
      </c>
      <c r="C69" s="18" t="s">
        <v>60</v>
      </c>
      <c r="D69" s="58"/>
      <c r="E69" s="18">
        <v>1</v>
      </c>
      <c r="F69" s="44">
        <f>VLOOKUP(B69,GiaVL!$B$4:'GiaVL'!$D$189,3,0)</f>
        <v>98800000</v>
      </c>
      <c r="G69" s="44">
        <f>F69/G$7</f>
        <v>49400</v>
      </c>
      <c r="H69" s="251">
        <v>10.46</v>
      </c>
      <c r="I69" s="251">
        <v>12.33</v>
      </c>
      <c r="J69" s="251">
        <v>14.57</v>
      </c>
      <c r="K69" s="251">
        <v>18.21</v>
      </c>
      <c r="L69" s="251">
        <v>22.77</v>
      </c>
      <c r="M69" s="251"/>
      <c r="N69" s="62">
        <f t="shared" ref="N69:R70" si="26">$E69*$G69*H69/25</f>
        <v>20668.960000000003</v>
      </c>
      <c r="O69" s="62">
        <f t="shared" si="26"/>
        <v>24364.080000000002</v>
      </c>
      <c r="P69" s="62">
        <f t="shared" si="26"/>
        <v>28790.32</v>
      </c>
      <c r="Q69" s="62">
        <f t="shared" si="26"/>
        <v>35982.959999999999</v>
      </c>
      <c r="R69" s="62">
        <f t="shared" si="26"/>
        <v>44993.52</v>
      </c>
      <c r="S69" s="75">
        <f>$E69*$G69*M69</f>
        <v>0</v>
      </c>
    </row>
    <row r="70" spans="1:19">
      <c r="A70" s="7"/>
      <c r="B70" s="6" t="s">
        <v>130</v>
      </c>
      <c r="C70" s="18" t="s">
        <v>59</v>
      </c>
      <c r="D70" s="58"/>
      <c r="E70" s="18">
        <v>1</v>
      </c>
      <c r="F70" s="44">
        <f>F67</f>
        <v>13800000</v>
      </c>
      <c r="G70" s="44">
        <f>F70/G$7</f>
        <v>6900</v>
      </c>
      <c r="H70" s="251">
        <v>10.46</v>
      </c>
      <c r="I70" s="251">
        <v>12.33</v>
      </c>
      <c r="J70" s="251">
        <v>14.57</v>
      </c>
      <c r="K70" s="251">
        <v>18.21</v>
      </c>
      <c r="L70" s="251">
        <v>22.77</v>
      </c>
      <c r="M70" s="251"/>
      <c r="N70" s="62">
        <f t="shared" si="26"/>
        <v>2886.96</v>
      </c>
      <c r="O70" s="62">
        <f t="shared" si="26"/>
        <v>3403.08</v>
      </c>
      <c r="P70" s="62">
        <f t="shared" si="26"/>
        <v>4021.32</v>
      </c>
      <c r="Q70" s="62">
        <f t="shared" si="26"/>
        <v>5025.96</v>
      </c>
      <c r="R70" s="62">
        <f t="shared" si="26"/>
        <v>6284.52</v>
      </c>
      <c r="S70" s="75">
        <f>$E70*$G70*M70</f>
        <v>0</v>
      </c>
    </row>
    <row r="71" spans="1:19" s="16" customFormat="1">
      <c r="A71" s="8" t="s">
        <v>30</v>
      </c>
      <c r="B71" s="9" t="s">
        <v>233</v>
      </c>
      <c r="C71" s="25"/>
      <c r="D71" s="56"/>
      <c r="E71" s="25"/>
      <c r="F71" s="45"/>
      <c r="G71" s="45"/>
      <c r="H71" s="249" t="s">
        <v>199</v>
      </c>
      <c r="I71" s="249" t="s">
        <v>199</v>
      </c>
      <c r="J71" s="249" t="s">
        <v>199</v>
      </c>
      <c r="K71" s="249" t="s">
        <v>199</v>
      </c>
      <c r="L71" s="249" t="s">
        <v>199</v>
      </c>
      <c r="M71" s="249"/>
      <c r="N71" s="76">
        <f t="shared" ref="N71:S71" si="27">SUM(N72:N73)</f>
        <v>8022.75</v>
      </c>
      <c r="O71" s="76">
        <f t="shared" si="27"/>
        <v>9452.77</v>
      </c>
      <c r="P71" s="76">
        <f t="shared" si="27"/>
        <v>11175.550000000001</v>
      </c>
      <c r="Q71" s="76">
        <f t="shared" si="27"/>
        <v>14525.400000000001</v>
      </c>
      <c r="R71" s="76">
        <f t="shared" si="27"/>
        <v>19051.920000000002</v>
      </c>
      <c r="S71" s="77">
        <f t="shared" si="27"/>
        <v>0</v>
      </c>
    </row>
    <row r="72" spans="1:19">
      <c r="A72" s="7"/>
      <c r="B72" s="6" t="s">
        <v>238</v>
      </c>
      <c r="C72" s="18" t="s">
        <v>60</v>
      </c>
      <c r="D72" s="58"/>
      <c r="E72" s="18">
        <v>1</v>
      </c>
      <c r="F72" s="44">
        <f>VLOOKUP(B72,GiaVL!$B$4:'GiaVL'!$D$189,3,0)</f>
        <v>98800000</v>
      </c>
      <c r="G72" s="44">
        <f>F72/G$7</f>
        <v>49400</v>
      </c>
      <c r="H72" s="251">
        <v>14.25</v>
      </c>
      <c r="I72" s="251">
        <v>16.79</v>
      </c>
      <c r="J72" s="251">
        <v>19.850000000000001</v>
      </c>
      <c r="K72" s="251">
        <v>25.8</v>
      </c>
      <c r="L72" s="251">
        <v>33.840000000000003</v>
      </c>
      <c r="M72" s="251"/>
      <c r="N72" s="62">
        <f t="shared" ref="N72:R73" si="28">$E72*$G72*H72/100</f>
        <v>7039.5</v>
      </c>
      <c r="O72" s="62">
        <f t="shared" si="28"/>
        <v>8294.26</v>
      </c>
      <c r="P72" s="62">
        <f t="shared" si="28"/>
        <v>9805.9000000000015</v>
      </c>
      <c r="Q72" s="62">
        <f t="shared" si="28"/>
        <v>12745.2</v>
      </c>
      <c r="R72" s="62">
        <f t="shared" si="28"/>
        <v>16716.960000000003</v>
      </c>
      <c r="S72" s="75">
        <f>$E72*$G72*M72</f>
        <v>0</v>
      </c>
    </row>
    <row r="73" spans="1:19">
      <c r="A73" s="7"/>
      <c r="B73" s="6" t="s">
        <v>130</v>
      </c>
      <c r="C73" s="18" t="s">
        <v>59</v>
      </c>
      <c r="D73" s="58"/>
      <c r="E73" s="18">
        <v>1</v>
      </c>
      <c r="F73" s="44">
        <f>F70</f>
        <v>13800000</v>
      </c>
      <c r="G73" s="44">
        <f>F73/G$7</f>
        <v>6900</v>
      </c>
      <c r="H73" s="251">
        <v>14.25</v>
      </c>
      <c r="I73" s="251">
        <v>16.79</v>
      </c>
      <c r="J73" s="251">
        <v>19.850000000000001</v>
      </c>
      <c r="K73" s="251">
        <v>25.8</v>
      </c>
      <c r="L73" s="251">
        <v>33.840000000000003</v>
      </c>
      <c r="M73" s="251"/>
      <c r="N73" s="62">
        <f t="shared" si="28"/>
        <v>983.25</v>
      </c>
      <c r="O73" s="62">
        <f t="shared" si="28"/>
        <v>1158.51</v>
      </c>
      <c r="P73" s="62">
        <f t="shared" si="28"/>
        <v>1369.65</v>
      </c>
      <c r="Q73" s="62">
        <f t="shared" si="28"/>
        <v>1780.2</v>
      </c>
      <c r="R73" s="62">
        <f t="shared" si="28"/>
        <v>2334.9600000000005</v>
      </c>
      <c r="S73" s="75">
        <f>$E73*$G73*M73</f>
        <v>0</v>
      </c>
    </row>
    <row r="74" spans="1:19" s="16" customFormat="1">
      <c r="A74" s="8" t="s">
        <v>31</v>
      </c>
      <c r="B74" s="9" t="s">
        <v>234</v>
      </c>
      <c r="C74" s="25"/>
      <c r="D74" s="56"/>
      <c r="E74" s="25"/>
      <c r="F74" s="45"/>
      <c r="G74" s="45"/>
      <c r="H74" s="249" t="s">
        <v>199</v>
      </c>
      <c r="I74" s="249" t="s">
        <v>199</v>
      </c>
      <c r="J74" s="249" t="s">
        <v>199</v>
      </c>
      <c r="K74" s="249" t="s">
        <v>199</v>
      </c>
      <c r="L74" s="249"/>
      <c r="M74" s="249"/>
      <c r="N74" s="76">
        <f t="shared" ref="N74:S74" si="29">SUM(N75:N76)</f>
        <v>3666.3811111111108</v>
      </c>
      <c r="O74" s="76">
        <f t="shared" si="29"/>
        <v>4398.2811111111114</v>
      </c>
      <c r="P74" s="76">
        <f t="shared" si="29"/>
        <v>4765.4822222222228</v>
      </c>
      <c r="Q74" s="76">
        <f t="shared" si="29"/>
        <v>5132.057777777778</v>
      </c>
      <c r="R74" s="76">
        <f t="shared" si="29"/>
        <v>0</v>
      </c>
      <c r="S74" s="77">
        <f t="shared" si="29"/>
        <v>0</v>
      </c>
    </row>
    <row r="75" spans="1:19">
      <c r="A75" s="7"/>
      <c r="B75" s="6" t="s">
        <v>238</v>
      </c>
      <c r="C75" s="18" t="s">
        <v>60</v>
      </c>
      <c r="D75" s="58"/>
      <c r="E75" s="18">
        <v>1</v>
      </c>
      <c r="F75" s="44">
        <f>VLOOKUP(B75,GiaVL!$B$4:'GiaVL'!$D$189,3,0)</f>
        <v>98800000</v>
      </c>
      <c r="G75" s="44">
        <f>F75/G$7</f>
        <v>49400</v>
      </c>
      <c r="H75" s="251">
        <v>58.61</v>
      </c>
      <c r="I75" s="251">
        <v>70.31</v>
      </c>
      <c r="J75" s="251">
        <v>76.180000000000007</v>
      </c>
      <c r="K75" s="251">
        <v>82.04</v>
      </c>
      <c r="L75" s="251"/>
      <c r="M75" s="251"/>
      <c r="N75" s="62">
        <f t="shared" ref="N75:Q76" si="30">$E75*$G75*H75/900</f>
        <v>3217.0377777777776</v>
      </c>
      <c r="O75" s="62">
        <f t="shared" si="30"/>
        <v>3859.2377777777779</v>
      </c>
      <c r="P75" s="62">
        <f t="shared" si="30"/>
        <v>4181.4355555555558</v>
      </c>
      <c r="Q75" s="62">
        <f t="shared" si="30"/>
        <v>4503.0844444444447</v>
      </c>
      <c r="R75" s="62">
        <f>$E75*$G75*L75</f>
        <v>0</v>
      </c>
      <c r="S75" s="75">
        <f>$E75*$G75*M75</f>
        <v>0</v>
      </c>
    </row>
    <row r="76" spans="1:19">
      <c r="A76" s="7"/>
      <c r="B76" s="6" t="s">
        <v>130</v>
      </c>
      <c r="C76" s="18" t="s">
        <v>59</v>
      </c>
      <c r="D76" s="58"/>
      <c r="E76" s="18">
        <v>1</v>
      </c>
      <c r="F76" s="44">
        <f>F73</f>
        <v>13800000</v>
      </c>
      <c r="G76" s="44">
        <f>F76/G$7</f>
        <v>6900</v>
      </c>
      <c r="H76" s="251">
        <v>58.61</v>
      </c>
      <c r="I76" s="251">
        <v>70.31</v>
      </c>
      <c r="J76" s="251">
        <v>76.180000000000007</v>
      </c>
      <c r="K76" s="251">
        <v>82.04</v>
      </c>
      <c r="L76" s="251"/>
      <c r="M76" s="251"/>
      <c r="N76" s="62">
        <f t="shared" si="30"/>
        <v>449.34333333333331</v>
      </c>
      <c r="O76" s="62">
        <f t="shared" si="30"/>
        <v>539.04333333333329</v>
      </c>
      <c r="P76" s="62">
        <f t="shared" si="30"/>
        <v>584.04666666666662</v>
      </c>
      <c r="Q76" s="62">
        <f t="shared" si="30"/>
        <v>628.97333333333336</v>
      </c>
      <c r="R76" s="62">
        <f>$E76*$G76*L76</f>
        <v>0</v>
      </c>
      <c r="S76" s="75">
        <f>$E76*$G76*M76</f>
        <v>0</v>
      </c>
    </row>
    <row r="77" spans="1:19" s="16" customFormat="1">
      <c r="A77" s="8" t="s">
        <v>37</v>
      </c>
      <c r="B77" s="9" t="s">
        <v>403</v>
      </c>
      <c r="C77" s="25"/>
      <c r="D77" s="56"/>
      <c r="E77" s="25"/>
      <c r="F77" s="45"/>
      <c r="G77" s="45"/>
      <c r="H77" s="249" t="s">
        <v>199</v>
      </c>
      <c r="I77" s="249" t="s">
        <v>199</v>
      </c>
      <c r="J77" s="249" t="s">
        <v>199</v>
      </c>
      <c r="K77" s="249" t="s">
        <v>199</v>
      </c>
      <c r="L77" s="249"/>
      <c r="M77" s="249"/>
      <c r="N77" s="76">
        <f t="shared" ref="N77:S77" si="31">SUM(N78:N79)</f>
        <v>1666.48</v>
      </c>
      <c r="O77" s="76">
        <f t="shared" si="31"/>
        <v>1999.2755555555555</v>
      </c>
      <c r="P77" s="76">
        <f t="shared" si="31"/>
        <v>2165.9861111111113</v>
      </c>
      <c r="Q77" s="76">
        <f t="shared" si="31"/>
        <v>2332.6966666666667</v>
      </c>
      <c r="R77" s="76">
        <f t="shared" si="31"/>
        <v>0</v>
      </c>
      <c r="S77" s="77">
        <f t="shared" si="31"/>
        <v>0</v>
      </c>
    </row>
    <row r="78" spans="1:19">
      <c r="A78" s="7"/>
      <c r="B78" s="6" t="s">
        <v>238</v>
      </c>
      <c r="C78" s="18" t="s">
        <v>60</v>
      </c>
      <c r="D78" s="58"/>
      <c r="E78" s="18">
        <v>1</v>
      </c>
      <c r="F78" s="44">
        <f>VLOOKUP(B78,GiaVL!$B$4:'GiaVL'!$D$189,3,0)</f>
        <v>98800000</v>
      </c>
      <c r="G78" s="44">
        <f>F78/G$7</f>
        <v>49400</v>
      </c>
      <c r="H78" s="251">
        <v>106.56</v>
      </c>
      <c r="I78" s="251">
        <v>127.84</v>
      </c>
      <c r="J78" s="251">
        <v>138.5</v>
      </c>
      <c r="K78" s="251">
        <v>149.16</v>
      </c>
      <c r="L78" s="251"/>
      <c r="M78" s="251"/>
      <c r="N78" s="62">
        <f t="shared" ref="N78:Q79" si="32">$E78*$G78*H78/3600</f>
        <v>1462.24</v>
      </c>
      <c r="O78" s="62">
        <f t="shared" si="32"/>
        <v>1754.2488888888888</v>
      </c>
      <c r="P78" s="62">
        <f t="shared" si="32"/>
        <v>1900.5277777777778</v>
      </c>
      <c r="Q78" s="62">
        <f t="shared" si="32"/>
        <v>2046.8066666666666</v>
      </c>
      <c r="R78" s="62">
        <f>$E78*$G78*L78</f>
        <v>0</v>
      </c>
      <c r="S78" s="75">
        <f>$E78*$G78*M78</f>
        <v>0</v>
      </c>
    </row>
    <row r="79" spans="1:19">
      <c r="A79" s="7"/>
      <c r="B79" s="6" t="s">
        <v>130</v>
      </c>
      <c r="C79" s="18" t="s">
        <v>59</v>
      </c>
      <c r="D79" s="58"/>
      <c r="E79" s="18">
        <v>1</v>
      </c>
      <c r="F79" s="44">
        <f>F76</f>
        <v>13800000</v>
      </c>
      <c r="G79" s="44">
        <f>F79/G$7</f>
        <v>6900</v>
      </c>
      <c r="H79" s="251">
        <v>106.56</v>
      </c>
      <c r="I79" s="251">
        <v>127.84</v>
      </c>
      <c r="J79" s="251">
        <v>138.5</v>
      </c>
      <c r="K79" s="251">
        <v>149.16</v>
      </c>
      <c r="L79" s="251"/>
      <c r="M79" s="251"/>
      <c r="N79" s="62">
        <f t="shared" si="32"/>
        <v>204.24</v>
      </c>
      <c r="O79" s="62">
        <f t="shared" si="32"/>
        <v>245.02666666666667</v>
      </c>
      <c r="P79" s="62">
        <f t="shared" si="32"/>
        <v>265.45833333333331</v>
      </c>
      <c r="Q79" s="62">
        <f t="shared" si="32"/>
        <v>285.89</v>
      </c>
      <c r="R79" s="62">
        <f>$E79*$G79*L79</f>
        <v>0</v>
      </c>
      <c r="S79" s="75">
        <f>$E79*$G79*M79</f>
        <v>0</v>
      </c>
    </row>
    <row r="80" spans="1:19">
      <c r="A80" s="7"/>
      <c r="B80" s="6"/>
      <c r="C80" s="18"/>
      <c r="D80" s="58"/>
      <c r="E80" s="18"/>
      <c r="F80" s="44"/>
      <c r="G80" s="44"/>
      <c r="H80" s="251"/>
      <c r="I80" s="251"/>
      <c r="J80" s="251"/>
      <c r="K80" s="251"/>
      <c r="L80" s="251"/>
      <c r="M80" s="251"/>
      <c r="N80" s="62"/>
      <c r="O80" s="62"/>
      <c r="P80" s="62"/>
      <c r="Q80" s="62"/>
      <c r="R80" s="62"/>
      <c r="S80" s="75"/>
    </row>
    <row r="81" spans="1:20" ht="40.5" customHeight="1">
      <c r="A81" s="7"/>
      <c r="B81" s="1172" t="s">
        <v>404</v>
      </c>
      <c r="C81" s="1172"/>
      <c r="D81" s="1172"/>
      <c r="E81" s="1172"/>
      <c r="F81" s="1172"/>
      <c r="G81" s="1172"/>
      <c r="H81" s="1172"/>
      <c r="I81" s="1172"/>
      <c r="J81" s="1172"/>
      <c r="K81" s="1172"/>
      <c r="L81" s="1172"/>
      <c r="M81" s="1172"/>
      <c r="N81" s="1172"/>
      <c r="O81" s="1172"/>
      <c r="P81" s="1172"/>
      <c r="Q81" s="1172"/>
      <c r="R81" s="1172"/>
      <c r="S81" s="1173"/>
    </row>
    <row r="82" spans="1:20">
      <c r="A82" s="7"/>
      <c r="B82" s="6"/>
      <c r="C82" s="18"/>
      <c r="D82" s="58"/>
      <c r="E82" s="18"/>
      <c r="F82" s="44"/>
      <c r="G82" s="44"/>
      <c r="H82" s="251"/>
      <c r="I82" s="251"/>
      <c r="J82" s="251"/>
      <c r="K82" s="251"/>
      <c r="L82" s="251"/>
      <c r="M82" s="251"/>
      <c r="N82" s="62"/>
      <c r="O82" s="62"/>
      <c r="P82" s="62"/>
      <c r="Q82" s="62"/>
      <c r="R82" s="62"/>
      <c r="S82" s="75"/>
    </row>
    <row r="83" spans="1:20">
      <c r="A83" s="71"/>
      <c r="B83" s="6"/>
      <c r="C83" s="18"/>
      <c r="D83" s="27"/>
      <c r="E83" s="6"/>
      <c r="F83" s="44"/>
      <c r="G83" s="44"/>
      <c r="H83" s="251"/>
      <c r="I83" s="251"/>
      <c r="J83" s="251"/>
      <c r="K83" s="251"/>
      <c r="L83" s="251"/>
      <c r="M83" s="251"/>
      <c r="N83" s="62"/>
      <c r="O83" s="62"/>
      <c r="P83" s="62"/>
      <c r="Q83" s="62"/>
      <c r="R83" s="62"/>
      <c r="S83" s="75"/>
    </row>
    <row r="84" spans="1:20" s="15" customFormat="1">
      <c r="A84" s="8" t="s">
        <v>220</v>
      </c>
      <c r="B84" s="9" t="s">
        <v>65</v>
      </c>
      <c r="C84" s="25"/>
      <c r="D84" s="56"/>
      <c r="E84" s="25"/>
      <c r="F84" s="28"/>
      <c r="G84" s="28"/>
      <c r="H84" s="249"/>
      <c r="I84" s="249"/>
      <c r="J84" s="249"/>
      <c r="K84" s="249"/>
      <c r="L84" s="249"/>
      <c r="M84" s="249"/>
      <c r="N84" s="76"/>
      <c r="O84" s="76"/>
      <c r="P84" s="76"/>
      <c r="Q84" s="76"/>
      <c r="R84" s="76"/>
      <c r="S84" s="77"/>
    </row>
    <row r="85" spans="1:20" s="15" customFormat="1">
      <c r="A85" s="8">
        <v>2</v>
      </c>
      <c r="B85" s="9" t="s">
        <v>123</v>
      </c>
      <c r="C85" s="25"/>
      <c r="D85" s="56"/>
      <c r="E85" s="25"/>
      <c r="F85" s="28"/>
      <c r="G85" s="28"/>
      <c r="H85" s="249"/>
      <c r="I85" s="249"/>
      <c r="J85" s="249"/>
      <c r="K85" s="249"/>
      <c r="L85" s="249"/>
      <c r="M85" s="249"/>
      <c r="N85" s="76"/>
      <c r="O85" s="76"/>
      <c r="P85" s="76"/>
      <c r="Q85" s="76"/>
      <c r="R85" s="76"/>
      <c r="S85" s="77"/>
    </row>
    <row r="86" spans="1:20" s="15" customFormat="1">
      <c r="A86" s="8">
        <v>2.1</v>
      </c>
      <c r="B86" s="54" t="s">
        <v>527</v>
      </c>
      <c r="C86" s="25"/>
      <c r="D86" s="56"/>
      <c r="E86" s="25"/>
      <c r="F86" s="45"/>
      <c r="G86" s="45"/>
      <c r="H86" s="249"/>
      <c r="I86" s="249"/>
      <c r="J86" s="249"/>
      <c r="K86" s="249"/>
      <c r="L86" s="249"/>
      <c r="M86" s="249"/>
      <c r="N86" s="76"/>
      <c r="O86" s="76"/>
      <c r="P86" s="76"/>
      <c r="Q86" s="76"/>
      <c r="R86" s="76"/>
      <c r="S86" s="77"/>
    </row>
    <row r="87" spans="1:20" s="15" customFormat="1">
      <c r="A87" s="35" t="s">
        <v>27</v>
      </c>
      <c r="B87" s="32" t="s">
        <v>639</v>
      </c>
      <c r="C87" s="38" t="s">
        <v>43</v>
      </c>
      <c r="D87" s="56"/>
      <c r="E87" s="37"/>
      <c r="F87" s="45"/>
      <c r="G87" s="45"/>
      <c r="H87" s="249"/>
      <c r="I87" s="249"/>
      <c r="J87" s="249"/>
      <c r="K87" s="249"/>
      <c r="L87" s="249"/>
      <c r="M87" s="249"/>
      <c r="N87" s="76">
        <f>SUM(N88:N92)</f>
        <v>118444.60357142857</v>
      </c>
      <c r="O87" s="76">
        <f>SUM(O88:O92)</f>
        <v>142590.73285714287</v>
      </c>
      <c r="P87" s="76">
        <f>SUM(P88:P92)</f>
        <v>164829.38928571431</v>
      </c>
      <c r="Q87" s="76">
        <f>SUM(Q88:Q92)</f>
        <v>203622.17071428572</v>
      </c>
      <c r="R87" s="76">
        <f>SUM(R88:R93)</f>
        <v>0</v>
      </c>
      <c r="S87" s="77">
        <f>SUM(S88:S93)</f>
        <v>0</v>
      </c>
    </row>
    <row r="88" spans="1:20" s="13" customFormat="1">
      <c r="A88" s="34" t="s">
        <v>43</v>
      </c>
      <c r="B88" s="23" t="s">
        <v>264</v>
      </c>
      <c r="C88" s="12" t="s">
        <v>91</v>
      </c>
      <c r="D88" s="58">
        <v>0.35</v>
      </c>
      <c r="E88" s="36">
        <v>1</v>
      </c>
      <c r="F88" s="44">
        <f>VLOOKUP(B88,GiaVL!$B$4:'GiaVL'!$D$189,3,0)</f>
        <v>13127000</v>
      </c>
      <c r="G88" s="44">
        <f>F88/G$5</f>
        <v>3750.5714285714284</v>
      </c>
      <c r="H88" s="251">
        <v>2.4500000000000002</v>
      </c>
      <c r="I88" s="251">
        <v>2.96</v>
      </c>
      <c r="J88" s="251">
        <v>3.43</v>
      </c>
      <c r="K88" s="251">
        <v>4.25</v>
      </c>
      <c r="L88" s="251"/>
      <c r="M88" s="251"/>
      <c r="N88" s="62">
        <f t="shared" ref="N88:S92" si="33">$E88*$G88*H88</f>
        <v>9188.9</v>
      </c>
      <c r="O88" s="62">
        <f t="shared" si="33"/>
        <v>11101.691428571428</v>
      </c>
      <c r="P88" s="62">
        <f t="shared" si="33"/>
        <v>12864.460000000001</v>
      </c>
      <c r="Q88" s="62">
        <f t="shared" si="33"/>
        <v>15939.928571428571</v>
      </c>
      <c r="R88" s="62">
        <f t="shared" si="33"/>
        <v>0</v>
      </c>
      <c r="S88" s="75">
        <f t="shared" si="33"/>
        <v>0</v>
      </c>
    </row>
    <row r="89" spans="1:20" s="13" customFormat="1">
      <c r="A89" s="34" t="s">
        <v>43</v>
      </c>
      <c r="B89" s="21" t="s">
        <v>169</v>
      </c>
      <c r="C89" s="12" t="s">
        <v>91</v>
      </c>
      <c r="D89" s="58"/>
      <c r="E89" s="36">
        <v>1</v>
      </c>
      <c r="F89" s="44">
        <f>VLOOKUP(B89,GiaVL!$B$4:'GiaVL'!$D$189,3,0)</f>
        <v>170790000</v>
      </c>
      <c r="G89" s="44">
        <f>F89/G$6</f>
        <v>42697.5</v>
      </c>
      <c r="H89" s="251">
        <v>2.4500000000000002</v>
      </c>
      <c r="I89" s="251">
        <v>2.96</v>
      </c>
      <c r="J89" s="251">
        <v>3.43</v>
      </c>
      <c r="K89" s="251">
        <v>4.25</v>
      </c>
      <c r="L89" s="251"/>
      <c r="M89" s="251"/>
      <c r="N89" s="62">
        <f t="shared" si="33"/>
        <v>104608.87500000001</v>
      </c>
      <c r="O89" s="62">
        <f t="shared" si="33"/>
        <v>126384.59999999999</v>
      </c>
      <c r="P89" s="62">
        <f t="shared" si="33"/>
        <v>146452.42500000002</v>
      </c>
      <c r="Q89" s="62">
        <f t="shared" si="33"/>
        <v>181464.375</v>
      </c>
      <c r="R89" s="62">
        <f t="shared" si="33"/>
        <v>0</v>
      </c>
      <c r="S89" s="75">
        <f t="shared" si="33"/>
        <v>0</v>
      </c>
    </row>
    <row r="90" spans="1:20" s="13" customFormat="1">
      <c r="A90" s="34" t="s">
        <v>43</v>
      </c>
      <c r="B90" s="65" t="s">
        <v>669</v>
      </c>
      <c r="C90" s="12" t="s">
        <v>91</v>
      </c>
      <c r="D90" s="18">
        <v>0.6</v>
      </c>
      <c r="E90" s="36">
        <v>1</v>
      </c>
      <c r="F90" s="63">
        <f>VLOOKUP(B90,GiaVL!$B$4:'GiaVL'!$D$189,3,0)</f>
        <v>4082000</v>
      </c>
      <c r="G90" s="63">
        <f>F90/G$5</f>
        <v>1166.2857142857142</v>
      </c>
      <c r="H90" s="251">
        <v>0.04</v>
      </c>
      <c r="I90" s="251">
        <v>0.05</v>
      </c>
      <c r="J90" s="251">
        <v>0.06</v>
      </c>
      <c r="K90" s="251">
        <v>7.0000000000000007E-2</v>
      </c>
      <c r="L90" s="251"/>
      <c r="M90" s="251"/>
      <c r="N90" s="78">
        <f t="shared" si="33"/>
        <v>46.651428571428568</v>
      </c>
      <c r="O90" s="78">
        <f t="shared" si="33"/>
        <v>58.314285714285717</v>
      </c>
      <c r="P90" s="78">
        <f t="shared" si="33"/>
        <v>69.977142857142852</v>
      </c>
      <c r="Q90" s="78">
        <f t="shared" si="33"/>
        <v>81.64</v>
      </c>
      <c r="R90" s="78">
        <f t="shared" si="33"/>
        <v>0</v>
      </c>
      <c r="S90" s="79">
        <f t="shared" si="33"/>
        <v>0</v>
      </c>
    </row>
    <row r="91" spans="1:20" s="13" customFormat="1">
      <c r="A91" s="34" t="s">
        <v>43</v>
      </c>
      <c r="B91" s="65" t="s">
        <v>247</v>
      </c>
      <c r="C91" s="12" t="s">
        <v>91</v>
      </c>
      <c r="D91" s="58">
        <v>0.4</v>
      </c>
      <c r="E91" s="36">
        <v>1</v>
      </c>
      <c r="F91" s="44">
        <f>VLOOKUP(B91,GiaVL!$B$4:'GiaVL'!$D$189,3,0)</f>
        <v>101818000</v>
      </c>
      <c r="G91" s="44">
        <f>F91/G$5</f>
        <v>29090.857142857141</v>
      </c>
      <c r="H91" s="251">
        <v>0.09</v>
      </c>
      <c r="I91" s="251">
        <v>0.09</v>
      </c>
      <c r="J91" s="251">
        <v>0.09</v>
      </c>
      <c r="K91" s="251">
        <v>0.09</v>
      </c>
      <c r="L91" s="251"/>
      <c r="M91" s="251"/>
      <c r="N91" s="62">
        <f t="shared" si="33"/>
        <v>2618.1771428571428</v>
      </c>
      <c r="O91" s="62">
        <f t="shared" si="33"/>
        <v>2618.1771428571428</v>
      </c>
      <c r="P91" s="62">
        <f t="shared" si="33"/>
        <v>2618.1771428571428</v>
      </c>
      <c r="Q91" s="62">
        <f t="shared" si="33"/>
        <v>2618.1771428571428</v>
      </c>
      <c r="R91" s="62">
        <f t="shared" si="33"/>
        <v>0</v>
      </c>
      <c r="S91" s="75">
        <f t="shared" si="33"/>
        <v>0</v>
      </c>
    </row>
    <row r="92" spans="1:20" s="20" customFormat="1" ht="13.5">
      <c r="A92" s="46" t="s">
        <v>43</v>
      </c>
      <c r="B92" s="6" t="s">
        <v>645</v>
      </c>
      <c r="C92" s="12" t="s">
        <v>91</v>
      </c>
      <c r="D92" s="58">
        <v>2.2000000000000002</v>
      </c>
      <c r="E92" s="36">
        <v>1</v>
      </c>
      <c r="F92" s="63">
        <f>VLOOKUP(B92,GiaVL!$B$4:'GiaVL'!$D$189,3,0)</f>
        <v>9910000</v>
      </c>
      <c r="G92" s="63">
        <f>F92/8/500</f>
        <v>2477.5</v>
      </c>
      <c r="H92" s="251">
        <v>0.8</v>
      </c>
      <c r="I92" s="251">
        <v>0.98</v>
      </c>
      <c r="J92" s="251">
        <v>1.1399999999999999</v>
      </c>
      <c r="K92" s="251">
        <v>1.42</v>
      </c>
      <c r="L92" s="251"/>
      <c r="M92" s="251"/>
      <c r="N92" s="78">
        <f t="shared" si="33"/>
        <v>1982</v>
      </c>
      <c r="O92" s="78">
        <f t="shared" si="33"/>
        <v>2427.9499999999998</v>
      </c>
      <c r="P92" s="78">
        <f t="shared" si="33"/>
        <v>2824.35</v>
      </c>
      <c r="Q92" s="78">
        <f t="shared" si="33"/>
        <v>3518.0499999999997</v>
      </c>
      <c r="R92" s="78">
        <f t="shared" si="33"/>
        <v>0</v>
      </c>
      <c r="S92" s="79">
        <f t="shared" si="33"/>
        <v>0</v>
      </c>
    </row>
    <row r="93" spans="1:20" s="13" customFormat="1" ht="13.5">
      <c r="A93" s="34" t="s">
        <v>43</v>
      </c>
      <c r="B93" s="21" t="s">
        <v>612</v>
      </c>
      <c r="C93" s="12" t="s">
        <v>117</v>
      </c>
      <c r="D93" s="57">
        <v>1</v>
      </c>
      <c r="E93" s="47"/>
      <c r="F93" s="44">
        <f>VLOOKUP(B93,GiaVL!$B$4:'GiaVL'!$D$189,3,0)</f>
        <v>2226</v>
      </c>
      <c r="G93" s="48">
        <f>D93*F93</f>
        <v>2226</v>
      </c>
      <c r="H93" s="251">
        <v>22.36</v>
      </c>
      <c r="I93" s="251">
        <v>27.25</v>
      </c>
      <c r="J93" s="251">
        <v>31.68</v>
      </c>
      <c r="K93" s="251">
        <v>39.35</v>
      </c>
      <c r="L93" s="251"/>
      <c r="M93" s="251"/>
      <c r="N93" s="76">
        <f t="shared" ref="N93:S93" si="34">$G93*H93</f>
        <v>49773.36</v>
      </c>
      <c r="O93" s="76">
        <f t="shared" si="34"/>
        <v>60658.5</v>
      </c>
      <c r="P93" s="76">
        <f t="shared" si="34"/>
        <v>70519.679999999993</v>
      </c>
      <c r="Q93" s="76">
        <f t="shared" si="34"/>
        <v>87593.1</v>
      </c>
      <c r="R93" s="76">
        <f t="shared" si="34"/>
        <v>0</v>
      </c>
      <c r="S93" s="74">
        <f t="shared" si="34"/>
        <v>0</v>
      </c>
    </row>
    <row r="94" spans="1:20" s="15" customFormat="1">
      <c r="A94" s="35" t="s">
        <v>28</v>
      </c>
      <c r="B94" s="32" t="s">
        <v>640</v>
      </c>
      <c r="C94" s="38" t="s">
        <v>43</v>
      </c>
      <c r="D94" s="56"/>
      <c r="E94" s="37"/>
      <c r="F94" s="45"/>
      <c r="G94" s="45"/>
      <c r="H94" s="249" t="s">
        <v>199</v>
      </c>
      <c r="I94" s="249" t="s">
        <v>199</v>
      </c>
      <c r="J94" s="249" t="s">
        <v>199</v>
      </c>
      <c r="K94" s="249" t="s">
        <v>199</v>
      </c>
      <c r="L94" s="249"/>
      <c r="M94" s="249"/>
      <c r="N94" s="76">
        <f>SUM(N95:N99)</f>
        <v>42044.979885714281</v>
      </c>
      <c r="O94" s="76">
        <f>SUM(O95:O99)</f>
        <v>51424.435428571436</v>
      </c>
      <c r="P94" s="76">
        <f>SUM(P95:P99)</f>
        <v>60657.123199999987</v>
      </c>
      <c r="Q94" s="76">
        <f>SUM(Q95:Q99)</f>
        <v>73072.67931428572</v>
      </c>
      <c r="R94" s="76">
        <f>SUM(R95:R99)</f>
        <v>87751.320914285709</v>
      </c>
      <c r="S94" s="77">
        <f>SUM(S95:S100)</f>
        <v>0</v>
      </c>
    </row>
    <row r="95" spans="1:20" s="13" customFormat="1">
      <c r="A95" s="34" t="s">
        <v>43</v>
      </c>
      <c r="B95" s="23" t="s">
        <v>264</v>
      </c>
      <c r="C95" s="12" t="s">
        <v>91</v>
      </c>
      <c r="D95" s="58">
        <v>0.35</v>
      </c>
      <c r="E95" s="36">
        <v>1</v>
      </c>
      <c r="F95" s="44">
        <f>VLOOKUP(B95,GiaVL!$B$4:'GiaVL'!$D$189,3,0)</f>
        <v>13127000</v>
      </c>
      <c r="G95" s="44">
        <f>F95/G$5</f>
        <v>3750.5714285714284</v>
      </c>
      <c r="H95" s="251">
        <v>5.5</v>
      </c>
      <c r="I95" s="251">
        <v>6.74</v>
      </c>
      <c r="J95" s="251">
        <v>7.96</v>
      </c>
      <c r="K95" s="251">
        <v>9.6</v>
      </c>
      <c r="L95" s="251">
        <v>11.54</v>
      </c>
      <c r="M95" s="251"/>
      <c r="N95" s="62">
        <f t="shared" ref="N95:R99" si="35">$E95*$G95*H95/6.25</f>
        <v>3300.502857142857</v>
      </c>
      <c r="O95" s="62">
        <f t="shared" si="35"/>
        <v>4044.616228571429</v>
      </c>
      <c r="P95" s="62">
        <f t="shared" si="35"/>
        <v>4776.727771428571</v>
      </c>
      <c r="Q95" s="62">
        <f t="shared" si="35"/>
        <v>5760.8777142857143</v>
      </c>
      <c r="R95" s="62">
        <f t="shared" si="35"/>
        <v>6925.0550857142844</v>
      </c>
      <c r="S95" s="75">
        <f>$E95*$G95*M95</f>
        <v>0</v>
      </c>
      <c r="T95" s="181"/>
    </row>
    <row r="96" spans="1:20" s="13" customFormat="1">
      <c r="A96" s="34" t="s">
        <v>43</v>
      </c>
      <c r="B96" s="21" t="s">
        <v>169</v>
      </c>
      <c r="C96" s="12" t="s">
        <v>91</v>
      </c>
      <c r="D96" s="58"/>
      <c r="E96" s="36">
        <v>1</v>
      </c>
      <c r="F96" s="44">
        <f>VLOOKUP(B96,GiaVL!$B$4:'GiaVL'!$D$189,3,0)</f>
        <v>170790000</v>
      </c>
      <c r="G96" s="44">
        <f>F96/G$6</f>
        <v>42697.5</v>
      </c>
      <c r="H96" s="251">
        <v>5.5</v>
      </c>
      <c r="I96" s="251">
        <v>6.74</v>
      </c>
      <c r="J96" s="251">
        <v>7.96</v>
      </c>
      <c r="K96" s="251">
        <v>9.6</v>
      </c>
      <c r="L96" s="251">
        <v>11.54</v>
      </c>
      <c r="M96" s="251"/>
      <c r="N96" s="62">
        <f t="shared" si="35"/>
        <v>37573.800000000003</v>
      </c>
      <c r="O96" s="62">
        <f t="shared" si="35"/>
        <v>46044.984000000004</v>
      </c>
      <c r="P96" s="62">
        <f t="shared" si="35"/>
        <v>54379.535999999993</v>
      </c>
      <c r="Q96" s="62">
        <f t="shared" si="35"/>
        <v>65583.360000000001</v>
      </c>
      <c r="R96" s="62">
        <f t="shared" si="35"/>
        <v>78836.66399999999</v>
      </c>
      <c r="S96" s="75">
        <f>$E96*$G96*M96</f>
        <v>0</v>
      </c>
      <c r="T96" s="181"/>
    </row>
    <row r="97" spans="1:20" s="13" customFormat="1">
      <c r="A97" s="34" t="s">
        <v>43</v>
      </c>
      <c r="B97" s="65" t="s">
        <v>669</v>
      </c>
      <c r="C97" s="12" t="s">
        <v>91</v>
      </c>
      <c r="D97" s="18">
        <v>0.6</v>
      </c>
      <c r="E97" s="36">
        <v>1</v>
      </c>
      <c r="F97" s="44">
        <f>VLOOKUP(B97,GiaVL!$B$4:'GiaVL'!$D$189,3,0)</f>
        <v>4082000</v>
      </c>
      <c r="G97" s="44">
        <f>F97/G$5</f>
        <v>1166.2857142857142</v>
      </c>
      <c r="H97" s="251">
        <v>0.12</v>
      </c>
      <c r="I97" s="251">
        <v>0.15</v>
      </c>
      <c r="J97" s="251">
        <v>0.19</v>
      </c>
      <c r="K97" s="251">
        <v>0.22</v>
      </c>
      <c r="L97" s="251">
        <v>0.26</v>
      </c>
      <c r="M97" s="251"/>
      <c r="N97" s="62">
        <f t="shared" si="35"/>
        <v>22.392685714285712</v>
      </c>
      <c r="O97" s="62">
        <f t="shared" si="35"/>
        <v>27.990857142857138</v>
      </c>
      <c r="P97" s="62">
        <f t="shared" si="35"/>
        <v>35.455085714285715</v>
      </c>
      <c r="Q97" s="62">
        <f t="shared" si="35"/>
        <v>41.053257142857134</v>
      </c>
      <c r="R97" s="62">
        <f t="shared" si="35"/>
        <v>48.517485714285712</v>
      </c>
      <c r="S97" s="75">
        <f>$E97*$G97*M97</f>
        <v>0</v>
      </c>
      <c r="T97" s="181"/>
    </row>
    <row r="98" spans="1:20" s="13" customFormat="1">
      <c r="A98" s="34" t="s">
        <v>43</v>
      </c>
      <c r="B98" s="65" t="s">
        <v>247</v>
      </c>
      <c r="C98" s="12" t="s">
        <v>91</v>
      </c>
      <c r="D98" s="58">
        <v>0.4</v>
      </c>
      <c r="E98" s="36">
        <v>1</v>
      </c>
      <c r="F98" s="44">
        <f>VLOOKUP(B98,GiaVL!$B$4:'GiaVL'!$D$189,3,0)</f>
        <v>101818000</v>
      </c>
      <c r="G98" s="44">
        <f>F98/G$5</f>
        <v>29090.857142857141</v>
      </c>
      <c r="H98" s="251">
        <v>0.09</v>
      </c>
      <c r="I98" s="251">
        <v>0.09</v>
      </c>
      <c r="J98" s="251">
        <v>0.09</v>
      </c>
      <c r="K98" s="251">
        <v>0.09</v>
      </c>
      <c r="L98" s="251">
        <v>0.09</v>
      </c>
      <c r="M98" s="251"/>
      <c r="N98" s="62">
        <f t="shared" si="35"/>
        <v>418.90834285714283</v>
      </c>
      <c r="O98" s="62">
        <f t="shared" si="35"/>
        <v>418.90834285714283</v>
      </c>
      <c r="P98" s="62">
        <f t="shared" si="35"/>
        <v>418.90834285714283</v>
      </c>
      <c r="Q98" s="62">
        <f t="shared" si="35"/>
        <v>418.90834285714283</v>
      </c>
      <c r="R98" s="62">
        <f t="shared" si="35"/>
        <v>418.90834285714283</v>
      </c>
      <c r="S98" s="75">
        <f>$E98*$G98*M98</f>
        <v>0</v>
      </c>
      <c r="T98" s="181"/>
    </row>
    <row r="99" spans="1:20" s="20" customFormat="1" ht="13.5">
      <c r="A99" s="46" t="s">
        <v>43</v>
      </c>
      <c r="B99" s="6" t="s">
        <v>645</v>
      </c>
      <c r="C99" s="12" t="s">
        <v>91</v>
      </c>
      <c r="D99" s="58">
        <v>2.2000000000000002</v>
      </c>
      <c r="E99" s="36">
        <v>1</v>
      </c>
      <c r="F99" s="44">
        <f>VLOOKUP(B99,GiaVL!$B$4:'GiaVL'!$D$189,3,0)</f>
        <v>9910000</v>
      </c>
      <c r="G99" s="44">
        <f>F99/8/500</f>
        <v>2477.5</v>
      </c>
      <c r="H99" s="251">
        <v>1.84</v>
      </c>
      <c r="I99" s="251">
        <v>2.2400000000000002</v>
      </c>
      <c r="J99" s="251">
        <v>2.64</v>
      </c>
      <c r="K99" s="251">
        <v>3.2</v>
      </c>
      <c r="L99" s="251">
        <v>3.84</v>
      </c>
      <c r="M99" s="251"/>
      <c r="N99" s="62">
        <f t="shared" si="35"/>
        <v>729.37600000000009</v>
      </c>
      <c r="O99" s="62">
        <f t="shared" si="35"/>
        <v>887.93600000000004</v>
      </c>
      <c r="P99" s="62">
        <f t="shared" si="35"/>
        <v>1046.4960000000001</v>
      </c>
      <c r="Q99" s="62">
        <f t="shared" si="35"/>
        <v>1268.48</v>
      </c>
      <c r="R99" s="62">
        <f t="shared" si="35"/>
        <v>1522.1760000000002</v>
      </c>
      <c r="S99" s="75">
        <f>$E99*$G99*M99</f>
        <v>0</v>
      </c>
      <c r="T99" s="182"/>
    </row>
    <row r="100" spans="1:20" s="13" customFormat="1" ht="13.5">
      <c r="A100" s="34" t="s">
        <v>43</v>
      </c>
      <c r="B100" s="21" t="s">
        <v>612</v>
      </c>
      <c r="C100" s="12" t="s">
        <v>117</v>
      </c>
      <c r="D100" s="57">
        <v>1</v>
      </c>
      <c r="E100" s="47"/>
      <c r="F100" s="44">
        <f>VLOOKUP(B100,GiaVL!$B$4:'GiaVL'!$D$189,3,0)</f>
        <v>2226</v>
      </c>
      <c r="G100" s="48">
        <f>D100*F100</f>
        <v>2226</v>
      </c>
      <c r="H100" s="251">
        <v>34.200000000000003</v>
      </c>
      <c r="I100" s="251">
        <v>62.16</v>
      </c>
      <c r="J100" s="251">
        <v>77.36</v>
      </c>
      <c r="K100" s="251">
        <v>88.67</v>
      </c>
      <c r="L100" s="251">
        <v>106.35</v>
      </c>
      <c r="M100" s="251"/>
      <c r="N100" s="76">
        <f>$G100*H100/6.25</f>
        <v>12180.672000000002</v>
      </c>
      <c r="O100" s="76">
        <f>$G100*I100/6.25</f>
        <v>22138.905600000002</v>
      </c>
      <c r="P100" s="76">
        <f>$G100*J100/6.25</f>
        <v>27552.537599999996</v>
      </c>
      <c r="Q100" s="76">
        <f>$G100*K100/6.25</f>
        <v>31580.707200000001</v>
      </c>
      <c r="R100" s="76">
        <f>$G100*L100/6.25</f>
        <v>37877.615999999995</v>
      </c>
      <c r="S100" s="74">
        <f>$G100*M100</f>
        <v>0</v>
      </c>
    </row>
    <row r="101" spans="1:20" s="15" customFormat="1">
      <c r="A101" s="35" t="s">
        <v>29</v>
      </c>
      <c r="B101" s="32" t="s">
        <v>641</v>
      </c>
      <c r="C101" s="38" t="s">
        <v>43</v>
      </c>
      <c r="D101" s="56"/>
      <c r="E101" s="37"/>
      <c r="F101" s="45"/>
      <c r="G101" s="45"/>
      <c r="H101" s="249" t="s">
        <v>199</v>
      </c>
      <c r="I101" s="249" t="s">
        <v>199</v>
      </c>
      <c r="J101" s="249" t="s">
        <v>199</v>
      </c>
      <c r="K101" s="249" t="s">
        <v>199</v>
      </c>
      <c r="L101" s="249" t="s">
        <v>199</v>
      </c>
      <c r="M101" s="249"/>
      <c r="N101" s="76">
        <f>SUM(N102:N106)</f>
        <v>18169.093057142858</v>
      </c>
      <c r="O101" s="76">
        <f>SUM(O102:O106)</f>
        <v>21673.290514285716</v>
      </c>
      <c r="P101" s="76">
        <f>SUM(P102:P106)</f>
        <v>28336.181657142854</v>
      </c>
      <c r="Q101" s="76">
        <f>SUM(Q102:Q106)</f>
        <v>35416.094400000002</v>
      </c>
      <c r="R101" s="76">
        <f>SUM(R102:R106)</f>
        <v>44252.788314285717</v>
      </c>
      <c r="S101" s="77">
        <f>SUM(S102:S107)</f>
        <v>0</v>
      </c>
    </row>
    <row r="102" spans="1:20" s="13" customFormat="1">
      <c r="A102" s="34" t="s">
        <v>43</v>
      </c>
      <c r="B102" s="23" t="s">
        <v>264</v>
      </c>
      <c r="C102" s="12" t="s">
        <v>91</v>
      </c>
      <c r="D102" s="58">
        <v>0.35</v>
      </c>
      <c r="E102" s="36">
        <v>1</v>
      </c>
      <c r="F102" s="44">
        <f>VLOOKUP(B102,GiaVL!$B$4:'GiaVL'!$D$189,3,0)</f>
        <v>13127000</v>
      </c>
      <c r="G102" s="44">
        <f>F102/G$5</f>
        <v>3750.5714285714284</v>
      </c>
      <c r="H102" s="251">
        <v>9.5500000000000007</v>
      </c>
      <c r="I102" s="251">
        <v>11.4</v>
      </c>
      <c r="J102" s="251">
        <v>14.92</v>
      </c>
      <c r="K102" s="251">
        <v>18.66</v>
      </c>
      <c r="L102" s="251">
        <v>23.33</v>
      </c>
      <c r="M102" s="251"/>
      <c r="N102" s="62">
        <f t="shared" ref="N102:R106" si="36">$E102*$G102*H102/25</f>
        <v>1432.7182857142857</v>
      </c>
      <c r="O102" s="62">
        <f t="shared" si="36"/>
        <v>1710.2605714285714</v>
      </c>
      <c r="P102" s="62">
        <f t="shared" si="36"/>
        <v>2238.3410285714285</v>
      </c>
      <c r="Q102" s="62">
        <f t="shared" si="36"/>
        <v>2799.4265142857143</v>
      </c>
      <c r="R102" s="62">
        <f t="shared" si="36"/>
        <v>3500.0332571428567</v>
      </c>
      <c r="S102" s="75">
        <f>$E102*$G102*M102</f>
        <v>0</v>
      </c>
    </row>
    <row r="103" spans="1:20" s="13" customFormat="1">
      <c r="A103" s="34" t="s">
        <v>43</v>
      </c>
      <c r="B103" s="21" t="s">
        <v>169</v>
      </c>
      <c r="C103" s="12" t="s">
        <v>91</v>
      </c>
      <c r="D103" s="58"/>
      <c r="E103" s="36">
        <v>1</v>
      </c>
      <c r="F103" s="44">
        <f>VLOOKUP(B103,GiaVL!$B$4:'GiaVL'!$D$189,3,0)</f>
        <v>170790000</v>
      </c>
      <c r="G103" s="44">
        <f>F103/G$6</f>
        <v>42697.5</v>
      </c>
      <c r="H103" s="251">
        <v>9.5500000000000007</v>
      </c>
      <c r="I103" s="251">
        <v>11.4</v>
      </c>
      <c r="J103" s="251">
        <v>14.92</v>
      </c>
      <c r="K103" s="251">
        <v>18.66</v>
      </c>
      <c r="L103" s="251">
        <v>23.33</v>
      </c>
      <c r="M103" s="251"/>
      <c r="N103" s="62">
        <f t="shared" si="36"/>
        <v>16310.445000000002</v>
      </c>
      <c r="O103" s="62">
        <f t="shared" si="36"/>
        <v>19470.060000000001</v>
      </c>
      <c r="P103" s="62">
        <f t="shared" si="36"/>
        <v>25481.867999999999</v>
      </c>
      <c r="Q103" s="62">
        <f t="shared" si="36"/>
        <v>31869.414000000001</v>
      </c>
      <c r="R103" s="62">
        <f t="shared" si="36"/>
        <v>39845.307000000001</v>
      </c>
      <c r="S103" s="75">
        <f>$E103*$G103*M103</f>
        <v>0</v>
      </c>
    </row>
    <row r="104" spans="1:20" s="13" customFormat="1">
      <c r="A104" s="34" t="s">
        <v>43</v>
      </c>
      <c r="B104" s="65" t="s">
        <v>669</v>
      </c>
      <c r="C104" s="12" t="s">
        <v>91</v>
      </c>
      <c r="D104" s="18">
        <v>0.6</v>
      </c>
      <c r="E104" s="36">
        <v>1</v>
      </c>
      <c r="F104" s="44">
        <f>VLOOKUP(B104,GiaVL!$B$4:'GiaVL'!$D$189,3,0)</f>
        <v>4082000</v>
      </c>
      <c r="G104" s="44">
        <f>F104/G$5</f>
        <v>1166.2857142857142</v>
      </c>
      <c r="H104" s="251">
        <v>0.13</v>
      </c>
      <c r="I104" s="251">
        <v>0.25</v>
      </c>
      <c r="J104" s="251">
        <v>0.38</v>
      </c>
      <c r="K104" s="251">
        <v>0.56000000000000005</v>
      </c>
      <c r="L104" s="251">
        <v>0.68</v>
      </c>
      <c r="M104" s="251"/>
      <c r="N104" s="62">
        <f t="shared" si="36"/>
        <v>6.064685714285714</v>
      </c>
      <c r="O104" s="62">
        <f t="shared" si="36"/>
        <v>11.662857142857142</v>
      </c>
      <c r="P104" s="62">
        <f t="shared" si="36"/>
        <v>17.727542857142858</v>
      </c>
      <c r="Q104" s="62">
        <f t="shared" si="36"/>
        <v>26.1248</v>
      </c>
      <c r="R104" s="62">
        <f t="shared" si="36"/>
        <v>31.722971428571427</v>
      </c>
      <c r="S104" s="75">
        <f>$E104*$G104*M104</f>
        <v>0</v>
      </c>
    </row>
    <row r="105" spans="1:20" s="13" customFormat="1">
      <c r="A105" s="34" t="s">
        <v>43</v>
      </c>
      <c r="B105" s="65" t="s">
        <v>247</v>
      </c>
      <c r="C105" s="12" t="s">
        <v>91</v>
      </c>
      <c r="D105" s="58">
        <v>0.4</v>
      </c>
      <c r="E105" s="36">
        <v>1</v>
      </c>
      <c r="F105" s="44">
        <f>VLOOKUP(B105,GiaVL!$B$4:'GiaVL'!$D$189,3,0)</f>
        <v>101818000</v>
      </c>
      <c r="G105" s="44">
        <f>F105/G$5</f>
        <v>29090.857142857141</v>
      </c>
      <c r="H105" s="251">
        <v>0.09</v>
      </c>
      <c r="I105" s="251">
        <v>0.09</v>
      </c>
      <c r="J105" s="251">
        <v>0.09</v>
      </c>
      <c r="K105" s="251">
        <v>0.09</v>
      </c>
      <c r="L105" s="251">
        <v>0.09</v>
      </c>
      <c r="M105" s="251"/>
      <c r="N105" s="62">
        <f t="shared" si="36"/>
        <v>104.72708571428571</v>
      </c>
      <c r="O105" s="62">
        <f t="shared" si="36"/>
        <v>104.72708571428571</v>
      </c>
      <c r="P105" s="62">
        <f t="shared" si="36"/>
        <v>104.72708571428571</v>
      </c>
      <c r="Q105" s="62">
        <f t="shared" si="36"/>
        <v>104.72708571428571</v>
      </c>
      <c r="R105" s="62">
        <f t="shared" si="36"/>
        <v>104.72708571428571</v>
      </c>
      <c r="S105" s="75">
        <f>$E105*$G105*M105</f>
        <v>0</v>
      </c>
    </row>
    <row r="106" spans="1:20" s="20" customFormat="1" ht="13.5">
      <c r="A106" s="46" t="s">
        <v>43</v>
      </c>
      <c r="B106" s="6" t="s">
        <v>645</v>
      </c>
      <c r="C106" s="12" t="s">
        <v>91</v>
      </c>
      <c r="D106" s="58">
        <v>2.2000000000000002</v>
      </c>
      <c r="E106" s="36">
        <v>1</v>
      </c>
      <c r="F106" s="44">
        <f>VLOOKUP(B106,GiaVL!$B$4:'GiaVL'!$D$189,3,0)</f>
        <v>9910000</v>
      </c>
      <c r="G106" s="44">
        <f>F106/8/500</f>
        <v>2477.5</v>
      </c>
      <c r="H106" s="251">
        <v>3.18</v>
      </c>
      <c r="I106" s="251">
        <v>3.8</v>
      </c>
      <c r="J106" s="251">
        <v>4.9800000000000004</v>
      </c>
      <c r="K106" s="251">
        <v>6.22</v>
      </c>
      <c r="L106" s="251">
        <v>7.78</v>
      </c>
      <c r="M106" s="251"/>
      <c r="N106" s="62">
        <f t="shared" si="36"/>
        <v>315.13800000000003</v>
      </c>
      <c r="O106" s="62">
        <f t="shared" si="36"/>
        <v>376.58</v>
      </c>
      <c r="P106" s="62">
        <f t="shared" si="36"/>
        <v>493.51800000000003</v>
      </c>
      <c r="Q106" s="62">
        <f t="shared" si="36"/>
        <v>616.40199999999993</v>
      </c>
      <c r="R106" s="62">
        <f t="shared" si="36"/>
        <v>770.99800000000005</v>
      </c>
      <c r="S106" s="75">
        <f>$E106*$G106*M106</f>
        <v>0</v>
      </c>
    </row>
    <row r="107" spans="1:20" s="13" customFormat="1" ht="13.5">
      <c r="A107" s="34" t="s">
        <v>43</v>
      </c>
      <c r="B107" s="21" t="s">
        <v>612</v>
      </c>
      <c r="C107" s="12" t="s">
        <v>117</v>
      </c>
      <c r="D107" s="57">
        <v>1</v>
      </c>
      <c r="E107" s="47"/>
      <c r="F107" s="44">
        <f>VLOOKUP(B107,GiaVL!$B$4:'GiaVL'!$D$189,3,0)</f>
        <v>2226</v>
      </c>
      <c r="G107" s="48">
        <f>D107*F107</f>
        <v>2226</v>
      </c>
      <c r="H107" s="251">
        <v>87.8</v>
      </c>
      <c r="I107" s="251">
        <v>105.3</v>
      </c>
      <c r="J107" s="251">
        <v>138.12</v>
      </c>
      <c r="K107" s="251">
        <v>172.93</v>
      </c>
      <c r="L107" s="251">
        <v>216.09</v>
      </c>
      <c r="M107" s="251"/>
      <c r="N107" s="76">
        <f>$G107*H107/25</f>
        <v>7817.7119999999995</v>
      </c>
      <c r="O107" s="76">
        <f>$G107*I107/25</f>
        <v>9375.9120000000003</v>
      </c>
      <c r="P107" s="76">
        <f>$G107*J107/25</f>
        <v>12298.2048</v>
      </c>
      <c r="Q107" s="76">
        <f>$G107*K107/25</f>
        <v>15397.6872</v>
      </c>
      <c r="R107" s="76">
        <f>$G107*L107/25</f>
        <v>19240.653600000001</v>
      </c>
      <c r="S107" s="74">
        <f>$G107*M107</f>
        <v>0</v>
      </c>
    </row>
    <row r="108" spans="1:20" s="15" customFormat="1">
      <c r="A108" s="35" t="s">
        <v>30</v>
      </c>
      <c r="B108" s="32" t="s">
        <v>642</v>
      </c>
      <c r="C108" s="38" t="s">
        <v>43</v>
      </c>
      <c r="D108" s="56"/>
      <c r="E108" s="37"/>
      <c r="F108" s="45"/>
      <c r="G108" s="45"/>
      <c r="H108" s="249" t="s">
        <v>199</v>
      </c>
      <c r="I108" s="249" t="s">
        <v>199</v>
      </c>
      <c r="J108" s="249" t="s">
        <v>199</v>
      </c>
      <c r="K108" s="249" t="s">
        <v>199</v>
      </c>
      <c r="L108" s="249" t="s">
        <v>199</v>
      </c>
      <c r="M108" s="249"/>
      <c r="N108" s="76">
        <f>SUM(N109:N113)</f>
        <v>10256.500685714285</v>
      </c>
      <c r="O108" s="76">
        <f>SUM(O109:O113)</f>
        <v>12325.293707142859</v>
      </c>
      <c r="P108" s="76">
        <f>SUM(P109:P113)</f>
        <v>14807.661892857144</v>
      </c>
      <c r="Q108" s="76">
        <f>SUM(Q109:Q113)</f>
        <v>11860.2181</v>
      </c>
      <c r="R108" s="76">
        <f>SUM(R109:R113)</f>
        <v>14846.741571428573</v>
      </c>
      <c r="S108" s="77">
        <f>SUM(S109:S114)</f>
        <v>0</v>
      </c>
    </row>
    <row r="109" spans="1:20" s="13" customFormat="1">
      <c r="A109" s="34" t="s">
        <v>43</v>
      </c>
      <c r="B109" s="23" t="s">
        <v>264</v>
      </c>
      <c r="C109" s="12" t="s">
        <v>91</v>
      </c>
      <c r="D109" s="58">
        <v>0.35</v>
      </c>
      <c r="E109" s="36">
        <v>1</v>
      </c>
      <c r="F109" s="44">
        <f>VLOOKUP(B109,GiaVL!$B$4:'GiaVL'!$D$189,3,0)</f>
        <v>13127000</v>
      </c>
      <c r="G109" s="44">
        <f>F109/G$5</f>
        <v>3750.5714285714284</v>
      </c>
      <c r="H109" s="251">
        <v>21.66</v>
      </c>
      <c r="I109" s="251">
        <v>26</v>
      </c>
      <c r="J109" s="251">
        <v>31.2</v>
      </c>
      <c r="K109" s="251">
        <v>25</v>
      </c>
      <c r="L109" s="251">
        <v>31.26</v>
      </c>
      <c r="M109" s="251"/>
      <c r="N109" s="62">
        <f t="shared" ref="N109:R113" si="37">$E109*$G109*H109/100</f>
        <v>812.37377142857133</v>
      </c>
      <c r="O109" s="62">
        <f t="shared" si="37"/>
        <v>975.14857142857147</v>
      </c>
      <c r="P109" s="62">
        <f t="shared" si="37"/>
        <v>1170.1782857142855</v>
      </c>
      <c r="Q109" s="62">
        <f t="shared" si="37"/>
        <v>937.64285714285711</v>
      </c>
      <c r="R109" s="62">
        <f t="shared" si="37"/>
        <v>1172.4286285714286</v>
      </c>
      <c r="S109" s="75">
        <f>$E109*$G109*M109</f>
        <v>0</v>
      </c>
    </row>
    <row r="110" spans="1:20" s="13" customFormat="1">
      <c r="A110" s="34" t="s">
        <v>43</v>
      </c>
      <c r="B110" s="21" t="s">
        <v>169</v>
      </c>
      <c r="C110" s="12" t="s">
        <v>91</v>
      </c>
      <c r="D110" s="58"/>
      <c r="E110" s="36">
        <v>1</v>
      </c>
      <c r="F110" s="44">
        <f>VLOOKUP(B110,GiaVL!$B$4:'GiaVL'!$D$189,3,0)</f>
        <v>170790000</v>
      </c>
      <c r="G110" s="44">
        <f>F110/G$6</f>
        <v>42697.5</v>
      </c>
      <c r="H110" s="251">
        <v>21.66</v>
      </c>
      <c r="I110" s="251">
        <v>26</v>
      </c>
      <c r="J110" s="251">
        <v>31.2</v>
      </c>
      <c r="K110" s="251">
        <v>25</v>
      </c>
      <c r="L110" s="251">
        <v>31.26</v>
      </c>
      <c r="M110" s="251"/>
      <c r="N110" s="62">
        <f t="shared" si="37"/>
        <v>9248.2785000000003</v>
      </c>
      <c r="O110" s="62">
        <f t="shared" si="37"/>
        <v>11101.35</v>
      </c>
      <c r="P110" s="62">
        <f t="shared" si="37"/>
        <v>13321.62</v>
      </c>
      <c r="Q110" s="62">
        <f t="shared" si="37"/>
        <v>10674.375</v>
      </c>
      <c r="R110" s="62">
        <f t="shared" si="37"/>
        <v>13347.238500000001</v>
      </c>
      <c r="S110" s="75">
        <f>$E110*$G110*M110</f>
        <v>0</v>
      </c>
    </row>
    <row r="111" spans="1:20" s="13" customFormat="1">
      <c r="A111" s="34" t="s">
        <v>43</v>
      </c>
      <c r="B111" s="65" t="s">
        <v>669</v>
      </c>
      <c r="C111" s="12" t="s">
        <v>91</v>
      </c>
      <c r="D111" s="18">
        <v>0.6</v>
      </c>
      <c r="E111" s="36">
        <v>1</v>
      </c>
      <c r="F111" s="44">
        <f>VLOOKUP(B111,GiaVL!$B$4:'GiaVL'!$D$189,3,0)</f>
        <v>4082000</v>
      </c>
      <c r="G111" s="44">
        <f>F111/G$5</f>
        <v>1166.2857142857142</v>
      </c>
      <c r="H111" s="251">
        <v>0.4</v>
      </c>
      <c r="I111" s="251">
        <v>0.67</v>
      </c>
      <c r="J111" s="251">
        <v>0.94</v>
      </c>
      <c r="K111" s="251">
        <v>1.32</v>
      </c>
      <c r="L111" s="251">
        <v>1.88</v>
      </c>
      <c r="M111" s="251"/>
      <c r="N111" s="62">
        <f t="shared" si="37"/>
        <v>4.6651428571428575</v>
      </c>
      <c r="O111" s="62">
        <f t="shared" si="37"/>
        <v>7.814114285714286</v>
      </c>
      <c r="P111" s="62">
        <f t="shared" si="37"/>
        <v>10.963085714285713</v>
      </c>
      <c r="Q111" s="62">
        <f t="shared" si="37"/>
        <v>15.394971428571427</v>
      </c>
      <c r="R111" s="62">
        <f t="shared" si="37"/>
        <v>21.926171428571426</v>
      </c>
      <c r="S111" s="75">
        <f>$E111*$G111*M111</f>
        <v>0</v>
      </c>
    </row>
    <row r="112" spans="1:20" s="13" customFormat="1">
      <c r="A112" s="34" t="s">
        <v>43</v>
      </c>
      <c r="B112" s="65" t="s">
        <v>247</v>
      </c>
      <c r="C112" s="12" t="s">
        <v>91</v>
      </c>
      <c r="D112" s="58">
        <v>0.4</v>
      </c>
      <c r="E112" s="36">
        <v>1</v>
      </c>
      <c r="F112" s="44">
        <f>VLOOKUP(B112,GiaVL!$B$4:'GiaVL'!$D$189,3,0)</f>
        <v>101818000</v>
      </c>
      <c r="G112" s="44">
        <f>F112/G$5</f>
        <v>29090.857142857141</v>
      </c>
      <c r="H112" s="251">
        <v>0.09</v>
      </c>
      <c r="I112" s="251">
        <v>0.09</v>
      </c>
      <c r="J112" s="251">
        <v>0.09</v>
      </c>
      <c r="K112" s="251">
        <v>0.09</v>
      </c>
      <c r="L112" s="251">
        <v>0.09</v>
      </c>
      <c r="M112" s="251"/>
      <c r="N112" s="62">
        <f t="shared" si="37"/>
        <v>26.181771428571427</v>
      </c>
      <c r="O112" s="62">
        <f t="shared" si="37"/>
        <v>26.181771428571427</v>
      </c>
      <c r="P112" s="62">
        <f t="shared" si="37"/>
        <v>26.181771428571427</v>
      </c>
      <c r="Q112" s="62">
        <f t="shared" si="37"/>
        <v>26.181771428571427</v>
      </c>
      <c r="R112" s="62">
        <f t="shared" si="37"/>
        <v>26.181771428571427</v>
      </c>
      <c r="S112" s="75">
        <f>$E112*$G112*M112</f>
        <v>0</v>
      </c>
    </row>
    <row r="113" spans="1:19" s="20" customFormat="1" ht="13.5">
      <c r="A113" s="46" t="s">
        <v>43</v>
      </c>
      <c r="B113" s="6" t="s">
        <v>645</v>
      </c>
      <c r="C113" s="12" t="s">
        <v>91</v>
      </c>
      <c r="D113" s="58">
        <v>2.2000000000000002</v>
      </c>
      <c r="E113" s="36">
        <v>1</v>
      </c>
      <c r="F113" s="44">
        <f>VLOOKUP(B113,GiaVL!$B$4:'GiaVL'!$D$189,3,0)</f>
        <v>9910000</v>
      </c>
      <c r="G113" s="44">
        <f>F113/8/500</f>
        <v>2477.5</v>
      </c>
      <c r="H113" s="251">
        <v>6.66</v>
      </c>
      <c r="I113" s="251">
        <v>8.67</v>
      </c>
      <c r="J113" s="251">
        <v>11.25</v>
      </c>
      <c r="K113" s="251">
        <v>8.34</v>
      </c>
      <c r="L113" s="251">
        <v>11.26</v>
      </c>
      <c r="M113" s="251"/>
      <c r="N113" s="62">
        <f t="shared" si="37"/>
        <v>165.00150000000002</v>
      </c>
      <c r="O113" s="62">
        <f t="shared" si="37"/>
        <v>214.79925</v>
      </c>
      <c r="P113" s="62">
        <f t="shared" si="37"/>
        <v>278.71875</v>
      </c>
      <c r="Q113" s="62">
        <f t="shared" si="37"/>
        <v>206.62349999999998</v>
      </c>
      <c r="R113" s="62">
        <f t="shared" si="37"/>
        <v>278.9665</v>
      </c>
      <c r="S113" s="75">
        <f>$E113*$G113*M113</f>
        <v>0</v>
      </c>
    </row>
    <row r="114" spans="1:19" s="13" customFormat="1" ht="13.5">
      <c r="A114" s="34" t="s">
        <v>43</v>
      </c>
      <c r="B114" s="21" t="s">
        <v>612</v>
      </c>
      <c r="C114" s="12" t="s">
        <v>117</v>
      </c>
      <c r="D114" s="57">
        <v>1</v>
      </c>
      <c r="E114" s="47"/>
      <c r="F114" s="44">
        <f>VLOOKUP(B114,GiaVL!$B$4:'GiaVL'!$D$189,3,0)</f>
        <v>2226</v>
      </c>
      <c r="G114" s="48">
        <f>D114*F114</f>
        <v>2226</v>
      </c>
      <c r="H114" s="251">
        <v>189.08</v>
      </c>
      <c r="I114" s="251">
        <v>240.34</v>
      </c>
      <c r="J114" s="251">
        <v>304.68</v>
      </c>
      <c r="K114" s="251">
        <v>234.57</v>
      </c>
      <c r="L114" s="251">
        <v>309.77</v>
      </c>
      <c r="M114" s="251"/>
      <c r="N114" s="76">
        <f>$G114*H114/100</f>
        <v>4208.9207999999999</v>
      </c>
      <c r="O114" s="76">
        <f>$G114*I114/100</f>
        <v>5349.9683999999997</v>
      </c>
      <c r="P114" s="76">
        <f>$G114*J114/100</f>
        <v>6782.1768000000002</v>
      </c>
      <c r="Q114" s="76">
        <f>$G114*K114/100</f>
        <v>5221.5281999999997</v>
      </c>
      <c r="R114" s="76">
        <f>$G114*L114/100</f>
        <v>6895.4801999999991</v>
      </c>
      <c r="S114" s="74">
        <f>$G114*M114</f>
        <v>0</v>
      </c>
    </row>
    <row r="115" spans="1:19" s="13" customFormat="1">
      <c r="A115" s="35" t="s">
        <v>31</v>
      </c>
      <c r="B115" s="32" t="s">
        <v>643</v>
      </c>
      <c r="C115" s="38" t="s">
        <v>43</v>
      </c>
      <c r="D115" s="56"/>
      <c r="E115" s="37"/>
      <c r="F115" s="45"/>
      <c r="G115" s="45"/>
      <c r="H115" s="249" t="s">
        <v>199</v>
      </c>
      <c r="I115" s="249" t="s">
        <v>199</v>
      </c>
      <c r="J115" s="249" t="s">
        <v>199</v>
      </c>
      <c r="K115" s="249" t="s">
        <v>199</v>
      </c>
      <c r="L115" s="249"/>
      <c r="M115" s="249"/>
      <c r="N115" s="76">
        <f>SUM(N116:N120)</f>
        <v>1405.8866095238097</v>
      </c>
      <c r="O115" s="76">
        <f>SUM(O116:O120)</f>
        <v>1897.3690150793648</v>
      </c>
      <c r="P115" s="76">
        <f>SUM(P116:P120)</f>
        <v>2560.0696571428566</v>
      </c>
      <c r="Q115" s="76">
        <f>SUM(Q116:Q120)</f>
        <v>3455.0985960317457</v>
      </c>
      <c r="R115" s="76">
        <f>SUM(R116:R121)</f>
        <v>0</v>
      </c>
      <c r="S115" s="77">
        <f>SUM(S116:S121)</f>
        <v>0</v>
      </c>
    </row>
    <row r="116" spans="1:19" s="13" customFormat="1">
      <c r="A116" s="34"/>
      <c r="B116" s="23" t="s">
        <v>264</v>
      </c>
      <c r="C116" s="12" t="s">
        <v>91</v>
      </c>
      <c r="D116" s="58">
        <v>0.35</v>
      </c>
      <c r="E116" s="36">
        <v>1</v>
      </c>
      <c r="F116" s="44">
        <f>VLOOKUP(B116,GiaVL!$B$4:'GiaVL'!$D$189,3,0)</f>
        <v>13127000</v>
      </c>
      <c r="G116" s="44">
        <f>F116/G$5</f>
        <v>3750.5714285714284</v>
      </c>
      <c r="H116" s="251">
        <v>26.7</v>
      </c>
      <c r="I116" s="251">
        <v>36.049999999999997</v>
      </c>
      <c r="J116" s="251">
        <v>48.66</v>
      </c>
      <c r="K116" s="251">
        <v>65.69</v>
      </c>
      <c r="L116" s="251"/>
      <c r="M116" s="251"/>
      <c r="N116" s="62">
        <f t="shared" ref="N116:Q120" si="38">$E116*$G116*H116/900</f>
        <v>111.26695238095238</v>
      </c>
      <c r="O116" s="62">
        <f t="shared" si="38"/>
        <v>150.23122222222219</v>
      </c>
      <c r="P116" s="62">
        <f t="shared" si="38"/>
        <v>202.78089523809521</v>
      </c>
      <c r="Q116" s="62">
        <f t="shared" si="38"/>
        <v>273.75004126984123</v>
      </c>
      <c r="R116" s="62">
        <f t="shared" ref="R116:S120" si="39">$E116*$G116*L116</f>
        <v>0</v>
      </c>
      <c r="S116" s="75">
        <f t="shared" si="39"/>
        <v>0</v>
      </c>
    </row>
    <row r="117" spans="1:19" s="13" customFormat="1">
      <c r="A117" s="34"/>
      <c r="B117" s="21" t="s">
        <v>169</v>
      </c>
      <c r="C117" s="12" t="s">
        <v>91</v>
      </c>
      <c r="D117" s="58"/>
      <c r="E117" s="36">
        <v>1</v>
      </c>
      <c r="F117" s="44">
        <f>VLOOKUP(B117,GiaVL!$B$4:'GiaVL'!$D$189,3,0)</f>
        <v>170790000</v>
      </c>
      <c r="G117" s="44">
        <f>F117/G$6</f>
        <v>42697.5</v>
      </c>
      <c r="H117" s="251">
        <v>26.7</v>
      </c>
      <c r="I117" s="251">
        <v>36.049999999999997</v>
      </c>
      <c r="J117" s="251">
        <v>48.66</v>
      </c>
      <c r="K117" s="251">
        <v>65.69</v>
      </c>
      <c r="L117" s="251"/>
      <c r="M117" s="251"/>
      <c r="N117" s="62">
        <f t="shared" si="38"/>
        <v>1266.6925000000001</v>
      </c>
      <c r="O117" s="62">
        <f t="shared" si="38"/>
        <v>1710.2720833333331</v>
      </c>
      <c r="P117" s="62">
        <f t="shared" si="38"/>
        <v>2308.5115000000001</v>
      </c>
      <c r="Q117" s="62">
        <f t="shared" si="38"/>
        <v>3116.4430833333331</v>
      </c>
      <c r="R117" s="62">
        <f t="shared" si="39"/>
        <v>0</v>
      </c>
      <c r="S117" s="75">
        <f t="shared" si="39"/>
        <v>0</v>
      </c>
    </row>
    <row r="118" spans="1:19" s="13" customFormat="1">
      <c r="A118" s="34"/>
      <c r="B118" s="65" t="s">
        <v>669</v>
      </c>
      <c r="C118" s="12" t="s">
        <v>91</v>
      </c>
      <c r="D118" s="18">
        <v>0.6</v>
      </c>
      <c r="E118" s="36">
        <v>1</v>
      </c>
      <c r="F118" s="44">
        <f>VLOOKUP(B118,GiaVL!$B$4:'GiaVL'!$D$189,3,0)</f>
        <v>4082000</v>
      </c>
      <c r="G118" s="44">
        <f>F118/G$5</f>
        <v>1166.2857142857142</v>
      </c>
      <c r="H118" s="251">
        <v>0.4</v>
      </c>
      <c r="I118" s="251">
        <v>0.67</v>
      </c>
      <c r="J118" s="251">
        <v>0.94</v>
      </c>
      <c r="K118" s="251">
        <v>1.32</v>
      </c>
      <c r="L118" s="251"/>
      <c r="M118" s="251"/>
      <c r="N118" s="62">
        <f t="shared" si="38"/>
        <v>0.51834920634920634</v>
      </c>
      <c r="O118" s="62">
        <f t="shared" si="38"/>
        <v>0.86823492063492069</v>
      </c>
      <c r="P118" s="62">
        <f t="shared" si="38"/>
        <v>1.2181206349206346</v>
      </c>
      <c r="Q118" s="62">
        <f t="shared" si="38"/>
        <v>1.7105523809523808</v>
      </c>
      <c r="R118" s="62">
        <f t="shared" si="39"/>
        <v>0</v>
      </c>
      <c r="S118" s="75">
        <f t="shared" si="39"/>
        <v>0</v>
      </c>
    </row>
    <row r="119" spans="1:19" s="13" customFormat="1">
      <c r="A119" s="34"/>
      <c r="B119" s="65" t="s">
        <v>247</v>
      </c>
      <c r="C119" s="12" t="s">
        <v>91</v>
      </c>
      <c r="D119" s="58">
        <v>0.4</v>
      </c>
      <c r="E119" s="36">
        <v>1</v>
      </c>
      <c r="F119" s="44">
        <f>VLOOKUP(B119,GiaVL!$B$4:'GiaVL'!$D$189,3,0)</f>
        <v>101818000</v>
      </c>
      <c r="G119" s="44">
        <f>F119/G$5</f>
        <v>29090.857142857141</v>
      </c>
      <c r="H119" s="251">
        <v>0.09</v>
      </c>
      <c r="I119" s="251">
        <v>0.09</v>
      </c>
      <c r="J119" s="251">
        <v>0.09</v>
      </c>
      <c r="K119" s="251">
        <v>0.09</v>
      </c>
      <c r="L119" s="251"/>
      <c r="M119" s="251"/>
      <c r="N119" s="62">
        <f t="shared" si="38"/>
        <v>2.9090857142857143</v>
      </c>
      <c r="O119" s="62">
        <f t="shared" si="38"/>
        <v>2.9090857142857143</v>
      </c>
      <c r="P119" s="62">
        <f t="shared" si="38"/>
        <v>2.9090857142857143</v>
      </c>
      <c r="Q119" s="62">
        <f t="shared" si="38"/>
        <v>2.9090857142857143</v>
      </c>
      <c r="R119" s="62">
        <f t="shared" si="39"/>
        <v>0</v>
      </c>
      <c r="S119" s="75">
        <f t="shared" si="39"/>
        <v>0</v>
      </c>
    </row>
    <row r="120" spans="1:19" s="13" customFormat="1">
      <c r="A120" s="34"/>
      <c r="B120" s="6" t="s">
        <v>645</v>
      </c>
      <c r="C120" s="12" t="s">
        <v>91</v>
      </c>
      <c r="D120" s="58">
        <v>2.2000000000000002</v>
      </c>
      <c r="E120" s="36">
        <v>1</v>
      </c>
      <c r="F120" s="44">
        <f>VLOOKUP(B120,GiaVL!$B$4:'GiaVL'!$D$189,3,0)</f>
        <v>9910000</v>
      </c>
      <c r="G120" s="44">
        <f>F120/8/500</f>
        <v>2477.5</v>
      </c>
      <c r="H120" s="251">
        <v>8.9</v>
      </c>
      <c r="I120" s="251">
        <v>12.02</v>
      </c>
      <c r="J120" s="251">
        <v>16.22</v>
      </c>
      <c r="K120" s="251">
        <v>21.9</v>
      </c>
      <c r="L120" s="251"/>
      <c r="M120" s="251"/>
      <c r="N120" s="62">
        <f t="shared" si="38"/>
        <v>24.499722222222221</v>
      </c>
      <c r="O120" s="62">
        <f t="shared" si="38"/>
        <v>33.088388888888886</v>
      </c>
      <c r="P120" s="62">
        <f t="shared" si="38"/>
        <v>44.650055555555554</v>
      </c>
      <c r="Q120" s="62">
        <f t="shared" si="38"/>
        <v>60.285833333333336</v>
      </c>
      <c r="R120" s="62">
        <f t="shared" si="39"/>
        <v>0</v>
      </c>
      <c r="S120" s="75">
        <f t="shared" si="39"/>
        <v>0</v>
      </c>
    </row>
    <row r="121" spans="1:19" s="13" customFormat="1" ht="13.5">
      <c r="A121" s="34"/>
      <c r="B121" s="21" t="s">
        <v>612</v>
      </c>
      <c r="C121" s="12" t="s">
        <v>117</v>
      </c>
      <c r="D121" s="57">
        <v>1</v>
      </c>
      <c r="E121" s="47"/>
      <c r="F121" s="44">
        <f>VLOOKUP(B121,GiaVL!$B$4:'GiaVL'!$D$189,3,0)</f>
        <v>2226</v>
      </c>
      <c r="G121" s="48">
        <f>D121*F121</f>
        <v>2226</v>
      </c>
      <c r="H121" s="251">
        <v>245.28</v>
      </c>
      <c r="I121" s="251">
        <v>331.79</v>
      </c>
      <c r="J121" s="251">
        <v>776.26</v>
      </c>
      <c r="K121" s="251">
        <v>1376.31</v>
      </c>
      <c r="L121" s="251"/>
      <c r="M121" s="251"/>
      <c r="N121" s="76">
        <f>$G121*H121/900</f>
        <v>606.65920000000006</v>
      </c>
      <c r="O121" s="76">
        <f>$G121*I121/900</f>
        <v>820.62726666666674</v>
      </c>
      <c r="P121" s="76">
        <f>$G121*J121/900</f>
        <v>1919.9497333333334</v>
      </c>
      <c r="Q121" s="76">
        <f>$G121*K121/900</f>
        <v>3404.0734000000002</v>
      </c>
      <c r="R121" s="76">
        <f>$G121*L121</f>
        <v>0</v>
      </c>
      <c r="S121" s="74">
        <f>$G121*M121</f>
        <v>0</v>
      </c>
    </row>
    <row r="122" spans="1:19" s="15" customFormat="1">
      <c r="A122" s="35" t="s">
        <v>37</v>
      </c>
      <c r="B122" s="32" t="s">
        <v>644</v>
      </c>
      <c r="C122" s="38" t="s">
        <v>43</v>
      </c>
      <c r="D122" s="56"/>
      <c r="E122" s="37"/>
      <c r="F122" s="45"/>
      <c r="G122" s="45"/>
      <c r="H122" s="249" t="s">
        <v>199</v>
      </c>
      <c r="I122" s="249" t="s">
        <v>199</v>
      </c>
      <c r="J122" s="249" t="s">
        <v>199</v>
      </c>
      <c r="K122" s="249" t="s">
        <v>199</v>
      </c>
      <c r="L122" s="249"/>
      <c r="M122" s="249"/>
      <c r="N122" s="76">
        <f>SUM(N123:N127)</f>
        <v>456.87427190476194</v>
      </c>
      <c r="O122" s="76">
        <f>SUM(O123:O127)</f>
        <v>616.45460634920619</v>
      </c>
      <c r="P122" s="76">
        <f>SUM(P123:P127)</f>
        <v>831.76736686507934</v>
      </c>
      <c r="Q122" s="76">
        <f>SUM(Q123:Q127)</f>
        <v>1122.6318710317462</v>
      </c>
      <c r="R122" s="76">
        <f>SUM(R123:R128)</f>
        <v>0</v>
      </c>
      <c r="S122" s="77">
        <f>SUM(S123:S128)</f>
        <v>0</v>
      </c>
    </row>
    <row r="123" spans="1:19" s="13" customFormat="1">
      <c r="A123" s="34" t="s">
        <v>43</v>
      </c>
      <c r="B123" s="23" t="s">
        <v>264</v>
      </c>
      <c r="C123" s="12" t="s">
        <v>91</v>
      </c>
      <c r="D123" s="58">
        <v>0.35</v>
      </c>
      <c r="E123" s="36">
        <v>1</v>
      </c>
      <c r="F123" s="44">
        <f>VLOOKUP(B123,GiaVL!$B$4:'GiaVL'!$D$189,3,0)</f>
        <v>13127000</v>
      </c>
      <c r="G123" s="44">
        <f>F123/G$5</f>
        <v>3750.5714285714284</v>
      </c>
      <c r="H123" s="251">
        <v>34.71</v>
      </c>
      <c r="I123" s="251">
        <v>46.86</v>
      </c>
      <c r="J123" s="251">
        <v>63.25</v>
      </c>
      <c r="K123" s="251">
        <v>85.39</v>
      </c>
      <c r="L123" s="251"/>
      <c r="M123" s="251"/>
      <c r="N123" s="62">
        <f t="shared" ref="N123:Q127" si="40">$E123*$G123*H123/3600</f>
        <v>36.161759523809522</v>
      </c>
      <c r="O123" s="62">
        <f t="shared" si="40"/>
        <v>48.819938095238093</v>
      </c>
      <c r="P123" s="62">
        <f t="shared" si="40"/>
        <v>65.895456349206341</v>
      </c>
      <c r="Q123" s="62">
        <f t="shared" si="40"/>
        <v>88.96147063492063</v>
      </c>
      <c r="R123" s="62">
        <f t="shared" ref="R123:S127" si="41">$E123*$G123*L123</f>
        <v>0</v>
      </c>
      <c r="S123" s="75">
        <f t="shared" si="41"/>
        <v>0</v>
      </c>
    </row>
    <row r="124" spans="1:19" s="13" customFormat="1">
      <c r="A124" s="34" t="s">
        <v>43</v>
      </c>
      <c r="B124" s="21" t="s">
        <v>169</v>
      </c>
      <c r="C124" s="12" t="s">
        <v>91</v>
      </c>
      <c r="D124" s="58"/>
      <c r="E124" s="36">
        <v>1</v>
      </c>
      <c r="F124" s="44">
        <f>VLOOKUP(B124,GiaVL!$B$4:'GiaVL'!$D$189,3,0)</f>
        <v>170790000</v>
      </c>
      <c r="G124" s="44">
        <f>F124/G$6</f>
        <v>42697.5</v>
      </c>
      <c r="H124" s="251">
        <v>34.71</v>
      </c>
      <c r="I124" s="251">
        <v>46.86</v>
      </c>
      <c r="J124" s="251">
        <v>63.25</v>
      </c>
      <c r="K124" s="251">
        <v>85.39</v>
      </c>
      <c r="L124" s="251"/>
      <c r="M124" s="251"/>
      <c r="N124" s="62">
        <f t="shared" si="40"/>
        <v>411.67506250000002</v>
      </c>
      <c r="O124" s="62">
        <f t="shared" si="40"/>
        <v>555.77912499999991</v>
      </c>
      <c r="P124" s="62">
        <f t="shared" si="40"/>
        <v>750.17135416666667</v>
      </c>
      <c r="Q124" s="62">
        <f t="shared" si="40"/>
        <v>1012.7609791666666</v>
      </c>
      <c r="R124" s="62">
        <f t="shared" si="41"/>
        <v>0</v>
      </c>
      <c r="S124" s="75">
        <f t="shared" si="41"/>
        <v>0</v>
      </c>
    </row>
    <row r="125" spans="1:19" s="13" customFormat="1">
      <c r="A125" s="34" t="s">
        <v>43</v>
      </c>
      <c r="B125" s="65" t="s">
        <v>669</v>
      </c>
      <c r="C125" s="12" t="s">
        <v>91</v>
      </c>
      <c r="D125" s="18">
        <v>0.6</v>
      </c>
      <c r="E125" s="36">
        <v>1</v>
      </c>
      <c r="F125" s="44">
        <f>VLOOKUP(B125,GiaVL!$B$4:'GiaVL'!$D$189,3,0)</f>
        <v>4082000</v>
      </c>
      <c r="G125" s="44">
        <f>F125/G$5</f>
        <v>1166.2857142857142</v>
      </c>
      <c r="H125" s="251">
        <v>0.4</v>
      </c>
      <c r="I125" s="251">
        <v>0.67</v>
      </c>
      <c r="J125" s="251">
        <v>0.94</v>
      </c>
      <c r="K125" s="251">
        <v>1.32</v>
      </c>
      <c r="L125" s="251"/>
      <c r="M125" s="251"/>
      <c r="N125" s="62">
        <f t="shared" si="40"/>
        <v>0.12958730158730158</v>
      </c>
      <c r="O125" s="62">
        <f t="shared" si="40"/>
        <v>0.21705873015873017</v>
      </c>
      <c r="P125" s="62">
        <f t="shared" si="40"/>
        <v>0.30453015873015865</v>
      </c>
      <c r="Q125" s="62">
        <f t="shared" si="40"/>
        <v>0.42763809523809521</v>
      </c>
      <c r="R125" s="62">
        <f t="shared" si="41"/>
        <v>0</v>
      </c>
      <c r="S125" s="75">
        <f t="shared" si="41"/>
        <v>0</v>
      </c>
    </row>
    <row r="126" spans="1:19" s="13" customFormat="1">
      <c r="A126" s="34" t="s">
        <v>43</v>
      </c>
      <c r="B126" s="65" t="s">
        <v>247</v>
      </c>
      <c r="C126" s="12" t="s">
        <v>91</v>
      </c>
      <c r="D126" s="58">
        <v>0.4</v>
      </c>
      <c r="E126" s="36">
        <v>1</v>
      </c>
      <c r="F126" s="44">
        <f>VLOOKUP(B126,GiaVL!$B$4:'GiaVL'!$D$189,3,0)</f>
        <v>101818000</v>
      </c>
      <c r="G126" s="44">
        <f>F126/G$5</f>
        <v>29090.857142857141</v>
      </c>
      <c r="H126" s="251">
        <v>0.11700000000000001</v>
      </c>
      <c r="I126" s="251">
        <v>0.11</v>
      </c>
      <c r="J126" s="251">
        <v>0.11</v>
      </c>
      <c r="K126" s="251">
        <v>0.11</v>
      </c>
      <c r="L126" s="251"/>
      <c r="M126" s="251"/>
      <c r="N126" s="62">
        <f t="shared" si="40"/>
        <v>0.94545285714285721</v>
      </c>
      <c r="O126" s="62">
        <f t="shared" si="40"/>
        <v>0.88888730158730156</v>
      </c>
      <c r="P126" s="62">
        <f t="shared" si="40"/>
        <v>0.88888730158730156</v>
      </c>
      <c r="Q126" s="62">
        <f t="shared" si="40"/>
        <v>0.88888730158730156</v>
      </c>
      <c r="R126" s="62">
        <f t="shared" si="41"/>
        <v>0</v>
      </c>
      <c r="S126" s="75">
        <f t="shared" si="41"/>
        <v>0</v>
      </c>
    </row>
    <row r="127" spans="1:19" s="20" customFormat="1" ht="13.5">
      <c r="A127" s="46" t="s">
        <v>43</v>
      </c>
      <c r="B127" s="6" t="s">
        <v>645</v>
      </c>
      <c r="C127" s="12" t="s">
        <v>91</v>
      </c>
      <c r="D127" s="58">
        <v>2.2000000000000002</v>
      </c>
      <c r="E127" s="36">
        <v>1</v>
      </c>
      <c r="F127" s="44">
        <f>VLOOKUP(B127,GiaVL!$B$4:'GiaVL'!$D$189,3,0)</f>
        <v>9910000</v>
      </c>
      <c r="G127" s="44">
        <f>F127/8/500</f>
        <v>2477.5</v>
      </c>
      <c r="H127" s="251">
        <v>11.57</v>
      </c>
      <c r="I127" s="251">
        <v>15.62</v>
      </c>
      <c r="J127" s="251">
        <v>21.08</v>
      </c>
      <c r="K127" s="251">
        <v>28.47</v>
      </c>
      <c r="L127" s="251"/>
      <c r="M127" s="251"/>
      <c r="N127" s="62">
        <f t="shared" si="40"/>
        <v>7.9624097222222217</v>
      </c>
      <c r="O127" s="62">
        <f t="shared" si="40"/>
        <v>10.749597222222221</v>
      </c>
      <c r="P127" s="62">
        <f t="shared" si="40"/>
        <v>14.507138888888887</v>
      </c>
      <c r="Q127" s="62">
        <f t="shared" si="40"/>
        <v>19.592895833333333</v>
      </c>
      <c r="R127" s="62">
        <f t="shared" si="41"/>
        <v>0</v>
      </c>
      <c r="S127" s="75">
        <f t="shared" si="41"/>
        <v>0</v>
      </c>
    </row>
    <row r="128" spans="1:19" s="13" customFormat="1" ht="13.5">
      <c r="A128" s="34" t="s">
        <v>43</v>
      </c>
      <c r="B128" s="21" t="s">
        <v>612</v>
      </c>
      <c r="C128" s="12" t="s">
        <v>117</v>
      </c>
      <c r="D128" s="57">
        <v>1</v>
      </c>
      <c r="E128" s="47"/>
      <c r="F128" s="44">
        <f>VLOOKUP(B128,GiaVL!$B$4:'GiaVL'!$D$189,3,0)</f>
        <v>2226</v>
      </c>
      <c r="G128" s="48">
        <f>D128*F128</f>
        <v>2226</v>
      </c>
      <c r="H128" s="251">
        <v>318.27</v>
      </c>
      <c r="I128" s="251">
        <v>430.32</v>
      </c>
      <c r="J128" s="251">
        <v>1007.71</v>
      </c>
      <c r="K128" s="251">
        <v>1787.2</v>
      </c>
      <c r="L128" s="251"/>
      <c r="M128" s="251"/>
      <c r="N128" s="76">
        <f>$G128*H128/3600</f>
        <v>196.79694999999998</v>
      </c>
      <c r="O128" s="76">
        <f>$G128*I128/3600</f>
        <v>266.08119999999997</v>
      </c>
      <c r="P128" s="76">
        <f>$G128*J128/3600</f>
        <v>623.10068333333334</v>
      </c>
      <c r="Q128" s="76">
        <f>$G128*K128/3600</f>
        <v>1105.0853333333334</v>
      </c>
      <c r="R128" s="76">
        <f>$G128*L128</f>
        <v>0</v>
      </c>
      <c r="S128" s="74">
        <f>$G128*M128</f>
        <v>0</v>
      </c>
    </row>
    <row r="129" spans="1:19" s="13" customFormat="1">
      <c r="A129" s="35" t="s">
        <v>34</v>
      </c>
      <c r="B129" s="32" t="s">
        <v>646</v>
      </c>
      <c r="C129" s="38" t="s">
        <v>43</v>
      </c>
      <c r="D129" s="58"/>
      <c r="E129" s="37"/>
      <c r="F129" s="44"/>
      <c r="G129" s="44"/>
      <c r="H129" s="251"/>
      <c r="I129" s="251"/>
      <c r="J129" s="251"/>
      <c r="K129" s="251"/>
      <c r="L129" s="251"/>
      <c r="M129" s="251"/>
      <c r="N129" s="62"/>
      <c r="O129" s="62"/>
      <c r="P129" s="62"/>
      <c r="Q129" s="62"/>
      <c r="R129" s="62"/>
      <c r="S129" s="75"/>
    </row>
    <row r="130" spans="1:19" s="15" customFormat="1">
      <c r="A130" s="35" t="s">
        <v>27</v>
      </c>
      <c r="B130" s="32" t="s">
        <v>639</v>
      </c>
      <c r="C130" s="38" t="s">
        <v>43</v>
      </c>
      <c r="D130" s="56"/>
      <c r="E130" s="37"/>
      <c r="F130" s="45"/>
      <c r="G130" s="45"/>
      <c r="H130" s="249"/>
      <c r="I130" s="249"/>
      <c r="J130" s="249"/>
      <c r="K130" s="249"/>
      <c r="L130" s="249"/>
      <c r="M130" s="249"/>
      <c r="N130" s="76">
        <f>SUM(N131:N132)</f>
        <v>15882.060714285715</v>
      </c>
      <c r="O130" s="76">
        <f>SUM(O131:O132)</f>
        <v>15882.060714285715</v>
      </c>
      <c r="P130" s="76">
        <f>SUM(P131:P132)</f>
        <v>15882.060714285715</v>
      </c>
      <c r="Q130" s="76">
        <f>SUM(Q131:Q132)</f>
        <v>15882.060714285715</v>
      </c>
      <c r="R130" s="76"/>
      <c r="S130" s="77"/>
    </row>
    <row r="131" spans="1:19" s="13" customFormat="1">
      <c r="A131" s="34" t="s">
        <v>43</v>
      </c>
      <c r="B131" s="65" t="s">
        <v>647</v>
      </c>
      <c r="C131" s="12" t="s">
        <v>62</v>
      </c>
      <c r="D131" s="58">
        <v>0.35</v>
      </c>
      <c r="E131" s="36">
        <v>1</v>
      </c>
      <c r="F131" s="63">
        <f>VLOOKUP(B131,GiaVL!$B$4:'GiaVL'!$D$189,3,0)</f>
        <v>51190000</v>
      </c>
      <c r="G131" s="63">
        <f>F131/G$5</f>
        <v>14625.714285714286</v>
      </c>
      <c r="H131" s="253">
        <v>1.03</v>
      </c>
      <c r="I131" s="253">
        <v>1.03</v>
      </c>
      <c r="J131" s="253">
        <v>1.03</v>
      </c>
      <c r="K131" s="253">
        <v>1.03</v>
      </c>
      <c r="L131" s="251"/>
      <c r="M131" s="251"/>
      <c r="N131" s="78">
        <f t="shared" ref="N131:S132" si="42">$E131*$G131*H131</f>
        <v>15064.485714285714</v>
      </c>
      <c r="O131" s="78">
        <f t="shared" si="42"/>
        <v>15064.485714285714</v>
      </c>
      <c r="P131" s="78">
        <f t="shared" si="42"/>
        <v>15064.485714285714</v>
      </c>
      <c r="Q131" s="78">
        <f t="shared" si="42"/>
        <v>15064.485714285714</v>
      </c>
      <c r="R131" s="78">
        <f t="shared" si="42"/>
        <v>0</v>
      </c>
      <c r="S131" s="79">
        <f t="shared" si="42"/>
        <v>0</v>
      </c>
    </row>
    <row r="132" spans="1:19" s="13" customFormat="1">
      <c r="A132" s="34" t="s">
        <v>43</v>
      </c>
      <c r="B132" s="6" t="s">
        <v>645</v>
      </c>
      <c r="C132" s="12" t="s">
        <v>62</v>
      </c>
      <c r="D132" s="58">
        <v>2.2000000000000002</v>
      </c>
      <c r="E132" s="36">
        <v>1</v>
      </c>
      <c r="F132" s="44">
        <f>VLOOKUP(B132,GiaVL!$B$4:'GiaVL'!$D$189,3,0)</f>
        <v>9910000</v>
      </c>
      <c r="G132" s="44">
        <f>F132/8/500</f>
        <v>2477.5</v>
      </c>
      <c r="H132" s="253">
        <v>0.33</v>
      </c>
      <c r="I132" s="253">
        <v>0.33</v>
      </c>
      <c r="J132" s="253">
        <v>0.33</v>
      </c>
      <c r="K132" s="253">
        <v>0.33</v>
      </c>
      <c r="L132" s="251"/>
      <c r="M132" s="251"/>
      <c r="N132" s="62">
        <f t="shared" si="42"/>
        <v>817.57500000000005</v>
      </c>
      <c r="O132" s="62">
        <f t="shared" si="42"/>
        <v>817.57500000000005</v>
      </c>
      <c r="P132" s="62">
        <f t="shared" si="42"/>
        <v>817.57500000000005</v>
      </c>
      <c r="Q132" s="62">
        <f t="shared" si="42"/>
        <v>817.57500000000005</v>
      </c>
      <c r="R132" s="62">
        <f t="shared" si="42"/>
        <v>0</v>
      </c>
      <c r="S132" s="75">
        <f t="shared" si="42"/>
        <v>0</v>
      </c>
    </row>
    <row r="133" spans="1:19" s="13" customFormat="1" ht="13.5">
      <c r="A133" s="34" t="s">
        <v>43</v>
      </c>
      <c r="B133" s="21" t="s">
        <v>612</v>
      </c>
      <c r="C133" s="12" t="s">
        <v>117</v>
      </c>
      <c r="D133" s="57">
        <v>1</v>
      </c>
      <c r="E133" s="36"/>
      <c r="F133" s="44">
        <f>VLOOKUP(B133,GiaVL!$B$4:'GiaVL'!$D$189,3,0)</f>
        <v>2226</v>
      </c>
      <c r="G133" s="48">
        <f>D133*F133</f>
        <v>2226</v>
      </c>
      <c r="H133" s="253">
        <v>6.1</v>
      </c>
      <c r="I133" s="253">
        <v>6.1</v>
      </c>
      <c r="J133" s="253">
        <v>6.1</v>
      </c>
      <c r="K133" s="253">
        <v>6.1</v>
      </c>
      <c r="L133" s="251"/>
      <c r="M133" s="251"/>
      <c r="N133" s="76">
        <f t="shared" ref="N133:S133" si="43">$G133*H133</f>
        <v>13578.599999999999</v>
      </c>
      <c r="O133" s="76">
        <f t="shared" si="43"/>
        <v>13578.599999999999</v>
      </c>
      <c r="P133" s="76">
        <f t="shared" si="43"/>
        <v>13578.599999999999</v>
      </c>
      <c r="Q133" s="76">
        <f t="shared" si="43"/>
        <v>13578.599999999999</v>
      </c>
      <c r="R133" s="76">
        <f t="shared" si="43"/>
        <v>0</v>
      </c>
      <c r="S133" s="74">
        <f t="shared" si="43"/>
        <v>0</v>
      </c>
    </row>
    <row r="134" spans="1:19" s="15" customFormat="1">
      <c r="A134" s="35" t="s">
        <v>28</v>
      </c>
      <c r="B134" s="32" t="s">
        <v>640</v>
      </c>
      <c r="C134" s="38" t="s">
        <v>43</v>
      </c>
      <c r="D134" s="56"/>
      <c r="E134" s="37"/>
      <c r="F134" s="45"/>
      <c r="G134" s="45"/>
      <c r="H134" s="249" t="s">
        <v>199</v>
      </c>
      <c r="I134" s="249" t="s">
        <v>199</v>
      </c>
      <c r="J134" s="249" t="s">
        <v>199</v>
      </c>
      <c r="K134" s="249" t="s">
        <v>199</v>
      </c>
      <c r="L134" s="249"/>
      <c r="M134" s="249"/>
      <c r="N134" s="76">
        <f t="shared" ref="N134:S134" si="44">SUM(N135:N136)</f>
        <v>11175.880571428572</v>
      </c>
      <c r="O134" s="76">
        <f t="shared" si="44"/>
        <v>11175.880571428572</v>
      </c>
      <c r="P134" s="76">
        <f t="shared" si="44"/>
        <v>11175.880571428572</v>
      </c>
      <c r="Q134" s="76">
        <f t="shared" si="44"/>
        <v>11175.880571428572</v>
      </c>
      <c r="R134" s="76">
        <f t="shared" si="44"/>
        <v>11175.880571428572</v>
      </c>
      <c r="S134" s="77">
        <f t="shared" si="44"/>
        <v>0</v>
      </c>
    </row>
    <row r="135" spans="1:19" s="13" customFormat="1">
      <c r="A135" s="34" t="s">
        <v>43</v>
      </c>
      <c r="B135" s="65" t="s">
        <v>647</v>
      </c>
      <c r="C135" s="12" t="s">
        <v>62</v>
      </c>
      <c r="D135" s="58">
        <v>0.35</v>
      </c>
      <c r="E135" s="36">
        <v>1</v>
      </c>
      <c r="F135" s="63">
        <f>VLOOKUP(B135,GiaVL!$B$4:'GiaVL'!$D$189,3,0)</f>
        <v>51190000</v>
      </c>
      <c r="G135" s="63">
        <f>F135/G$5</f>
        <v>14625.714285714286</v>
      </c>
      <c r="H135" s="253">
        <v>4.5199999999999996</v>
      </c>
      <c r="I135" s="253">
        <v>4.5199999999999996</v>
      </c>
      <c r="J135" s="253">
        <v>4.5199999999999996</v>
      </c>
      <c r="K135" s="253">
        <v>4.5199999999999996</v>
      </c>
      <c r="L135" s="253">
        <v>4.5199999999999996</v>
      </c>
      <c r="M135" s="253"/>
      <c r="N135" s="78">
        <f t="shared" ref="N135:R136" si="45">$E135*$G135*H135/6.25</f>
        <v>10577.316571428571</v>
      </c>
      <c r="O135" s="78">
        <f t="shared" si="45"/>
        <v>10577.316571428571</v>
      </c>
      <c r="P135" s="78">
        <f t="shared" si="45"/>
        <v>10577.316571428571</v>
      </c>
      <c r="Q135" s="78">
        <f t="shared" si="45"/>
        <v>10577.316571428571</v>
      </c>
      <c r="R135" s="78">
        <f t="shared" si="45"/>
        <v>10577.316571428571</v>
      </c>
      <c r="S135" s="79">
        <f>$E135*$G135*M135</f>
        <v>0</v>
      </c>
    </row>
    <row r="136" spans="1:19" s="13" customFormat="1">
      <c r="A136" s="34" t="s">
        <v>43</v>
      </c>
      <c r="B136" s="6" t="s">
        <v>645</v>
      </c>
      <c r="C136" s="12" t="s">
        <v>62</v>
      </c>
      <c r="D136" s="58">
        <v>2.2000000000000002</v>
      </c>
      <c r="E136" s="36">
        <v>1</v>
      </c>
      <c r="F136" s="44">
        <f>VLOOKUP(B136,GiaVL!$B$4:'GiaVL'!$D$189,3,0)</f>
        <v>9910000</v>
      </c>
      <c r="G136" s="44">
        <f>F136/8/500</f>
        <v>2477.5</v>
      </c>
      <c r="H136" s="253">
        <v>1.51</v>
      </c>
      <c r="I136" s="253">
        <v>1.51</v>
      </c>
      <c r="J136" s="253">
        <v>1.51</v>
      </c>
      <c r="K136" s="253">
        <v>1.51</v>
      </c>
      <c r="L136" s="253">
        <v>1.51</v>
      </c>
      <c r="M136" s="253"/>
      <c r="N136" s="62">
        <f t="shared" si="45"/>
        <v>598.56399999999996</v>
      </c>
      <c r="O136" s="62">
        <f t="shared" si="45"/>
        <v>598.56399999999996</v>
      </c>
      <c r="P136" s="62">
        <f t="shared" si="45"/>
        <v>598.56399999999996</v>
      </c>
      <c r="Q136" s="62">
        <f t="shared" si="45"/>
        <v>598.56399999999996</v>
      </c>
      <c r="R136" s="62">
        <f t="shared" si="45"/>
        <v>598.56399999999996</v>
      </c>
      <c r="S136" s="75">
        <f>$E136*$G136*M136</f>
        <v>0</v>
      </c>
    </row>
    <row r="137" spans="1:19" s="13" customFormat="1" ht="13.5">
      <c r="A137" s="34" t="s">
        <v>43</v>
      </c>
      <c r="B137" s="21" t="s">
        <v>612</v>
      </c>
      <c r="C137" s="22" t="s">
        <v>117</v>
      </c>
      <c r="D137" s="57">
        <v>1</v>
      </c>
      <c r="E137" s="36"/>
      <c r="F137" s="44">
        <f>VLOOKUP(B137,GiaVL!$B$4:'GiaVL'!$D$189,3,0)</f>
        <v>2226</v>
      </c>
      <c r="G137" s="48">
        <f>D137*F137</f>
        <v>2226</v>
      </c>
      <c r="H137" s="253">
        <v>50.32</v>
      </c>
      <c r="I137" s="253">
        <v>50.32</v>
      </c>
      <c r="J137" s="253">
        <v>50.32</v>
      </c>
      <c r="K137" s="253">
        <v>50.32</v>
      </c>
      <c r="L137" s="253">
        <v>50.32</v>
      </c>
      <c r="M137" s="253"/>
      <c r="N137" s="76">
        <f>$G137*H137/6.25</f>
        <v>17921.9712</v>
      </c>
      <c r="O137" s="76">
        <f>$G137*I137/6.25</f>
        <v>17921.9712</v>
      </c>
      <c r="P137" s="76">
        <f>$G137*J137/6.25</f>
        <v>17921.9712</v>
      </c>
      <c r="Q137" s="76">
        <f>$G137*K137/6.25</f>
        <v>17921.9712</v>
      </c>
      <c r="R137" s="76">
        <f>$G137*L137/6.25</f>
        <v>17921.9712</v>
      </c>
      <c r="S137" s="74">
        <f>$G137*M137</f>
        <v>0</v>
      </c>
    </row>
    <row r="138" spans="1:19" s="15" customFormat="1">
      <c r="A138" s="35" t="s">
        <v>29</v>
      </c>
      <c r="B138" s="32" t="s">
        <v>641</v>
      </c>
      <c r="C138" s="38" t="s">
        <v>43</v>
      </c>
      <c r="D138" s="56"/>
      <c r="E138" s="37"/>
      <c r="F138" s="45"/>
      <c r="G138" s="45"/>
      <c r="H138" s="249" t="s">
        <v>199</v>
      </c>
      <c r="I138" s="249" t="s">
        <v>199</v>
      </c>
      <c r="J138" s="249" t="s">
        <v>199</v>
      </c>
      <c r="K138" s="249" t="s">
        <v>199</v>
      </c>
      <c r="L138" s="249" t="s">
        <v>199</v>
      </c>
      <c r="M138" s="249"/>
      <c r="N138" s="76">
        <f t="shared" ref="N138:S138" si="46">SUM(N139:N140)</f>
        <v>5562.5571428571429</v>
      </c>
      <c r="O138" s="76">
        <f t="shared" si="46"/>
        <v>5562.5571428571429</v>
      </c>
      <c r="P138" s="76">
        <f t="shared" si="46"/>
        <v>5562.5571428571429</v>
      </c>
      <c r="Q138" s="76">
        <f t="shared" si="46"/>
        <v>5562.5571428571429</v>
      </c>
      <c r="R138" s="76">
        <f t="shared" si="46"/>
        <v>5562.5571428571429</v>
      </c>
      <c r="S138" s="77">
        <f t="shared" si="46"/>
        <v>0</v>
      </c>
    </row>
    <row r="139" spans="1:19" s="13" customFormat="1">
      <c r="A139" s="34" t="s">
        <v>43</v>
      </c>
      <c r="B139" s="65" t="s">
        <v>647</v>
      </c>
      <c r="C139" s="12" t="s">
        <v>62</v>
      </c>
      <c r="D139" s="58">
        <v>0.35</v>
      </c>
      <c r="E139" s="36">
        <v>1</v>
      </c>
      <c r="F139" s="63">
        <f>VLOOKUP(B139,GiaVL!$B$4:'GiaVL'!$D$189,3,0)</f>
        <v>51190000</v>
      </c>
      <c r="G139" s="63">
        <f>F139/G$5</f>
        <v>14625.714285714286</v>
      </c>
      <c r="H139" s="253">
        <v>9</v>
      </c>
      <c r="I139" s="253">
        <v>9</v>
      </c>
      <c r="J139" s="253">
        <v>9</v>
      </c>
      <c r="K139" s="253">
        <v>9</v>
      </c>
      <c r="L139" s="253">
        <v>9</v>
      </c>
      <c r="M139" s="253"/>
      <c r="N139" s="78">
        <f t="shared" ref="N139:R140" si="47">$E139*$G139*H139/25</f>
        <v>5265.2571428571428</v>
      </c>
      <c r="O139" s="78">
        <f t="shared" si="47"/>
        <v>5265.2571428571428</v>
      </c>
      <c r="P139" s="78">
        <f t="shared" si="47"/>
        <v>5265.2571428571428</v>
      </c>
      <c r="Q139" s="78">
        <f t="shared" si="47"/>
        <v>5265.2571428571428</v>
      </c>
      <c r="R139" s="78">
        <f t="shared" si="47"/>
        <v>5265.2571428571428</v>
      </c>
      <c r="S139" s="79">
        <f>$E139*$G139*M139</f>
        <v>0</v>
      </c>
    </row>
    <row r="140" spans="1:19" s="13" customFormat="1">
      <c r="A140" s="34" t="s">
        <v>43</v>
      </c>
      <c r="B140" s="6" t="s">
        <v>645</v>
      </c>
      <c r="C140" s="12" t="s">
        <v>62</v>
      </c>
      <c r="D140" s="58">
        <v>2.2000000000000002</v>
      </c>
      <c r="E140" s="36">
        <v>1</v>
      </c>
      <c r="F140" s="44">
        <f>VLOOKUP(B140,GiaVL!$B$4:'GiaVL'!$D$189,3,0)</f>
        <v>9910000</v>
      </c>
      <c r="G140" s="44">
        <f>F140/8/500</f>
        <v>2477.5</v>
      </c>
      <c r="H140" s="253">
        <v>3</v>
      </c>
      <c r="I140" s="253">
        <v>3</v>
      </c>
      <c r="J140" s="253">
        <v>3</v>
      </c>
      <c r="K140" s="253">
        <v>3</v>
      </c>
      <c r="L140" s="253">
        <v>3</v>
      </c>
      <c r="M140" s="253"/>
      <c r="N140" s="62">
        <f t="shared" si="47"/>
        <v>297.3</v>
      </c>
      <c r="O140" s="62">
        <f t="shared" si="47"/>
        <v>297.3</v>
      </c>
      <c r="P140" s="62">
        <f t="shared" si="47"/>
        <v>297.3</v>
      </c>
      <c r="Q140" s="62">
        <f t="shared" si="47"/>
        <v>297.3</v>
      </c>
      <c r="R140" s="62">
        <f t="shared" si="47"/>
        <v>297.3</v>
      </c>
      <c r="S140" s="75">
        <f>$E140*$G140*M140</f>
        <v>0</v>
      </c>
    </row>
    <row r="141" spans="1:19" s="13" customFormat="1" ht="13.5">
      <c r="A141" s="34" t="s">
        <v>43</v>
      </c>
      <c r="B141" s="21" t="s">
        <v>612</v>
      </c>
      <c r="C141" s="22" t="s">
        <v>117</v>
      </c>
      <c r="D141" s="57">
        <v>1</v>
      </c>
      <c r="E141" s="36"/>
      <c r="F141" s="44">
        <f>VLOOKUP(B141,GiaVL!$B$4:'GiaVL'!$D$189,3,0)</f>
        <v>2226</v>
      </c>
      <c r="G141" s="48">
        <f>D141*F141</f>
        <v>2226</v>
      </c>
      <c r="H141" s="253">
        <v>81.900000000000006</v>
      </c>
      <c r="I141" s="253">
        <v>81.900000000000006</v>
      </c>
      <c r="J141" s="253">
        <v>81.900000000000006</v>
      </c>
      <c r="K141" s="253">
        <v>81.900000000000006</v>
      </c>
      <c r="L141" s="253">
        <v>81.900000000000006</v>
      </c>
      <c r="M141" s="253"/>
      <c r="N141" s="76">
        <f>$G141*H141/25</f>
        <v>7292.3760000000011</v>
      </c>
      <c r="O141" s="76">
        <f>$G141*I141/25</f>
        <v>7292.3760000000011</v>
      </c>
      <c r="P141" s="76">
        <f>$G141*J141/25</f>
        <v>7292.3760000000011</v>
      </c>
      <c r="Q141" s="76">
        <f>$G141*K141/25</f>
        <v>7292.3760000000011</v>
      </c>
      <c r="R141" s="76">
        <f>$G141*L141/25</f>
        <v>7292.3760000000011</v>
      </c>
      <c r="S141" s="74">
        <f>$G141*M141</f>
        <v>0</v>
      </c>
    </row>
    <row r="142" spans="1:19" s="15" customFormat="1">
      <c r="A142" s="35" t="s">
        <v>30</v>
      </c>
      <c r="B142" s="32" t="s">
        <v>642</v>
      </c>
      <c r="C142" s="38" t="s">
        <v>43</v>
      </c>
      <c r="D142" s="56"/>
      <c r="E142" s="37"/>
      <c r="F142" s="45"/>
      <c r="G142" s="45"/>
      <c r="H142" s="249" t="s">
        <v>199</v>
      </c>
      <c r="I142" s="249" t="s">
        <v>199</v>
      </c>
      <c r="J142" s="249" t="s">
        <v>199</v>
      </c>
      <c r="K142" s="249" t="s">
        <v>199</v>
      </c>
      <c r="L142" s="249" t="s">
        <v>199</v>
      </c>
      <c r="M142" s="249"/>
      <c r="N142" s="76">
        <f>SUM(N143:N144)</f>
        <v>2039.6042857142859</v>
      </c>
      <c r="O142" s="76">
        <f>SUM(O143:O144)</f>
        <v>2039.6042857142859</v>
      </c>
      <c r="P142" s="76">
        <f>SUM(P143:P144)</f>
        <v>2039.6042857142859</v>
      </c>
      <c r="Q142" s="76">
        <f>SUM(Q143:Q144)</f>
        <v>2039.6042857142859</v>
      </c>
      <c r="R142" s="76"/>
      <c r="S142" s="77"/>
    </row>
    <row r="143" spans="1:19" s="13" customFormat="1">
      <c r="A143" s="34" t="s">
        <v>43</v>
      </c>
      <c r="B143" s="65" t="s">
        <v>647</v>
      </c>
      <c r="C143" s="12" t="s">
        <v>62</v>
      </c>
      <c r="D143" s="58">
        <v>0.35</v>
      </c>
      <c r="E143" s="36">
        <v>1</v>
      </c>
      <c r="F143" s="44">
        <f>VLOOKUP(B143,GiaVL!$B$4:'GiaVL'!$D$189,3,0)</f>
        <v>51190000</v>
      </c>
      <c r="G143" s="44">
        <f>F143/G$5</f>
        <v>14625.714285714286</v>
      </c>
      <c r="H143" s="253">
        <v>13.2</v>
      </c>
      <c r="I143" s="253">
        <v>13.2</v>
      </c>
      <c r="J143" s="253">
        <v>13.2</v>
      </c>
      <c r="K143" s="253">
        <v>13.2</v>
      </c>
      <c r="L143" s="251">
        <v>13.2</v>
      </c>
      <c r="M143" s="251"/>
      <c r="N143" s="62">
        <f t="shared" ref="N143:R144" si="48">$E143*$G143*H143/100</f>
        <v>1930.5942857142859</v>
      </c>
      <c r="O143" s="62">
        <f t="shared" si="48"/>
        <v>1930.5942857142859</v>
      </c>
      <c r="P143" s="62">
        <f t="shared" si="48"/>
        <v>1930.5942857142859</v>
      </c>
      <c r="Q143" s="62">
        <f t="shared" si="48"/>
        <v>1930.5942857142859</v>
      </c>
      <c r="R143" s="62">
        <f t="shared" si="48"/>
        <v>1930.5942857142859</v>
      </c>
      <c r="S143" s="75">
        <f>$E143*$G143*M143</f>
        <v>0</v>
      </c>
    </row>
    <row r="144" spans="1:19" s="13" customFormat="1">
      <c r="A144" s="34" t="s">
        <v>43</v>
      </c>
      <c r="B144" s="6" t="s">
        <v>645</v>
      </c>
      <c r="C144" s="12" t="s">
        <v>62</v>
      </c>
      <c r="D144" s="58">
        <v>2.2000000000000002</v>
      </c>
      <c r="E144" s="36">
        <v>1</v>
      </c>
      <c r="F144" s="44">
        <f>VLOOKUP(B144,GiaVL!$B$4:'GiaVL'!$D$189,3,0)</f>
        <v>9910000</v>
      </c>
      <c r="G144" s="44">
        <f>F144/8/500</f>
        <v>2477.5</v>
      </c>
      <c r="H144" s="253">
        <v>4.4000000000000004</v>
      </c>
      <c r="I144" s="253">
        <v>4.4000000000000004</v>
      </c>
      <c r="J144" s="253">
        <v>4.4000000000000004</v>
      </c>
      <c r="K144" s="253">
        <v>4.4000000000000004</v>
      </c>
      <c r="L144" s="251">
        <v>4.4000000000000004</v>
      </c>
      <c r="M144" s="251"/>
      <c r="N144" s="62">
        <f t="shared" si="48"/>
        <v>109.01</v>
      </c>
      <c r="O144" s="62">
        <f t="shared" si="48"/>
        <v>109.01</v>
      </c>
      <c r="P144" s="62">
        <f t="shared" si="48"/>
        <v>109.01</v>
      </c>
      <c r="Q144" s="62">
        <f t="shared" si="48"/>
        <v>109.01</v>
      </c>
      <c r="R144" s="62">
        <f t="shared" si="48"/>
        <v>109.01</v>
      </c>
      <c r="S144" s="75">
        <f>$E144*$G144*M144</f>
        <v>0</v>
      </c>
    </row>
    <row r="145" spans="1:19" s="13" customFormat="1" ht="13.5">
      <c r="A145" s="34" t="s">
        <v>43</v>
      </c>
      <c r="B145" s="21" t="s">
        <v>612</v>
      </c>
      <c r="C145" s="22" t="s">
        <v>117</v>
      </c>
      <c r="D145" s="57">
        <v>1</v>
      </c>
      <c r="E145" s="36"/>
      <c r="F145" s="44">
        <f>VLOOKUP(B145,GiaVL!$B$4:'GiaVL'!$D$189,3,0)</f>
        <v>2226</v>
      </c>
      <c r="G145" s="48">
        <f>D145*F145</f>
        <v>2226</v>
      </c>
      <c r="H145" s="253">
        <v>120.12</v>
      </c>
      <c r="I145" s="253">
        <v>120.12</v>
      </c>
      <c r="J145" s="253">
        <v>120.12</v>
      </c>
      <c r="K145" s="253">
        <v>120.12</v>
      </c>
      <c r="L145" s="251">
        <v>120.12</v>
      </c>
      <c r="M145" s="251"/>
      <c r="N145" s="76">
        <f>$G145*H145/100</f>
        <v>2673.8712</v>
      </c>
      <c r="O145" s="76">
        <f>$G145*I145/100</f>
        <v>2673.8712</v>
      </c>
      <c r="P145" s="76">
        <f>$G145*J145/100</f>
        <v>2673.8712</v>
      </c>
      <c r="Q145" s="76">
        <f>$G145*K145/100</f>
        <v>2673.8712</v>
      </c>
      <c r="R145" s="76">
        <f>$G145*L145/100</f>
        <v>2673.8712</v>
      </c>
      <c r="S145" s="74">
        <f>$G145*M145</f>
        <v>0</v>
      </c>
    </row>
    <row r="146" spans="1:19" s="15" customFormat="1">
      <c r="A146" s="35" t="s">
        <v>31</v>
      </c>
      <c r="B146" s="32" t="s">
        <v>648</v>
      </c>
      <c r="C146" s="38" t="s">
        <v>43</v>
      </c>
      <c r="D146" s="56"/>
      <c r="E146" s="37"/>
      <c r="F146" s="45"/>
      <c r="G146" s="45"/>
      <c r="H146" s="249" t="s">
        <v>199</v>
      </c>
      <c r="I146" s="249" t="s">
        <v>199</v>
      </c>
      <c r="J146" s="249" t="s">
        <v>199</v>
      </c>
      <c r="K146" s="249" t="s">
        <v>199</v>
      </c>
      <c r="L146" s="249"/>
      <c r="M146" s="249"/>
      <c r="N146" s="76">
        <f>SUM(N147:N148)</f>
        <v>475.39261507936516</v>
      </c>
      <c r="O146" s="76">
        <f>SUM(O147:O148)</f>
        <v>475.39261507936516</v>
      </c>
      <c r="P146" s="76">
        <f>SUM(P147:P148)</f>
        <v>475.39261507936516</v>
      </c>
      <c r="Q146" s="76">
        <f>SUM(Q147:Q148)</f>
        <v>475.39261507936516</v>
      </c>
      <c r="R146" s="76"/>
      <c r="S146" s="77"/>
    </row>
    <row r="147" spans="1:19" s="13" customFormat="1">
      <c r="A147" s="34" t="s">
        <v>43</v>
      </c>
      <c r="B147" s="65" t="s">
        <v>647</v>
      </c>
      <c r="C147" s="12" t="s">
        <v>62</v>
      </c>
      <c r="D147" s="58">
        <v>0.35</v>
      </c>
      <c r="E147" s="36">
        <v>1</v>
      </c>
      <c r="F147" s="44">
        <f>VLOOKUP(B147,GiaVL!$B$4:'GiaVL'!$D$189,3,0)</f>
        <v>51190000</v>
      </c>
      <c r="G147" s="44">
        <f>F147/G$5</f>
        <v>14625.714285714286</v>
      </c>
      <c r="H147" s="253">
        <v>27.69</v>
      </c>
      <c r="I147" s="253">
        <v>27.69</v>
      </c>
      <c r="J147" s="253">
        <v>27.69</v>
      </c>
      <c r="K147" s="253">
        <v>27.69</v>
      </c>
      <c r="L147" s="251"/>
      <c r="M147" s="251"/>
      <c r="N147" s="62">
        <f t="shared" ref="N147:Q148" si="49">$E147*$G147*H147/900</f>
        <v>449.98447619047624</v>
      </c>
      <c r="O147" s="62">
        <f t="shared" si="49"/>
        <v>449.98447619047624</v>
      </c>
      <c r="P147" s="62">
        <f t="shared" si="49"/>
        <v>449.98447619047624</v>
      </c>
      <c r="Q147" s="62">
        <f t="shared" si="49"/>
        <v>449.98447619047624</v>
      </c>
      <c r="R147" s="62">
        <f>$E147*$G147*L147</f>
        <v>0</v>
      </c>
      <c r="S147" s="75">
        <f>$E147*$G147*M147</f>
        <v>0</v>
      </c>
    </row>
    <row r="148" spans="1:19" s="13" customFormat="1">
      <c r="A148" s="34" t="s">
        <v>43</v>
      </c>
      <c r="B148" s="6" t="s">
        <v>645</v>
      </c>
      <c r="C148" s="12" t="s">
        <v>62</v>
      </c>
      <c r="D148" s="58">
        <v>2.2000000000000002</v>
      </c>
      <c r="E148" s="36">
        <v>1</v>
      </c>
      <c r="F148" s="44">
        <f>VLOOKUP(B148,GiaVL!$B$4:'GiaVL'!$D$189,3,0)</f>
        <v>9910000</v>
      </c>
      <c r="G148" s="44">
        <f>F148/8/500</f>
        <v>2477.5</v>
      </c>
      <c r="H148" s="253">
        <v>9.23</v>
      </c>
      <c r="I148" s="253">
        <v>9.23</v>
      </c>
      <c r="J148" s="253">
        <v>9.23</v>
      </c>
      <c r="K148" s="253">
        <v>9.23</v>
      </c>
      <c r="L148" s="251"/>
      <c r="M148" s="251"/>
      <c r="N148" s="62">
        <f t="shared" si="49"/>
        <v>25.408138888888889</v>
      </c>
      <c r="O148" s="62">
        <f t="shared" si="49"/>
        <v>25.408138888888889</v>
      </c>
      <c r="P148" s="62">
        <f t="shared" si="49"/>
        <v>25.408138888888889</v>
      </c>
      <c r="Q148" s="62">
        <f t="shared" si="49"/>
        <v>25.408138888888889</v>
      </c>
      <c r="R148" s="62">
        <f>$E148*$G148*L148</f>
        <v>0</v>
      </c>
      <c r="S148" s="75">
        <f>$E148*$G148*M148</f>
        <v>0</v>
      </c>
    </row>
    <row r="149" spans="1:19" s="13" customFormat="1" ht="13.5">
      <c r="A149" s="34" t="s">
        <v>43</v>
      </c>
      <c r="B149" s="21" t="s">
        <v>612</v>
      </c>
      <c r="C149" s="22" t="s">
        <v>117</v>
      </c>
      <c r="D149" s="57">
        <v>1</v>
      </c>
      <c r="E149" s="36"/>
      <c r="F149" s="44">
        <f>VLOOKUP(B149,GiaVL!$B$4:'GiaVL'!$D$189,3,0)</f>
        <v>2226</v>
      </c>
      <c r="G149" s="48">
        <f>D149*F149</f>
        <v>2226</v>
      </c>
      <c r="H149" s="253">
        <v>251.98</v>
      </c>
      <c r="I149" s="253">
        <v>251.98</v>
      </c>
      <c r="J149" s="253">
        <v>251.98</v>
      </c>
      <c r="K149" s="253">
        <v>251.98</v>
      </c>
      <c r="L149" s="251"/>
      <c r="M149" s="251"/>
      <c r="N149" s="76">
        <f>$G149*H149/900</f>
        <v>623.23053333333337</v>
      </c>
      <c r="O149" s="76">
        <f>$G149*I149/900</f>
        <v>623.23053333333337</v>
      </c>
      <c r="P149" s="76">
        <f>$G149*J149/900</f>
        <v>623.23053333333337</v>
      </c>
      <c r="Q149" s="76">
        <f>$G149*K149/900</f>
        <v>623.23053333333337</v>
      </c>
      <c r="R149" s="76">
        <f>$G149*L149</f>
        <v>0</v>
      </c>
      <c r="S149" s="74">
        <f>$G149*M149</f>
        <v>0</v>
      </c>
    </row>
    <row r="150" spans="1:19" s="15" customFormat="1">
      <c r="A150" s="35" t="s">
        <v>37</v>
      </c>
      <c r="B150" s="32" t="s">
        <v>644</v>
      </c>
      <c r="C150" s="38" t="s">
        <v>43</v>
      </c>
      <c r="D150" s="56"/>
      <c r="E150" s="37"/>
      <c r="F150" s="45"/>
      <c r="G150" s="45"/>
      <c r="H150" s="249" t="s">
        <v>199</v>
      </c>
      <c r="I150" s="249" t="s">
        <v>199</v>
      </c>
      <c r="J150" s="249" t="s">
        <v>199</v>
      </c>
      <c r="K150" s="249" t="s">
        <v>199</v>
      </c>
      <c r="L150" s="249"/>
      <c r="M150" s="249"/>
      <c r="N150" s="76">
        <f>SUM(N151:N152)</f>
        <v>237.69630753968258</v>
      </c>
      <c r="O150" s="76">
        <f>SUM(O151:O152)</f>
        <v>237.69630753968258</v>
      </c>
      <c r="P150" s="76">
        <f>SUM(P151:P152)</f>
        <v>237.69630753968258</v>
      </c>
      <c r="Q150" s="76">
        <f>SUM(Q151:Q152)</f>
        <v>237.69630753968258</v>
      </c>
      <c r="R150" s="76"/>
      <c r="S150" s="77"/>
    </row>
    <row r="151" spans="1:19" s="13" customFormat="1">
      <c r="A151" s="34" t="s">
        <v>43</v>
      </c>
      <c r="B151" s="65" t="s">
        <v>647</v>
      </c>
      <c r="C151" s="12" t="s">
        <v>62</v>
      </c>
      <c r="D151" s="58">
        <v>0.35</v>
      </c>
      <c r="E151" s="36">
        <v>1</v>
      </c>
      <c r="F151" s="44">
        <f>VLOOKUP(B151,GiaVL!$B$4:'GiaVL'!$D$189,3,0)</f>
        <v>51190000</v>
      </c>
      <c r="G151" s="44">
        <f>F151/G$5</f>
        <v>14625.714285714286</v>
      </c>
      <c r="H151" s="253">
        <v>55.38</v>
      </c>
      <c r="I151" s="253">
        <v>55.38</v>
      </c>
      <c r="J151" s="253">
        <v>55.38</v>
      </c>
      <c r="K151" s="253">
        <v>55.38</v>
      </c>
      <c r="L151" s="251"/>
      <c r="M151" s="251"/>
      <c r="N151" s="62">
        <f t="shared" ref="N151:Q152" si="50">$E151*$G151*H151/3600</f>
        <v>224.99223809523812</v>
      </c>
      <c r="O151" s="62">
        <f t="shared" si="50"/>
        <v>224.99223809523812</v>
      </c>
      <c r="P151" s="62">
        <f t="shared" si="50"/>
        <v>224.99223809523812</v>
      </c>
      <c r="Q151" s="62">
        <f t="shared" si="50"/>
        <v>224.99223809523812</v>
      </c>
      <c r="R151" s="62">
        <f>$E151*$G151*L151</f>
        <v>0</v>
      </c>
      <c r="S151" s="75">
        <f>$E151*$G151*M151</f>
        <v>0</v>
      </c>
    </row>
    <row r="152" spans="1:19" s="13" customFormat="1">
      <c r="A152" s="34" t="s">
        <v>43</v>
      </c>
      <c r="B152" s="6" t="s">
        <v>645</v>
      </c>
      <c r="C152" s="12" t="s">
        <v>62</v>
      </c>
      <c r="D152" s="58">
        <v>2.2000000000000002</v>
      </c>
      <c r="E152" s="36">
        <v>1</v>
      </c>
      <c r="F152" s="44">
        <f>VLOOKUP(B152,GiaVL!$B$4:'GiaVL'!$D$189,3,0)</f>
        <v>9910000</v>
      </c>
      <c r="G152" s="44">
        <f>F152/8/500</f>
        <v>2477.5</v>
      </c>
      <c r="H152" s="253">
        <v>18.46</v>
      </c>
      <c r="I152" s="253">
        <v>18.46</v>
      </c>
      <c r="J152" s="253">
        <v>18.46</v>
      </c>
      <c r="K152" s="253">
        <v>18.46</v>
      </c>
      <c r="L152" s="251"/>
      <c r="M152" s="251"/>
      <c r="N152" s="62">
        <f t="shared" si="50"/>
        <v>12.704069444444444</v>
      </c>
      <c r="O152" s="62">
        <f t="shared" si="50"/>
        <v>12.704069444444444</v>
      </c>
      <c r="P152" s="62">
        <f t="shared" si="50"/>
        <v>12.704069444444444</v>
      </c>
      <c r="Q152" s="62">
        <f t="shared" si="50"/>
        <v>12.704069444444444</v>
      </c>
      <c r="R152" s="62">
        <f>$E152*$G152*L152</f>
        <v>0</v>
      </c>
      <c r="S152" s="75">
        <f>$E152*$G152*M152</f>
        <v>0</v>
      </c>
    </row>
    <row r="153" spans="1:19" s="13" customFormat="1" ht="13.5">
      <c r="A153" s="34" t="s">
        <v>43</v>
      </c>
      <c r="B153" s="21" t="s">
        <v>612</v>
      </c>
      <c r="C153" s="22" t="s">
        <v>117</v>
      </c>
      <c r="D153" s="57">
        <v>1</v>
      </c>
      <c r="E153" s="36"/>
      <c r="F153" s="44">
        <f>VLOOKUP(B153,GiaVL!$B$4:'GiaVL'!$D$189,3,0)</f>
        <v>2226</v>
      </c>
      <c r="G153" s="48">
        <f>D153*F153</f>
        <v>2226</v>
      </c>
      <c r="H153" s="253">
        <v>503.96</v>
      </c>
      <c r="I153" s="253">
        <v>503.96</v>
      </c>
      <c r="J153" s="253">
        <v>503.96</v>
      </c>
      <c r="K153" s="253">
        <v>503.96</v>
      </c>
      <c r="L153" s="251"/>
      <c r="M153" s="251"/>
      <c r="N153" s="76">
        <f>$G153*H153/3600</f>
        <v>311.61526666666668</v>
      </c>
      <c r="O153" s="76">
        <f>$G153*I153/3600</f>
        <v>311.61526666666668</v>
      </c>
      <c r="P153" s="76">
        <f>$G153*J153/3600</f>
        <v>311.61526666666668</v>
      </c>
      <c r="Q153" s="76">
        <f>$G153*K153/3600</f>
        <v>311.61526666666668</v>
      </c>
      <c r="R153" s="76">
        <f>$G153*L153</f>
        <v>0</v>
      </c>
      <c r="S153" s="74">
        <f>$G153*M153</f>
        <v>0</v>
      </c>
    </row>
    <row r="154" spans="1:19" s="13" customFormat="1">
      <c r="A154" s="34" t="s">
        <v>43</v>
      </c>
      <c r="B154" s="21" t="s">
        <v>43</v>
      </c>
      <c r="C154" s="12" t="s">
        <v>43</v>
      </c>
      <c r="D154" s="58"/>
      <c r="E154" s="36"/>
      <c r="F154" s="44"/>
      <c r="G154" s="44"/>
      <c r="H154" s="251"/>
      <c r="I154" s="251"/>
      <c r="J154" s="251"/>
      <c r="K154" s="251"/>
      <c r="L154" s="251"/>
      <c r="M154" s="251"/>
      <c r="N154" s="62"/>
      <c r="O154" s="62"/>
      <c r="P154" s="62"/>
      <c r="Q154" s="62"/>
      <c r="R154" s="62"/>
      <c r="S154" s="75"/>
    </row>
    <row r="155" spans="1:19" s="13" customFormat="1" ht="39">
      <c r="A155" s="35" t="s">
        <v>246</v>
      </c>
      <c r="B155" s="254" t="s">
        <v>649</v>
      </c>
      <c r="C155" s="38" t="s">
        <v>43</v>
      </c>
      <c r="D155" s="58"/>
      <c r="E155" s="36"/>
      <c r="F155" s="63"/>
      <c r="G155" s="63"/>
      <c r="H155" s="251"/>
      <c r="I155" s="251"/>
      <c r="J155" s="251"/>
      <c r="K155" s="251"/>
      <c r="L155" s="251"/>
      <c r="M155" s="251"/>
      <c r="N155" s="78"/>
      <c r="O155" s="78"/>
      <c r="P155" s="78"/>
      <c r="Q155" s="78"/>
      <c r="R155" s="78"/>
      <c r="S155" s="75"/>
    </row>
    <row r="156" spans="1:19" s="15" customFormat="1">
      <c r="A156" s="35" t="s">
        <v>27</v>
      </c>
      <c r="B156" s="32" t="s">
        <v>639</v>
      </c>
      <c r="C156" s="38" t="s">
        <v>43</v>
      </c>
      <c r="D156" s="56"/>
      <c r="E156" s="37"/>
      <c r="F156" s="255"/>
      <c r="G156" s="255"/>
      <c r="H156" s="249"/>
      <c r="I156" s="249"/>
      <c r="J156" s="249"/>
      <c r="K156" s="249"/>
      <c r="L156" s="249"/>
      <c r="M156" s="249"/>
      <c r="N156" s="207">
        <f>SUM(N157:N158)</f>
        <v>15614.321428571429</v>
      </c>
      <c r="O156" s="207">
        <f>SUM(O157:O158)</f>
        <v>15614.321428571429</v>
      </c>
      <c r="P156" s="207">
        <f>SUM(P157:P158)</f>
        <v>15614.321428571429</v>
      </c>
      <c r="Q156" s="207">
        <f>SUM(Q157:Q158)</f>
        <v>15614.321428571429</v>
      </c>
      <c r="R156" s="207"/>
      <c r="S156" s="77"/>
    </row>
    <row r="157" spans="1:19" s="13" customFormat="1">
      <c r="A157" s="34" t="s">
        <v>43</v>
      </c>
      <c r="B157" s="65" t="s">
        <v>647</v>
      </c>
      <c r="C157" s="12" t="s">
        <v>62</v>
      </c>
      <c r="D157" s="58">
        <v>0.35</v>
      </c>
      <c r="E157" s="36">
        <v>1</v>
      </c>
      <c r="F157" s="44">
        <f>VLOOKUP(B157,GiaVL!$B$4:'GiaVL'!$D$189,3,0)</f>
        <v>51190000</v>
      </c>
      <c r="G157" s="63">
        <f>F157/G$5</f>
        <v>14625.714285714286</v>
      </c>
      <c r="H157" s="253">
        <v>1.01</v>
      </c>
      <c r="I157" s="253">
        <v>1.01</v>
      </c>
      <c r="J157" s="253">
        <v>1.01</v>
      </c>
      <c r="K157" s="253">
        <v>1.01</v>
      </c>
      <c r="L157" s="251"/>
      <c r="M157" s="251"/>
      <c r="N157" s="78">
        <f t="shared" ref="N157:S158" si="51">$E157*$G157*H157</f>
        <v>14771.971428571429</v>
      </c>
      <c r="O157" s="78">
        <f t="shared" si="51"/>
        <v>14771.971428571429</v>
      </c>
      <c r="P157" s="78">
        <f t="shared" si="51"/>
        <v>14771.971428571429</v>
      </c>
      <c r="Q157" s="78">
        <f t="shared" si="51"/>
        <v>14771.971428571429</v>
      </c>
      <c r="R157" s="78">
        <f t="shared" si="51"/>
        <v>0</v>
      </c>
      <c r="S157" s="75">
        <f t="shared" si="51"/>
        <v>0</v>
      </c>
    </row>
    <row r="158" spans="1:19" s="13" customFormat="1">
      <c r="A158" s="34" t="s">
        <v>43</v>
      </c>
      <c r="B158" s="6" t="s">
        <v>645</v>
      </c>
      <c r="C158" s="12" t="s">
        <v>62</v>
      </c>
      <c r="D158" s="58">
        <v>2.2000000000000002</v>
      </c>
      <c r="E158" s="36">
        <v>1</v>
      </c>
      <c r="F158" s="44">
        <f>VLOOKUP(B158,GiaVL!$B$4:'GiaVL'!$D$189,3,0)</f>
        <v>9910000</v>
      </c>
      <c r="G158" s="63">
        <f>F158/8/500</f>
        <v>2477.5</v>
      </c>
      <c r="H158" s="253">
        <v>0.34</v>
      </c>
      <c r="I158" s="253">
        <v>0.34</v>
      </c>
      <c r="J158" s="253">
        <v>0.34</v>
      </c>
      <c r="K158" s="253">
        <v>0.34</v>
      </c>
      <c r="L158" s="251"/>
      <c r="M158" s="251"/>
      <c r="N158" s="78">
        <f t="shared" si="51"/>
        <v>842.35</v>
      </c>
      <c r="O158" s="78">
        <f t="shared" si="51"/>
        <v>842.35</v>
      </c>
      <c r="P158" s="78">
        <f t="shared" si="51"/>
        <v>842.35</v>
      </c>
      <c r="Q158" s="78">
        <f t="shared" si="51"/>
        <v>842.35</v>
      </c>
      <c r="R158" s="78">
        <f t="shared" si="51"/>
        <v>0</v>
      </c>
      <c r="S158" s="75">
        <f t="shared" si="51"/>
        <v>0</v>
      </c>
    </row>
    <row r="159" spans="1:19" s="13" customFormat="1" ht="13.5">
      <c r="A159" s="34" t="s">
        <v>43</v>
      </c>
      <c r="B159" s="21" t="s">
        <v>612</v>
      </c>
      <c r="C159" s="12" t="s">
        <v>117</v>
      </c>
      <c r="D159" s="57">
        <v>1</v>
      </c>
      <c r="E159" s="36"/>
      <c r="F159" s="44">
        <f>VLOOKUP(B159,GiaVL!$B$4:'GiaVL'!$D$189,3,0)</f>
        <v>2226</v>
      </c>
      <c r="G159" s="256">
        <f>D159*F159</f>
        <v>2226</v>
      </c>
      <c r="H159" s="253">
        <v>9.25</v>
      </c>
      <c r="I159" s="253">
        <v>9.25</v>
      </c>
      <c r="J159" s="253">
        <v>9.25</v>
      </c>
      <c r="K159" s="253">
        <v>9.25</v>
      </c>
      <c r="L159" s="251"/>
      <c r="M159" s="251"/>
      <c r="N159" s="207">
        <f t="shared" ref="N159:S159" si="52">$G159*H159</f>
        <v>20590.5</v>
      </c>
      <c r="O159" s="207">
        <f t="shared" si="52"/>
        <v>20590.5</v>
      </c>
      <c r="P159" s="207">
        <f t="shared" si="52"/>
        <v>20590.5</v>
      </c>
      <c r="Q159" s="207">
        <f t="shared" si="52"/>
        <v>20590.5</v>
      </c>
      <c r="R159" s="207">
        <f t="shared" si="52"/>
        <v>0</v>
      </c>
      <c r="S159" s="74">
        <f t="shared" si="52"/>
        <v>0</v>
      </c>
    </row>
    <row r="160" spans="1:19" s="13" customFormat="1">
      <c r="A160" s="35" t="s">
        <v>28</v>
      </c>
      <c r="B160" s="32" t="s">
        <v>640</v>
      </c>
      <c r="C160" s="38" t="s">
        <v>43</v>
      </c>
      <c r="D160" s="56"/>
      <c r="E160" s="37"/>
      <c r="F160" s="255"/>
      <c r="G160" s="255"/>
      <c r="H160" s="249" t="s">
        <v>199</v>
      </c>
      <c r="I160" s="249" t="s">
        <v>199</v>
      </c>
      <c r="J160" s="249" t="s">
        <v>199</v>
      </c>
      <c r="K160" s="249" t="s">
        <v>199</v>
      </c>
      <c r="L160" s="249" t="s">
        <v>199</v>
      </c>
      <c r="M160" s="249"/>
      <c r="N160" s="207">
        <f t="shared" ref="N160:S160" si="53">SUM(N161:N162)</f>
        <v>13326.735999999999</v>
      </c>
      <c r="O160" s="207">
        <f t="shared" si="53"/>
        <v>13326.735999999999</v>
      </c>
      <c r="P160" s="207">
        <f t="shared" si="53"/>
        <v>13326.735999999999</v>
      </c>
      <c r="Q160" s="207">
        <f t="shared" si="53"/>
        <v>13326.735999999999</v>
      </c>
      <c r="R160" s="207">
        <f t="shared" si="53"/>
        <v>13326.735999999999</v>
      </c>
      <c r="S160" s="77">
        <f t="shared" si="53"/>
        <v>0</v>
      </c>
    </row>
    <row r="161" spans="1:19" s="15" customFormat="1">
      <c r="A161" s="34" t="s">
        <v>43</v>
      </c>
      <c r="B161" s="65" t="s">
        <v>647</v>
      </c>
      <c r="C161" s="12" t="s">
        <v>62</v>
      </c>
      <c r="D161" s="58">
        <v>0.35</v>
      </c>
      <c r="E161" s="36">
        <v>1</v>
      </c>
      <c r="F161" s="44">
        <f>VLOOKUP(B161,GiaVL!$B$4:'GiaVL'!$D$189,3,0)</f>
        <v>51190000</v>
      </c>
      <c r="G161" s="63">
        <f>F161/G$5</f>
        <v>14625.714285714286</v>
      </c>
      <c r="H161" s="253">
        <v>5.39</v>
      </c>
      <c r="I161" s="253">
        <v>5.39</v>
      </c>
      <c r="J161" s="253">
        <v>5.39</v>
      </c>
      <c r="K161" s="253">
        <v>5.39</v>
      </c>
      <c r="L161" s="253">
        <v>5.39</v>
      </c>
      <c r="M161" s="253"/>
      <c r="N161" s="78">
        <f t="shared" ref="N161:R162" si="54">$E161*$G161*H161/6.25</f>
        <v>12613.215999999999</v>
      </c>
      <c r="O161" s="78">
        <f t="shared" si="54"/>
        <v>12613.215999999999</v>
      </c>
      <c r="P161" s="78">
        <f t="shared" si="54"/>
        <v>12613.215999999999</v>
      </c>
      <c r="Q161" s="78">
        <f t="shared" si="54"/>
        <v>12613.215999999999</v>
      </c>
      <c r="R161" s="78">
        <f t="shared" si="54"/>
        <v>12613.215999999999</v>
      </c>
      <c r="S161" s="75">
        <f>$E161*$G161*M161</f>
        <v>0</v>
      </c>
    </row>
    <row r="162" spans="1:19" s="13" customFormat="1">
      <c r="A162" s="34" t="s">
        <v>43</v>
      </c>
      <c r="B162" s="6" t="s">
        <v>645</v>
      </c>
      <c r="C162" s="12" t="s">
        <v>62</v>
      </c>
      <c r="D162" s="58">
        <v>2.2000000000000002</v>
      </c>
      <c r="E162" s="36">
        <v>1</v>
      </c>
      <c r="F162" s="44">
        <f>VLOOKUP(B162,GiaVL!$B$4:'GiaVL'!$D$189,3,0)</f>
        <v>9910000</v>
      </c>
      <c r="G162" s="63">
        <f>F162/8/500</f>
        <v>2477.5</v>
      </c>
      <c r="H162" s="253">
        <v>1.8</v>
      </c>
      <c r="I162" s="253">
        <v>1.8</v>
      </c>
      <c r="J162" s="253">
        <v>1.8</v>
      </c>
      <c r="K162" s="253">
        <v>1.8</v>
      </c>
      <c r="L162" s="253">
        <v>1.8</v>
      </c>
      <c r="M162" s="253"/>
      <c r="N162" s="78">
        <f t="shared" si="54"/>
        <v>713.52</v>
      </c>
      <c r="O162" s="78">
        <f t="shared" si="54"/>
        <v>713.52</v>
      </c>
      <c r="P162" s="78">
        <f t="shared" si="54"/>
        <v>713.52</v>
      </c>
      <c r="Q162" s="78">
        <f t="shared" si="54"/>
        <v>713.52</v>
      </c>
      <c r="R162" s="78">
        <f t="shared" si="54"/>
        <v>713.52</v>
      </c>
      <c r="S162" s="75">
        <f>$E162*$G162*M162</f>
        <v>0</v>
      </c>
    </row>
    <row r="163" spans="1:19" s="13" customFormat="1" ht="13.5">
      <c r="A163" s="34" t="s">
        <v>43</v>
      </c>
      <c r="B163" s="21" t="s">
        <v>612</v>
      </c>
      <c r="C163" s="22" t="s">
        <v>117</v>
      </c>
      <c r="D163" s="57">
        <v>1</v>
      </c>
      <c r="E163" s="36"/>
      <c r="F163" s="44">
        <f>VLOOKUP(B163,GiaVL!$B$4:'GiaVL'!$D$189,3,0)</f>
        <v>2226</v>
      </c>
      <c r="G163" s="256">
        <f>D163*F163</f>
        <v>2226</v>
      </c>
      <c r="H163" s="253">
        <v>49.11</v>
      </c>
      <c r="I163" s="253">
        <v>49.11</v>
      </c>
      <c r="J163" s="253">
        <v>49.11</v>
      </c>
      <c r="K163" s="253">
        <v>49.11</v>
      </c>
      <c r="L163" s="253">
        <v>49.11</v>
      </c>
      <c r="M163" s="253"/>
      <c r="N163" s="207">
        <f>$G163*H163/6.25</f>
        <v>17491.017599999999</v>
      </c>
      <c r="O163" s="207">
        <f>$G163*I163/6.25</f>
        <v>17491.017599999999</v>
      </c>
      <c r="P163" s="207">
        <f>$G163*J163/6.25</f>
        <v>17491.017599999999</v>
      </c>
      <c r="Q163" s="207">
        <f>$G163*K163/6.25</f>
        <v>17491.017599999999</v>
      </c>
      <c r="R163" s="207">
        <f>$G163*L163/6.25</f>
        <v>17491.017599999999</v>
      </c>
      <c r="S163" s="74">
        <f>$G163*M163</f>
        <v>0</v>
      </c>
    </row>
    <row r="164" spans="1:19" s="13" customFormat="1">
      <c r="A164" s="35" t="s">
        <v>29</v>
      </c>
      <c r="B164" s="32" t="s">
        <v>641</v>
      </c>
      <c r="C164" s="38" t="s">
        <v>43</v>
      </c>
      <c r="D164" s="56"/>
      <c r="E164" s="37"/>
      <c r="F164" s="255"/>
      <c r="G164" s="255"/>
      <c r="H164" s="249" t="s">
        <v>199</v>
      </c>
      <c r="I164" s="249" t="s">
        <v>199</v>
      </c>
      <c r="J164" s="249" t="s">
        <v>199</v>
      </c>
      <c r="K164" s="249" t="s">
        <v>199</v>
      </c>
      <c r="L164" s="249" t="s">
        <v>199</v>
      </c>
      <c r="M164" s="249"/>
      <c r="N164" s="207">
        <f t="shared" ref="N164:S164" si="55">SUM(N165:N166)</f>
        <v>5191.7200000000012</v>
      </c>
      <c r="O164" s="207">
        <f t="shared" si="55"/>
        <v>5191.7200000000012</v>
      </c>
      <c r="P164" s="207">
        <f t="shared" si="55"/>
        <v>5191.7200000000012</v>
      </c>
      <c r="Q164" s="207">
        <f t="shared" si="55"/>
        <v>5191.7200000000012</v>
      </c>
      <c r="R164" s="207">
        <f t="shared" si="55"/>
        <v>5191.7200000000012</v>
      </c>
      <c r="S164" s="77">
        <f t="shared" si="55"/>
        <v>0</v>
      </c>
    </row>
    <row r="165" spans="1:19" s="13" customFormat="1">
      <c r="A165" s="34" t="s">
        <v>43</v>
      </c>
      <c r="B165" s="65" t="s">
        <v>647</v>
      </c>
      <c r="C165" s="12" t="s">
        <v>62</v>
      </c>
      <c r="D165" s="58">
        <v>0.35</v>
      </c>
      <c r="E165" s="36">
        <v>1</v>
      </c>
      <c r="F165" s="44">
        <f>VLOOKUP(B165,GiaVL!$B$4:'GiaVL'!$D$189,3,0)</f>
        <v>51190000</v>
      </c>
      <c r="G165" s="63">
        <f>F165/G$5</f>
        <v>14625.714285714286</v>
      </c>
      <c r="H165" s="253">
        <v>8.4</v>
      </c>
      <c r="I165" s="253">
        <v>8.4</v>
      </c>
      <c r="J165" s="253">
        <v>8.4</v>
      </c>
      <c r="K165" s="253">
        <v>8.4</v>
      </c>
      <c r="L165" s="253">
        <v>8.4</v>
      </c>
      <c r="M165" s="253"/>
      <c r="N165" s="78">
        <f t="shared" ref="N165:R166" si="56">$E165*$G165*H165/25</f>
        <v>4914.2400000000007</v>
      </c>
      <c r="O165" s="78">
        <f t="shared" si="56"/>
        <v>4914.2400000000007</v>
      </c>
      <c r="P165" s="78">
        <f t="shared" si="56"/>
        <v>4914.2400000000007</v>
      </c>
      <c r="Q165" s="78">
        <f t="shared" si="56"/>
        <v>4914.2400000000007</v>
      </c>
      <c r="R165" s="78">
        <f t="shared" si="56"/>
        <v>4914.2400000000007</v>
      </c>
      <c r="S165" s="75">
        <f>$E165*$G165*M165</f>
        <v>0</v>
      </c>
    </row>
    <row r="166" spans="1:19" s="15" customFormat="1">
      <c r="A166" s="34" t="s">
        <v>43</v>
      </c>
      <c r="B166" s="6" t="s">
        <v>645</v>
      </c>
      <c r="C166" s="12" t="s">
        <v>62</v>
      </c>
      <c r="D166" s="58">
        <v>2.2000000000000002</v>
      </c>
      <c r="E166" s="36">
        <v>1</v>
      </c>
      <c r="F166" s="44">
        <f>VLOOKUP(B166,GiaVL!$B$4:'GiaVL'!$D$189,3,0)</f>
        <v>9910000</v>
      </c>
      <c r="G166" s="63">
        <f>F166/8/500</f>
        <v>2477.5</v>
      </c>
      <c r="H166" s="253">
        <v>2.8</v>
      </c>
      <c r="I166" s="253">
        <v>2.8</v>
      </c>
      <c r="J166" s="253">
        <v>2.8</v>
      </c>
      <c r="K166" s="253">
        <v>2.8</v>
      </c>
      <c r="L166" s="253">
        <v>2.8</v>
      </c>
      <c r="M166" s="253"/>
      <c r="N166" s="78">
        <f t="shared" si="56"/>
        <v>277.48</v>
      </c>
      <c r="O166" s="78">
        <f t="shared" si="56"/>
        <v>277.48</v>
      </c>
      <c r="P166" s="78">
        <f t="shared" si="56"/>
        <v>277.48</v>
      </c>
      <c r="Q166" s="78">
        <f t="shared" si="56"/>
        <v>277.48</v>
      </c>
      <c r="R166" s="78">
        <f t="shared" si="56"/>
        <v>277.48</v>
      </c>
      <c r="S166" s="75">
        <f>$E166*$G166*M166</f>
        <v>0</v>
      </c>
    </row>
    <row r="167" spans="1:19" s="13" customFormat="1" ht="13.5">
      <c r="A167" s="34" t="s">
        <v>43</v>
      </c>
      <c r="B167" s="21" t="s">
        <v>612</v>
      </c>
      <c r="C167" s="22" t="s">
        <v>117</v>
      </c>
      <c r="D167" s="57">
        <v>1</v>
      </c>
      <c r="E167" s="36"/>
      <c r="F167" s="44">
        <f>VLOOKUP(B167,GiaVL!$B$4:'GiaVL'!$D$189,3,0)</f>
        <v>2226</v>
      </c>
      <c r="G167" s="256">
        <f>D167*F167</f>
        <v>2226</v>
      </c>
      <c r="H167" s="253">
        <v>76.44</v>
      </c>
      <c r="I167" s="253">
        <v>76.44</v>
      </c>
      <c r="J167" s="253">
        <v>76.44</v>
      </c>
      <c r="K167" s="253">
        <v>76.44</v>
      </c>
      <c r="L167" s="253">
        <v>76.44</v>
      </c>
      <c r="M167" s="253"/>
      <c r="N167" s="207">
        <f>$G167*H167/25</f>
        <v>6806.2175999999999</v>
      </c>
      <c r="O167" s="207">
        <f>$G167*I167/25</f>
        <v>6806.2175999999999</v>
      </c>
      <c r="P167" s="207">
        <f>$G167*J167/25</f>
        <v>6806.2175999999999</v>
      </c>
      <c r="Q167" s="207">
        <f>$G167*K167/25</f>
        <v>6806.2175999999999</v>
      </c>
      <c r="R167" s="207">
        <f>$G167*L167/25</f>
        <v>6806.2175999999999</v>
      </c>
      <c r="S167" s="74">
        <f>$G167*M167</f>
        <v>0</v>
      </c>
    </row>
    <row r="168" spans="1:19" s="13" customFormat="1">
      <c r="A168" s="35" t="s">
        <v>30</v>
      </c>
      <c r="B168" s="32" t="s">
        <v>642</v>
      </c>
      <c r="C168" s="38" t="s">
        <v>43</v>
      </c>
      <c r="D168" s="56"/>
      <c r="E168" s="37"/>
      <c r="F168" s="255"/>
      <c r="G168" s="255"/>
      <c r="H168" s="249" t="s">
        <v>199</v>
      </c>
      <c r="I168" s="249" t="s">
        <v>199</v>
      </c>
      <c r="J168" s="249" t="s">
        <v>199</v>
      </c>
      <c r="K168" s="249" t="s">
        <v>199</v>
      </c>
      <c r="L168" s="249" t="s">
        <v>199</v>
      </c>
      <c r="M168" s="249"/>
      <c r="N168" s="207">
        <f>SUM(N169:N170)</f>
        <v>1687.3090000000002</v>
      </c>
      <c r="O168" s="207">
        <f>SUM(O169:O170)</f>
        <v>1687.3090000000002</v>
      </c>
      <c r="P168" s="207">
        <f>SUM(P169:P170)</f>
        <v>1687.3090000000002</v>
      </c>
      <c r="Q168" s="207">
        <f>SUM(Q169:Q170)</f>
        <v>1687.3090000000002</v>
      </c>
      <c r="R168" s="207"/>
      <c r="S168" s="77"/>
    </row>
    <row r="169" spans="1:19" s="13" customFormat="1">
      <c r="A169" s="34" t="s">
        <v>43</v>
      </c>
      <c r="B169" s="65" t="s">
        <v>647</v>
      </c>
      <c r="C169" s="12" t="s">
        <v>62</v>
      </c>
      <c r="D169" s="58">
        <v>0.35</v>
      </c>
      <c r="E169" s="36">
        <v>1</v>
      </c>
      <c r="F169" s="44">
        <f>VLOOKUP(B169,GiaVL!$B$4:'GiaVL'!$D$189,3,0)</f>
        <v>51190000</v>
      </c>
      <c r="G169" s="63">
        <f>F169/G$5</f>
        <v>14625.714285714286</v>
      </c>
      <c r="H169" s="253">
        <v>10.92</v>
      </c>
      <c r="I169" s="253">
        <v>10.92</v>
      </c>
      <c r="J169" s="253">
        <v>10.92</v>
      </c>
      <c r="K169" s="253">
        <v>10.92</v>
      </c>
      <c r="L169" s="251">
        <v>10.92</v>
      </c>
      <c r="M169" s="251"/>
      <c r="N169" s="78">
        <f t="shared" ref="N169:R170" si="57">$E169*$G169*H169/100</f>
        <v>1597.1280000000002</v>
      </c>
      <c r="O169" s="78">
        <f t="shared" si="57"/>
        <v>1597.1280000000002</v>
      </c>
      <c r="P169" s="78">
        <f t="shared" si="57"/>
        <v>1597.1280000000002</v>
      </c>
      <c r="Q169" s="78">
        <f t="shared" si="57"/>
        <v>1597.1280000000002</v>
      </c>
      <c r="R169" s="78">
        <f t="shared" si="57"/>
        <v>1597.1280000000002</v>
      </c>
      <c r="S169" s="75">
        <f>$E169*$G169*M169</f>
        <v>0</v>
      </c>
    </row>
    <row r="170" spans="1:19" s="13" customFormat="1">
      <c r="A170" s="34" t="s">
        <v>43</v>
      </c>
      <c r="B170" s="6" t="s">
        <v>645</v>
      </c>
      <c r="C170" s="12" t="s">
        <v>62</v>
      </c>
      <c r="D170" s="58">
        <v>2.2000000000000002</v>
      </c>
      <c r="E170" s="36">
        <v>1</v>
      </c>
      <c r="F170" s="44">
        <f>VLOOKUP(B170,GiaVL!$B$4:'GiaVL'!$D$189,3,0)</f>
        <v>9910000</v>
      </c>
      <c r="G170" s="63">
        <f>F170/G$6</f>
        <v>2477.5</v>
      </c>
      <c r="H170" s="253">
        <v>3.64</v>
      </c>
      <c r="I170" s="253">
        <v>3.64</v>
      </c>
      <c r="J170" s="253">
        <v>3.64</v>
      </c>
      <c r="K170" s="253">
        <v>3.64</v>
      </c>
      <c r="L170" s="251">
        <v>3.64</v>
      </c>
      <c r="M170" s="251"/>
      <c r="N170" s="78">
        <f t="shared" si="57"/>
        <v>90.180999999999997</v>
      </c>
      <c r="O170" s="78">
        <f t="shared" si="57"/>
        <v>90.180999999999997</v>
      </c>
      <c r="P170" s="78">
        <f t="shared" si="57"/>
        <v>90.180999999999997</v>
      </c>
      <c r="Q170" s="78">
        <f t="shared" si="57"/>
        <v>90.180999999999997</v>
      </c>
      <c r="R170" s="78">
        <f t="shared" si="57"/>
        <v>90.180999999999997</v>
      </c>
      <c r="S170" s="75">
        <f>$E170*$G170*M170</f>
        <v>0</v>
      </c>
    </row>
    <row r="171" spans="1:19" s="15" customFormat="1" ht="13.5">
      <c r="A171" s="34" t="s">
        <v>43</v>
      </c>
      <c r="B171" s="21" t="s">
        <v>612</v>
      </c>
      <c r="C171" s="22" t="s">
        <v>117</v>
      </c>
      <c r="D171" s="57">
        <v>1</v>
      </c>
      <c r="E171" s="36"/>
      <c r="F171" s="44">
        <f>VLOOKUP(B171,GiaVL!$B$4:'GiaVL'!$D$189,3,0)</f>
        <v>2226</v>
      </c>
      <c r="G171" s="256">
        <f>D171*F171</f>
        <v>2226</v>
      </c>
      <c r="H171" s="253">
        <v>99.37</v>
      </c>
      <c r="I171" s="253">
        <v>99.37</v>
      </c>
      <c r="J171" s="253">
        <v>99.37</v>
      </c>
      <c r="K171" s="253">
        <v>99.37</v>
      </c>
      <c r="L171" s="251">
        <v>99.37</v>
      </c>
      <c r="M171" s="251"/>
      <c r="N171" s="207">
        <f>$G171*H171/100</f>
        <v>2211.9762000000001</v>
      </c>
      <c r="O171" s="207">
        <f>$G171*I171/100</f>
        <v>2211.9762000000001</v>
      </c>
      <c r="P171" s="207">
        <f>$G171*J171/100</f>
        <v>2211.9762000000001</v>
      </c>
      <c r="Q171" s="207">
        <f>$G171*K171/100</f>
        <v>2211.9762000000001</v>
      </c>
      <c r="R171" s="207">
        <f>$G171*L171/100</f>
        <v>2211.9762000000001</v>
      </c>
      <c r="S171" s="74">
        <f>$G171*M171</f>
        <v>0</v>
      </c>
    </row>
    <row r="172" spans="1:19" s="13" customFormat="1">
      <c r="A172" s="35" t="s">
        <v>31</v>
      </c>
      <c r="B172" s="32" t="s">
        <v>648</v>
      </c>
      <c r="C172" s="38" t="s">
        <v>43</v>
      </c>
      <c r="D172" s="56"/>
      <c r="E172" s="37"/>
      <c r="F172" s="255"/>
      <c r="G172" s="255"/>
      <c r="H172" s="249" t="s">
        <v>199</v>
      </c>
      <c r="I172" s="249" t="s">
        <v>199</v>
      </c>
      <c r="J172" s="249" t="s">
        <v>199</v>
      </c>
      <c r="K172" s="249" t="s">
        <v>199</v>
      </c>
      <c r="L172" s="249"/>
      <c r="M172" s="249"/>
      <c r="N172" s="207">
        <f>SUM(N173:N174)</f>
        <v>318.65442460317456</v>
      </c>
      <c r="O172" s="207">
        <f>SUM(O173:O174)</f>
        <v>318.65442460317456</v>
      </c>
      <c r="P172" s="207">
        <f>SUM(P173:P174)</f>
        <v>318.65442460317456</v>
      </c>
      <c r="Q172" s="207">
        <f>SUM(Q173:Q174)</f>
        <v>318.65442460317456</v>
      </c>
      <c r="R172" s="207"/>
      <c r="S172" s="77"/>
    </row>
    <row r="173" spans="1:19" s="13" customFormat="1">
      <c r="A173" s="34" t="s">
        <v>43</v>
      </c>
      <c r="B173" s="65" t="s">
        <v>647</v>
      </c>
      <c r="C173" s="12" t="s">
        <v>62</v>
      </c>
      <c r="D173" s="58">
        <v>0.35</v>
      </c>
      <c r="E173" s="36">
        <v>1</v>
      </c>
      <c r="F173" s="44">
        <f>VLOOKUP(B173,GiaVL!$B$4:'GiaVL'!$D$189,3,0)</f>
        <v>51190000</v>
      </c>
      <c r="G173" s="63">
        <f>F173/G$5</f>
        <v>14625.714285714286</v>
      </c>
      <c r="H173" s="253">
        <v>18.559999999999999</v>
      </c>
      <c r="I173" s="253">
        <v>18.559999999999999</v>
      </c>
      <c r="J173" s="253">
        <v>18.559999999999999</v>
      </c>
      <c r="K173" s="253">
        <v>18.559999999999999</v>
      </c>
      <c r="L173" s="251"/>
      <c r="M173" s="251"/>
      <c r="N173" s="78">
        <f t="shared" ref="N173:Q174" si="58">$E173*$G173*H173/900</f>
        <v>301.61473015873014</v>
      </c>
      <c r="O173" s="78">
        <f t="shared" si="58"/>
        <v>301.61473015873014</v>
      </c>
      <c r="P173" s="78">
        <f t="shared" si="58"/>
        <v>301.61473015873014</v>
      </c>
      <c r="Q173" s="78">
        <f t="shared" si="58"/>
        <v>301.61473015873014</v>
      </c>
      <c r="R173" s="78">
        <f>$E173*$G173*L173</f>
        <v>0</v>
      </c>
      <c r="S173" s="75">
        <f>$E173*$G173*M173</f>
        <v>0</v>
      </c>
    </row>
    <row r="174" spans="1:19" s="13" customFormat="1">
      <c r="A174" s="34" t="s">
        <v>43</v>
      </c>
      <c r="B174" s="6" t="s">
        <v>645</v>
      </c>
      <c r="C174" s="12" t="s">
        <v>62</v>
      </c>
      <c r="D174" s="58">
        <v>2.2000000000000002</v>
      </c>
      <c r="E174" s="36">
        <v>1</v>
      </c>
      <c r="F174" s="44">
        <f>VLOOKUP(B174,GiaVL!$B$4:'GiaVL'!$D$189,3,0)</f>
        <v>9910000</v>
      </c>
      <c r="G174" s="63">
        <f>F174/8/500</f>
        <v>2477.5</v>
      </c>
      <c r="H174" s="253">
        <v>6.19</v>
      </c>
      <c r="I174" s="253">
        <v>6.19</v>
      </c>
      <c r="J174" s="253">
        <v>6.19</v>
      </c>
      <c r="K174" s="253">
        <v>6.19</v>
      </c>
      <c r="L174" s="251"/>
      <c r="M174" s="251"/>
      <c r="N174" s="78">
        <f t="shared" si="58"/>
        <v>17.039694444444446</v>
      </c>
      <c r="O174" s="78">
        <f t="shared" si="58"/>
        <v>17.039694444444446</v>
      </c>
      <c r="P174" s="78">
        <f t="shared" si="58"/>
        <v>17.039694444444446</v>
      </c>
      <c r="Q174" s="78">
        <f t="shared" si="58"/>
        <v>17.039694444444446</v>
      </c>
      <c r="R174" s="78">
        <f>$E174*$G174*L174</f>
        <v>0</v>
      </c>
      <c r="S174" s="75">
        <f>$E174*$G174*M174</f>
        <v>0</v>
      </c>
    </row>
    <row r="175" spans="1:19" s="13" customFormat="1" ht="13.5">
      <c r="A175" s="34" t="s">
        <v>43</v>
      </c>
      <c r="B175" s="21" t="s">
        <v>612</v>
      </c>
      <c r="C175" s="22" t="s">
        <v>117</v>
      </c>
      <c r="D175" s="57">
        <v>1</v>
      </c>
      <c r="E175" s="36"/>
      <c r="F175" s="44">
        <f>VLOOKUP(B175,GiaVL!$B$4:'GiaVL'!$D$189,3,0)</f>
        <v>2226</v>
      </c>
      <c r="G175" s="256">
        <f>D175*F175</f>
        <v>2226</v>
      </c>
      <c r="H175" s="253">
        <v>168.96</v>
      </c>
      <c r="I175" s="253">
        <v>168.96</v>
      </c>
      <c r="J175" s="253">
        <v>168.96</v>
      </c>
      <c r="K175" s="253">
        <v>168.96</v>
      </c>
      <c r="L175" s="251"/>
      <c r="M175" s="251"/>
      <c r="N175" s="207">
        <f>$G175*H175/900</f>
        <v>417.89440000000002</v>
      </c>
      <c r="O175" s="207">
        <f>$G175*I175/900</f>
        <v>417.89440000000002</v>
      </c>
      <c r="P175" s="207">
        <f>$G175*J175/900</f>
        <v>417.89440000000002</v>
      </c>
      <c r="Q175" s="207">
        <f>$G175*K175/900</f>
        <v>417.89440000000002</v>
      </c>
      <c r="R175" s="207">
        <f>$G175*L175</f>
        <v>0</v>
      </c>
      <c r="S175" s="74">
        <f>$G175*M175</f>
        <v>0</v>
      </c>
    </row>
    <row r="176" spans="1:19" s="15" customFormat="1">
      <c r="A176" s="35" t="s">
        <v>37</v>
      </c>
      <c r="B176" s="32" t="s">
        <v>644</v>
      </c>
      <c r="C176" s="38" t="s">
        <v>43</v>
      </c>
      <c r="D176" s="56"/>
      <c r="E176" s="37"/>
      <c r="F176" s="255"/>
      <c r="G176" s="255"/>
      <c r="H176" s="249" t="s">
        <v>199</v>
      </c>
      <c r="I176" s="249" t="s">
        <v>199</v>
      </c>
      <c r="J176" s="249" t="s">
        <v>199</v>
      </c>
      <c r="K176" s="249" t="s">
        <v>199</v>
      </c>
      <c r="L176" s="249"/>
      <c r="M176" s="249"/>
      <c r="N176" s="207">
        <f>SUM(N177:N178)</f>
        <v>119.49885019841271</v>
      </c>
      <c r="O176" s="207">
        <f>SUM(O177:O178)</f>
        <v>119.49885019841271</v>
      </c>
      <c r="P176" s="207">
        <f>SUM(P177:P178)</f>
        <v>119.49885019841271</v>
      </c>
      <c r="Q176" s="207">
        <f>SUM(Q177:Q178)</f>
        <v>119.49885019841271</v>
      </c>
      <c r="R176" s="207"/>
      <c r="S176" s="77"/>
    </row>
    <row r="177" spans="1:19" s="13" customFormat="1">
      <c r="A177" s="34" t="s">
        <v>43</v>
      </c>
      <c r="B177" s="65" t="s">
        <v>647</v>
      </c>
      <c r="C177" s="12" t="s">
        <v>62</v>
      </c>
      <c r="D177" s="58">
        <v>0.35</v>
      </c>
      <c r="E177" s="36">
        <v>1</v>
      </c>
      <c r="F177" s="44">
        <f>VLOOKUP(B177,GiaVL!$B$4:'GiaVL'!$D$189,3,0)</f>
        <v>51190000</v>
      </c>
      <c r="G177" s="63">
        <f>F177/G$5</f>
        <v>14625.714285714286</v>
      </c>
      <c r="H177" s="253">
        <v>27.84</v>
      </c>
      <c r="I177" s="253">
        <v>27.84</v>
      </c>
      <c r="J177" s="253">
        <v>27.84</v>
      </c>
      <c r="K177" s="253">
        <v>27.84</v>
      </c>
      <c r="L177" s="251"/>
      <c r="M177" s="251"/>
      <c r="N177" s="78">
        <f t="shared" ref="N177:Q178" si="59">$E177*$G177*H177/3600</f>
        <v>113.10552380952382</v>
      </c>
      <c r="O177" s="78">
        <f t="shared" si="59"/>
        <v>113.10552380952382</v>
      </c>
      <c r="P177" s="78">
        <f t="shared" si="59"/>
        <v>113.10552380952382</v>
      </c>
      <c r="Q177" s="78">
        <f t="shared" si="59"/>
        <v>113.10552380952382</v>
      </c>
      <c r="R177" s="78">
        <f>$E177*$G177*L177</f>
        <v>0</v>
      </c>
      <c r="S177" s="75">
        <f>$E177*$G177*M177</f>
        <v>0</v>
      </c>
    </row>
    <row r="178" spans="1:19" s="13" customFormat="1">
      <c r="A178" s="34" t="s">
        <v>43</v>
      </c>
      <c r="B178" s="6" t="s">
        <v>645</v>
      </c>
      <c r="C178" s="12" t="s">
        <v>62</v>
      </c>
      <c r="D178" s="58">
        <v>2.2000000000000002</v>
      </c>
      <c r="E178" s="36">
        <v>1</v>
      </c>
      <c r="F178" s="44">
        <f>VLOOKUP(B178,GiaVL!$B$4:'GiaVL'!$D$189,3,0)</f>
        <v>9910000</v>
      </c>
      <c r="G178" s="63">
        <f>F178/8/500</f>
        <v>2477.5</v>
      </c>
      <c r="H178" s="253">
        <v>9.2899999999999991</v>
      </c>
      <c r="I178" s="253">
        <v>9.2899999999999991</v>
      </c>
      <c r="J178" s="253">
        <v>9.2899999999999991</v>
      </c>
      <c r="K178" s="253">
        <v>9.2899999999999991</v>
      </c>
      <c r="L178" s="251"/>
      <c r="M178" s="251"/>
      <c r="N178" s="78">
        <f t="shared" si="59"/>
        <v>6.3933263888888883</v>
      </c>
      <c r="O178" s="78">
        <f t="shared" si="59"/>
        <v>6.3933263888888883</v>
      </c>
      <c r="P178" s="78">
        <f t="shared" si="59"/>
        <v>6.3933263888888883</v>
      </c>
      <c r="Q178" s="78">
        <f t="shared" si="59"/>
        <v>6.3933263888888883</v>
      </c>
      <c r="R178" s="78">
        <f>$E178*$G178*L178</f>
        <v>0</v>
      </c>
      <c r="S178" s="75">
        <f>$E178*$G178*M178</f>
        <v>0</v>
      </c>
    </row>
    <row r="179" spans="1:19" s="13" customFormat="1" ht="13.5">
      <c r="A179" s="34" t="s">
        <v>43</v>
      </c>
      <c r="B179" s="21" t="s">
        <v>612</v>
      </c>
      <c r="C179" s="22" t="s">
        <v>117</v>
      </c>
      <c r="D179" s="57">
        <v>1</v>
      </c>
      <c r="E179" s="36"/>
      <c r="F179" s="44">
        <f>VLOOKUP(B179,GiaVL!$B$4:'GiaVL'!$D$189,3,0)</f>
        <v>2226</v>
      </c>
      <c r="G179" s="256">
        <f>D179*F179</f>
        <v>2226</v>
      </c>
      <c r="H179" s="253">
        <v>253.44</v>
      </c>
      <c r="I179" s="253">
        <v>253.44</v>
      </c>
      <c r="J179" s="253">
        <v>253.44</v>
      </c>
      <c r="K179" s="253">
        <v>253.44</v>
      </c>
      <c r="L179" s="251"/>
      <c r="M179" s="251"/>
      <c r="N179" s="207">
        <f>$G179*H179/3600</f>
        <v>156.71039999999999</v>
      </c>
      <c r="O179" s="207">
        <f>$G179*I179/3600</f>
        <v>156.71039999999999</v>
      </c>
      <c r="P179" s="207">
        <f>$G179*J179/3600</f>
        <v>156.71039999999999</v>
      </c>
      <c r="Q179" s="207">
        <f>$G179*K179/3600</f>
        <v>156.71039999999999</v>
      </c>
      <c r="R179" s="207">
        <f>$G179*L179</f>
        <v>0</v>
      </c>
      <c r="S179" s="74">
        <f>$G179*M179</f>
        <v>0</v>
      </c>
    </row>
    <row r="180" spans="1:19" s="13" customFormat="1" ht="13.5">
      <c r="A180" s="34"/>
      <c r="B180" s="33"/>
      <c r="C180" s="22"/>
      <c r="D180" s="57"/>
      <c r="E180" s="36"/>
      <c r="F180" s="48"/>
      <c r="G180" s="48"/>
      <c r="H180" s="253"/>
      <c r="I180" s="253"/>
      <c r="J180" s="253"/>
      <c r="K180" s="253"/>
      <c r="L180" s="251"/>
      <c r="M180" s="251"/>
      <c r="N180" s="76"/>
      <c r="O180" s="76"/>
      <c r="P180" s="76"/>
      <c r="Q180" s="76"/>
      <c r="R180" s="76"/>
      <c r="S180" s="74"/>
    </row>
    <row r="181" spans="1:19" s="13" customFormat="1" ht="15" customHeight="1">
      <c r="A181" s="35" t="s">
        <v>271</v>
      </c>
      <c r="B181" s="1174" t="str">
        <f>L_CViec!B27</f>
        <v>In sản phẩm đo đạc lập bản đồ địa chính gồm sản phẩm chính và sản phẩm trung gian</v>
      </c>
      <c r="C181" s="1174"/>
      <c r="D181" s="1174"/>
      <c r="E181" s="1174"/>
      <c r="F181" s="44"/>
      <c r="G181" s="44"/>
      <c r="H181" s="251"/>
      <c r="I181" s="251"/>
      <c r="J181" s="251"/>
      <c r="K181" s="251"/>
      <c r="L181" s="251"/>
      <c r="M181" s="251"/>
      <c r="N181" s="62"/>
      <c r="O181" s="62"/>
      <c r="P181" s="62"/>
      <c r="Q181" s="62"/>
      <c r="R181" s="62"/>
      <c r="S181" s="75"/>
    </row>
    <row r="182" spans="1:19" s="15" customFormat="1">
      <c r="A182" s="35" t="s">
        <v>27</v>
      </c>
      <c r="B182" s="32" t="s">
        <v>639</v>
      </c>
      <c r="C182" s="38" t="s">
        <v>43</v>
      </c>
      <c r="D182" s="56"/>
      <c r="E182" s="37"/>
      <c r="F182" s="45"/>
      <c r="G182" s="45"/>
      <c r="H182" s="249"/>
      <c r="I182" s="249"/>
      <c r="J182" s="249"/>
      <c r="K182" s="249"/>
      <c r="L182" s="249"/>
      <c r="M182" s="249"/>
      <c r="N182" s="76">
        <f t="shared" ref="N182:S182" si="60">SUM(N183:N185)</f>
        <v>7072.6264285714287</v>
      </c>
      <c r="O182" s="76">
        <f t="shared" si="60"/>
        <v>7072.6264285714287</v>
      </c>
      <c r="P182" s="76">
        <f t="shared" si="60"/>
        <v>7072.6264285714287</v>
      </c>
      <c r="Q182" s="76">
        <f t="shared" si="60"/>
        <v>7072.6264285714287</v>
      </c>
      <c r="R182" s="76">
        <f t="shared" si="60"/>
        <v>0</v>
      </c>
      <c r="S182" s="77">
        <f t="shared" si="60"/>
        <v>0</v>
      </c>
    </row>
    <row r="183" spans="1:19" s="13" customFormat="1">
      <c r="A183" s="34" t="s">
        <v>43</v>
      </c>
      <c r="B183" s="65" t="s">
        <v>650</v>
      </c>
      <c r="C183" s="12" t="s">
        <v>62</v>
      </c>
      <c r="D183" s="58">
        <v>0.35</v>
      </c>
      <c r="E183" s="36">
        <v>1</v>
      </c>
      <c r="F183" s="44">
        <f>VLOOKUP(B183,GiaVL!$B$4:'GiaVL'!$D$189,3,0)</f>
        <v>51190000</v>
      </c>
      <c r="G183" s="44">
        <f>F183/G$5</f>
        <v>14625.714285714286</v>
      </c>
      <c r="H183" s="257">
        <v>0.31</v>
      </c>
      <c r="I183" s="257">
        <v>0.31</v>
      </c>
      <c r="J183" s="257">
        <v>0.31</v>
      </c>
      <c r="K183" s="257">
        <v>0.31</v>
      </c>
      <c r="L183" s="251"/>
      <c r="M183" s="251"/>
      <c r="N183" s="62">
        <f t="shared" ref="N183:S185" si="61">$E183*$G183*H183</f>
        <v>4533.971428571429</v>
      </c>
      <c r="O183" s="62">
        <f t="shared" si="61"/>
        <v>4533.971428571429</v>
      </c>
      <c r="P183" s="62">
        <f t="shared" si="61"/>
        <v>4533.971428571429</v>
      </c>
      <c r="Q183" s="62">
        <f t="shared" si="61"/>
        <v>4533.971428571429</v>
      </c>
      <c r="R183" s="62">
        <f t="shared" si="61"/>
        <v>0</v>
      </c>
      <c r="S183" s="75">
        <f t="shared" si="61"/>
        <v>0</v>
      </c>
    </row>
    <row r="184" spans="1:19" s="13" customFormat="1">
      <c r="A184" s="34" t="s">
        <v>43</v>
      </c>
      <c r="B184" s="21" t="s">
        <v>247</v>
      </c>
      <c r="C184" s="12" t="s">
        <v>62</v>
      </c>
      <c r="D184" s="58">
        <v>0.4</v>
      </c>
      <c r="E184" s="12" t="s">
        <v>18</v>
      </c>
      <c r="F184" s="44">
        <f>VLOOKUP(B184,GiaVL!$B$4:'GiaVL'!$D$189,3,0)</f>
        <v>101818000</v>
      </c>
      <c r="G184" s="44">
        <f>F184/G$6</f>
        <v>25454.5</v>
      </c>
      <c r="H184" s="257">
        <v>0.09</v>
      </c>
      <c r="I184" s="257">
        <v>0.09</v>
      </c>
      <c r="J184" s="257">
        <v>0.09</v>
      </c>
      <c r="K184" s="257">
        <v>0.09</v>
      </c>
      <c r="L184" s="251"/>
      <c r="M184" s="251"/>
      <c r="N184" s="62">
        <f t="shared" si="61"/>
        <v>2290.9049999999997</v>
      </c>
      <c r="O184" s="62">
        <f t="shared" si="61"/>
        <v>2290.9049999999997</v>
      </c>
      <c r="P184" s="62">
        <f t="shared" si="61"/>
        <v>2290.9049999999997</v>
      </c>
      <c r="Q184" s="62">
        <f t="shared" si="61"/>
        <v>2290.9049999999997</v>
      </c>
      <c r="R184" s="62">
        <f t="shared" si="61"/>
        <v>0</v>
      </c>
      <c r="S184" s="75">
        <f t="shared" si="61"/>
        <v>0</v>
      </c>
    </row>
    <row r="185" spans="1:19" s="13" customFormat="1">
      <c r="A185" s="34" t="s">
        <v>43</v>
      </c>
      <c r="B185" s="6" t="s">
        <v>645</v>
      </c>
      <c r="C185" s="12" t="s">
        <v>62</v>
      </c>
      <c r="D185" s="58">
        <v>2.2000000000000002</v>
      </c>
      <c r="E185" s="36">
        <v>1</v>
      </c>
      <c r="F185" s="44">
        <f>VLOOKUP(B185,GiaVL!$B$4:'GiaVL'!$D$189,3,0)</f>
        <v>9910000</v>
      </c>
      <c r="G185" s="44">
        <f>F185/G$6</f>
        <v>2477.5</v>
      </c>
      <c r="H185" s="257">
        <v>0.1</v>
      </c>
      <c r="I185" s="257">
        <v>0.1</v>
      </c>
      <c r="J185" s="257">
        <v>0.1</v>
      </c>
      <c r="K185" s="257">
        <v>0.1</v>
      </c>
      <c r="L185" s="251"/>
      <c r="M185" s="251"/>
      <c r="N185" s="62">
        <f>$E185*$G185*H185</f>
        <v>247.75</v>
      </c>
      <c r="O185" s="62">
        <f t="shared" si="61"/>
        <v>247.75</v>
      </c>
      <c r="P185" s="62">
        <f t="shared" si="61"/>
        <v>247.75</v>
      </c>
      <c r="Q185" s="62">
        <f t="shared" si="61"/>
        <v>247.75</v>
      </c>
      <c r="R185" s="62">
        <f t="shared" si="61"/>
        <v>0</v>
      </c>
      <c r="S185" s="75">
        <f t="shared" si="61"/>
        <v>0</v>
      </c>
    </row>
    <row r="186" spans="1:19" s="20" customFormat="1" ht="13.5">
      <c r="A186" s="46" t="s">
        <v>43</v>
      </c>
      <c r="B186" s="21" t="s">
        <v>612</v>
      </c>
      <c r="C186" s="22" t="s">
        <v>117</v>
      </c>
      <c r="D186" s="57">
        <v>1</v>
      </c>
      <c r="E186" s="12" t="s">
        <v>43</v>
      </c>
      <c r="F186" s="44">
        <f>VLOOKUP(B186,GiaVL!$B$4:'GiaVL'!$D$189,3,0)</f>
        <v>2226</v>
      </c>
      <c r="G186" s="48">
        <f>D186*F186</f>
        <v>2226</v>
      </c>
      <c r="H186" s="257">
        <v>3.06</v>
      </c>
      <c r="I186" s="257">
        <v>3.06</v>
      </c>
      <c r="J186" s="257">
        <v>3.06</v>
      </c>
      <c r="K186" s="257">
        <v>3.06</v>
      </c>
      <c r="L186" s="250"/>
      <c r="M186" s="250"/>
      <c r="N186" s="76">
        <f t="shared" ref="N186:S186" si="62">$G186*H186</f>
        <v>6811.56</v>
      </c>
      <c r="O186" s="76">
        <f t="shared" si="62"/>
        <v>6811.56</v>
      </c>
      <c r="P186" s="76">
        <f t="shared" si="62"/>
        <v>6811.56</v>
      </c>
      <c r="Q186" s="76">
        <f t="shared" si="62"/>
        <v>6811.56</v>
      </c>
      <c r="R186" s="76">
        <f>$G186*L186</f>
        <v>0</v>
      </c>
      <c r="S186" s="74">
        <f t="shared" si="62"/>
        <v>0</v>
      </c>
    </row>
    <row r="187" spans="1:19" s="15" customFormat="1">
      <c r="A187" s="35" t="s">
        <v>28</v>
      </c>
      <c r="B187" s="32" t="s">
        <v>640</v>
      </c>
      <c r="C187" s="38" t="s">
        <v>43</v>
      </c>
      <c r="D187" s="56"/>
      <c r="E187" s="12" t="s">
        <v>43</v>
      </c>
      <c r="F187" s="45"/>
      <c r="G187" s="45"/>
      <c r="H187" s="258" t="s">
        <v>199</v>
      </c>
      <c r="I187" s="258" t="s">
        <v>199</v>
      </c>
      <c r="J187" s="258" t="s">
        <v>199</v>
      </c>
      <c r="K187" s="258" t="s">
        <v>199</v>
      </c>
      <c r="L187" s="249" t="s">
        <v>199</v>
      </c>
      <c r="M187" s="249"/>
      <c r="N187" s="76">
        <f t="shared" ref="N187:S187" si="63">SUM(N188:N190)</f>
        <v>1256.5539428571428</v>
      </c>
      <c r="O187" s="76">
        <f t="shared" si="63"/>
        <v>1256.5539428571428</v>
      </c>
      <c r="P187" s="76">
        <f t="shared" si="63"/>
        <v>1256.5539428571428</v>
      </c>
      <c r="Q187" s="76">
        <f t="shared" si="63"/>
        <v>1256.5539428571428</v>
      </c>
      <c r="R187" s="76">
        <f t="shared" si="63"/>
        <v>1256.5539428571428</v>
      </c>
      <c r="S187" s="77">
        <f t="shared" si="63"/>
        <v>0</v>
      </c>
    </row>
    <row r="188" spans="1:19" s="13" customFormat="1">
      <c r="A188" s="34" t="s">
        <v>43</v>
      </c>
      <c r="B188" s="65" t="s">
        <v>650</v>
      </c>
      <c r="C188" s="12" t="s">
        <v>62</v>
      </c>
      <c r="D188" s="58">
        <v>0.35</v>
      </c>
      <c r="E188" s="36">
        <v>1</v>
      </c>
      <c r="F188" s="44">
        <f>VLOOKUP(B188,GiaVL!$B$4:'GiaVL'!$D$189,3,0)</f>
        <v>51190000</v>
      </c>
      <c r="G188" s="44">
        <f>F188/G$5</f>
        <v>14625.714285714286</v>
      </c>
      <c r="H188" s="257">
        <v>0.36</v>
      </c>
      <c r="I188" s="257">
        <v>0.36</v>
      </c>
      <c r="J188" s="257">
        <v>0.36</v>
      </c>
      <c r="K188" s="257">
        <v>0.36</v>
      </c>
      <c r="L188" s="257">
        <v>0.36</v>
      </c>
      <c r="M188" s="257"/>
      <c r="N188" s="62">
        <f t="shared" ref="N188:R190" si="64">$E188*$G188*H188/6.25</f>
        <v>842.44114285714284</v>
      </c>
      <c r="O188" s="62">
        <f t="shared" si="64"/>
        <v>842.44114285714284</v>
      </c>
      <c r="P188" s="62">
        <f t="shared" si="64"/>
        <v>842.44114285714284</v>
      </c>
      <c r="Q188" s="62">
        <f t="shared" si="64"/>
        <v>842.44114285714284</v>
      </c>
      <c r="R188" s="62">
        <f t="shared" si="64"/>
        <v>842.44114285714284</v>
      </c>
      <c r="S188" s="75">
        <f>$E188*$G188*M188</f>
        <v>0</v>
      </c>
    </row>
    <row r="189" spans="1:19" s="13" customFormat="1">
      <c r="A189" s="34" t="s">
        <v>43</v>
      </c>
      <c r="B189" s="21" t="s">
        <v>247</v>
      </c>
      <c r="C189" s="12" t="s">
        <v>62</v>
      </c>
      <c r="D189" s="58">
        <v>0.4</v>
      </c>
      <c r="E189" s="12" t="s">
        <v>18</v>
      </c>
      <c r="F189" s="44">
        <f>VLOOKUP(B189,GiaVL!$B$4:'GiaVL'!$D$189,3,0)</f>
        <v>101818000</v>
      </c>
      <c r="G189" s="44">
        <f>F189/G$6</f>
        <v>25454.5</v>
      </c>
      <c r="H189" s="257">
        <v>0.09</v>
      </c>
      <c r="I189" s="257">
        <v>0.09</v>
      </c>
      <c r="J189" s="257">
        <v>0.09</v>
      </c>
      <c r="K189" s="257">
        <v>0.09</v>
      </c>
      <c r="L189" s="257">
        <v>0.09</v>
      </c>
      <c r="M189" s="257"/>
      <c r="N189" s="62">
        <f t="shared" si="64"/>
        <v>366.54479999999995</v>
      </c>
      <c r="O189" s="62">
        <f t="shared" si="64"/>
        <v>366.54479999999995</v>
      </c>
      <c r="P189" s="62">
        <f t="shared" si="64"/>
        <v>366.54479999999995</v>
      </c>
      <c r="Q189" s="62">
        <f t="shared" si="64"/>
        <v>366.54479999999995</v>
      </c>
      <c r="R189" s="62">
        <f t="shared" si="64"/>
        <v>366.54479999999995</v>
      </c>
      <c r="S189" s="75">
        <f>$E189*$G189*M189</f>
        <v>0</v>
      </c>
    </row>
    <row r="190" spans="1:19" s="13" customFormat="1">
      <c r="A190" s="34" t="s">
        <v>43</v>
      </c>
      <c r="B190" s="6" t="s">
        <v>645</v>
      </c>
      <c r="C190" s="12" t="s">
        <v>62</v>
      </c>
      <c r="D190" s="58">
        <v>2.2000000000000002</v>
      </c>
      <c r="E190" s="36">
        <v>1</v>
      </c>
      <c r="F190" s="44">
        <f>VLOOKUP(B190,GiaVL!$B$4:'GiaVL'!$D$189,3,0)</f>
        <v>9910000</v>
      </c>
      <c r="G190" s="44">
        <f>F190/G$6</f>
        <v>2477.5</v>
      </c>
      <c r="H190" s="257">
        <v>0.12</v>
      </c>
      <c r="I190" s="257">
        <v>0.12</v>
      </c>
      <c r="J190" s="257">
        <v>0.12</v>
      </c>
      <c r="K190" s="257">
        <v>0.12</v>
      </c>
      <c r="L190" s="257">
        <v>0.12</v>
      </c>
      <c r="M190" s="257"/>
      <c r="N190" s="62">
        <f t="shared" si="64"/>
        <v>47.568000000000005</v>
      </c>
      <c r="O190" s="62">
        <f t="shared" si="64"/>
        <v>47.568000000000005</v>
      </c>
      <c r="P190" s="62">
        <f t="shared" si="64"/>
        <v>47.568000000000005</v>
      </c>
      <c r="Q190" s="62">
        <f t="shared" si="64"/>
        <v>47.568000000000005</v>
      </c>
      <c r="R190" s="62">
        <f t="shared" si="64"/>
        <v>47.568000000000005</v>
      </c>
      <c r="S190" s="75">
        <f>$E190*$G190*M190</f>
        <v>0</v>
      </c>
    </row>
    <row r="191" spans="1:19" s="20" customFormat="1" ht="13.5">
      <c r="A191" s="46" t="s">
        <v>43</v>
      </c>
      <c r="B191" s="21" t="s">
        <v>612</v>
      </c>
      <c r="C191" s="22" t="s">
        <v>117</v>
      </c>
      <c r="D191" s="57">
        <v>1</v>
      </c>
      <c r="E191" s="12" t="s">
        <v>43</v>
      </c>
      <c r="F191" s="44">
        <f>VLOOKUP(B191,GiaVL!$B$4:'GiaVL'!$D$189,3,0)</f>
        <v>2226</v>
      </c>
      <c r="G191" s="48">
        <f>D191*F191</f>
        <v>2226</v>
      </c>
      <c r="H191" s="257">
        <v>3.58</v>
      </c>
      <c r="I191" s="257">
        <v>3.58</v>
      </c>
      <c r="J191" s="257">
        <v>3.58</v>
      </c>
      <c r="K191" s="257">
        <v>3.58</v>
      </c>
      <c r="L191" s="257">
        <v>3.58</v>
      </c>
      <c r="M191" s="257"/>
      <c r="N191" s="76">
        <f>$G191*H191/6.25</f>
        <v>1275.0527999999999</v>
      </c>
      <c r="O191" s="76">
        <f>$G191*I191/6.25</f>
        <v>1275.0527999999999</v>
      </c>
      <c r="P191" s="76">
        <f>$G191*J191/6.25</f>
        <v>1275.0527999999999</v>
      </c>
      <c r="Q191" s="76">
        <f>$G191*K191/6.25</f>
        <v>1275.0527999999999</v>
      </c>
      <c r="R191" s="76">
        <f>$G191*L191/6.25</f>
        <v>1275.0527999999999</v>
      </c>
      <c r="S191" s="74">
        <f>$G191*M191</f>
        <v>0</v>
      </c>
    </row>
    <row r="192" spans="1:19" s="15" customFormat="1">
      <c r="A192" s="35" t="s">
        <v>29</v>
      </c>
      <c r="B192" s="32" t="s">
        <v>641</v>
      </c>
      <c r="C192" s="38" t="s">
        <v>43</v>
      </c>
      <c r="D192" s="56"/>
      <c r="E192" s="12" t="s">
        <v>43</v>
      </c>
      <c r="F192" s="45"/>
      <c r="G192" s="45"/>
      <c r="H192" s="258" t="s">
        <v>199</v>
      </c>
      <c r="I192" s="258" t="s">
        <v>199</v>
      </c>
      <c r="J192" s="258" t="s">
        <v>199</v>
      </c>
      <c r="K192" s="258" t="s">
        <v>199</v>
      </c>
      <c r="L192" s="258" t="s">
        <v>199</v>
      </c>
      <c r="M192" s="258"/>
      <c r="N192" s="76">
        <f t="shared" ref="N192:S192" si="65">SUM(N193:N195)</f>
        <v>345.3719142857143</v>
      </c>
      <c r="O192" s="76">
        <f t="shared" si="65"/>
        <v>345.3719142857143</v>
      </c>
      <c r="P192" s="76">
        <f t="shared" si="65"/>
        <v>345.3719142857143</v>
      </c>
      <c r="Q192" s="76">
        <f t="shared" si="65"/>
        <v>345.3719142857143</v>
      </c>
      <c r="R192" s="76">
        <f t="shared" si="65"/>
        <v>345.3719142857143</v>
      </c>
      <c r="S192" s="77">
        <f t="shared" si="65"/>
        <v>0</v>
      </c>
    </row>
    <row r="193" spans="1:19" s="13" customFormat="1">
      <c r="A193" s="34" t="s">
        <v>43</v>
      </c>
      <c r="B193" s="65" t="s">
        <v>650</v>
      </c>
      <c r="C193" s="12" t="s">
        <v>62</v>
      </c>
      <c r="D193" s="58">
        <v>0.35</v>
      </c>
      <c r="E193" s="36">
        <v>1</v>
      </c>
      <c r="F193" s="44">
        <f>VLOOKUP(B193,GiaVL!$B$4:'GiaVL'!$D$189,3,0)</f>
        <v>51190000</v>
      </c>
      <c r="G193" s="44">
        <f>F193/G$5</f>
        <v>14625.714285714286</v>
      </c>
      <c r="H193" s="257">
        <v>0.41</v>
      </c>
      <c r="I193" s="257">
        <v>0.41</v>
      </c>
      <c r="J193" s="257">
        <v>0.41</v>
      </c>
      <c r="K193" s="257">
        <v>0.41</v>
      </c>
      <c r="L193" s="257">
        <v>0.41</v>
      </c>
      <c r="M193" s="257"/>
      <c r="N193" s="62">
        <f t="shared" ref="N193:R195" si="66">$E193*$G193*H193/25</f>
        <v>239.8617142857143</v>
      </c>
      <c r="O193" s="62">
        <f t="shared" si="66"/>
        <v>239.8617142857143</v>
      </c>
      <c r="P193" s="62">
        <f t="shared" si="66"/>
        <v>239.8617142857143</v>
      </c>
      <c r="Q193" s="62">
        <f t="shared" si="66"/>
        <v>239.8617142857143</v>
      </c>
      <c r="R193" s="62">
        <f t="shared" si="66"/>
        <v>239.8617142857143</v>
      </c>
      <c r="S193" s="75">
        <f>$E193*$G193*M193</f>
        <v>0</v>
      </c>
    </row>
    <row r="194" spans="1:19" s="13" customFormat="1">
      <c r="A194" s="34" t="s">
        <v>43</v>
      </c>
      <c r="B194" s="21" t="s">
        <v>247</v>
      </c>
      <c r="C194" s="12" t="s">
        <v>62</v>
      </c>
      <c r="D194" s="58">
        <v>0.4</v>
      </c>
      <c r="E194" s="12" t="s">
        <v>18</v>
      </c>
      <c r="F194" s="44">
        <f>VLOOKUP(B194,GiaVL!$B$4:'GiaVL'!$D$189,3,0)</f>
        <v>101818000</v>
      </c>
      <c r="G194" s="44">
        <f>F194/G$6</f>
        <v>25454.5</v>
      </c>
      <c r="H194" s="257">
        <v>0.09</v>
      </c>
      <c r="I194" s="257">
        <v>0.09</v>
      </c>
      <c r="J194" s="257">
        <v>0.09</v>
      </c>
      <c r="K194" s="257">
        <v>0.09</v>
      </c>
      <c r="L194" s="257">
        <v>0.09</v>
      </c>
      <c r="M194" s="257"/>
      <c r="N194" s="62">
        <f t="shared" si="66"/>
        <v>91.636199999999988</v>
      </c>
      <c r="O194" s="62">
        <f t="shared" si="66"/>
        <v>91.636199999999988</v>
      </c>
      <c r="P194" s="62">
        <f t="shared" si="66"/>
        <v>91.636199999999988</v>
      </c>
      <c r="Q194" s="62">
        <f t="shared" si="66"/>
        <v>91.636199999999988</v>
      </c>
      <c r="R194" s="62">
        <f t="shared" si="66"/>
        <v>91.636199999999988</v>
      </c>
      <c r="S194" s="75">
        <f>$E194*$G194*M194</f>
        <v>0</v>
      </c>
    </row>
    <row r="195" spans="1:19" s="13" customFormat="1">
      <c r="A195" s="34" t="s">
        <v>43</v>
      </c>
      <c r="B195" s="6" t="s">
        <v>645</v>
      </c>
      <c r="C195" s="12" t="s">
        <v>62</v>
      </c>
      <c r="D195" s="58">
        <v>2.2000000000000002</v>
      </c>
      <c r="E195" s="36">
        <v>1</v>
      </c>
      <c r="F195" s="44">
        <f>VLOOKUP(B195,GiaVL!$B$4:'GiaVL'!$D$189,3,0)</f>
        <v>9910000</v>
      </c>
      <c r="G195" s="44">
        <f>F195/G$6</f>
        <v>2477.5</v>
      </c>
      <c r="H195" s="257">
        <v>0.14000000000000001</v>
      </c>
      <c r="I195" s="257">
        <v>0.14000000000000001</v>
      </c>
      <c r="J195" s="257">
        <v>0.14000000000000001</v>
      </c>
      <c r="K195" s="257">
        <v>0.14000000000000001</v>
      </c>
      <c r="L195" s="257">
        <v>0.14000000000000001</v>
      </c>
      <c r="M195" s="257"/>
      <c r="N195" s="62">
        <f t="shared" si="66"/>
        <v>13.874000000000001</v>
      </c>
      <c r="O195" s="62">
        <f t="shared" si="66"/>
        <v>13.874000000000001</v>
      </c>
      <c r="P195" s="62">
        <f t="shared" si="66"/>
        <v>13.874000000000001</v>
      </c>
      <c r="Q195" s="62">
        <f t="shared" si="66"/>
        <v>13.874000000000001</v>
      </c>
      <c r="R195" s="62">
        <f t="shared" si="66"/>
        <v>13.874000000000001</v>
      </c>
      <c r="S195" s="75">
        <f>$E195*$G195*M195</f>
        <v>0</v>
      </c>
    </row>
    <row r="196" spans="1:19" s="20" customFormat="1" ht="13.5">
      <c r="A196" s="46" t="s">
        <v>43</v>
      </c>
      <c r="B196" s="21" t="s">
        <v>612</v>
      </c>
      <c r="C196" s="22" t="s">
        <v>117</v>
      </c>
      <c r="D196" s="57">
        <v>1</v>
      </c>
      <c r="E196" s="12" t="s">
        <v>43</v>
      </c>
      <c r="F196" s="44">
        <f>VLOOKUP(B196,GiaVL!$B$4:'GiaVL'!$D$189,3,0)</f>
        <v>2226</v>
      </c>
      <c r="G196" s="48">
        <f>D196*F196</f>
        <v>2226</v>
      </c>
      <c r="H196" s="257">
        <v>4.09</v>
      </c>
      <c r="I196" s="257">
        <v>4.09</v>
      </c>
      <c r="J196" s="257">
        <v>4.09</v>
      </c>
      <c r="K196" s="257">
        <v>4.09</v>
      </c>
      <c r="L196" s="257">
        <v>4.09</v>
      </c>
      <c r="M196" s="257"/>
      <c r="N196" s="76">
        <f>$G196*H196/25</f>
        <v>364.17360000000002</v>
      </c>
      <c r="O196" s="76">
        <f>$G196*I196/25</f>
        <v>364.17360000000002</v>
      </c>
      <c r="P196" s="76">
        <f>$G196*J196/25</f>
        <v>364.17360000000002</v>
      </c>
      <c r="Q196" s="76">
        <f>$G196*K196/25</f>
        <v>364.17360000000002</v>
      </c>
      <c r="R196" s="76">
        <f>$G196*L196/25</f>
        <v>364.17360000000002</v>
      </c>
      <c r="S196" s="74">
        <f>$G196*M196</f>
        <v>0</v>
      </c>
    </row>
    <row r="197" spans="1:19" s="15" customFormat="1">
      <c r="A197" s="35" t="s">
        <v>30</v>
      </c>
      <c r="B197" s="32" t="s">
        <v>642</v>
      </c>
      <c r="C197" s="38" t="s">
        <v>43</v>
      </c>
      <c r="D197" s="56"/>
      <c r="E197" s="12" t="s">
        <v>43</v>
      </c>
      <c r="F197" s="45"/>
      <c r="G197" s="45"/>
      <c r="H197" s="258" t="s">
        <v>199</v>
      </c>
      <c r="I197" s="258" t="s">
        <v>199</v>
      </c>
      <c r="J197" s="258" t="s">
        <v>199</v>
      </c>
      <c r="K197" s="258" t="s">
        <v>199</v>
      </c>
      <c r="L197" s="249" t="s">
        <v>199</v>
      </c>
      <c r="M197" s="249"/>
      <c r="N197" s="76">
        <f t="shared" ref="N197:S197" si="67">SUM(N198:N200)</f>
        <v>93.903585714285711</v>
      </c>
      <c r="O197" s="76">
        <f t="shared" si="67"/>
        <v>93.903585714285711</v>
      </c>
      <c r="P197" s="76">
        <f t="shared" si="67"/>
        <v>93.903585714285711</v>
      </c>
      <c r="Q197" s="76">
        <f t="shared" si="67"/>
        <v>93.903585714285711</v>
      </c>
      <c r="R197" s="76">
        <f t="shared" si="67"/>
        <v>93.903585714285711</v>
      </c>
      <c r="S197" s="77">
        <f t="shared" si="67"/>
        <v>0</v>
      </c>
    </row>
    <row r="198" spans="1:19" s="13" customFormat="1">
      <c r="A198" s="34" t="s">
        <v>43</v>
      </c>
      <c r="B198" s="65" t="s">
        <v>650</v>
      </c>
      <c r="C198" s="12" t="s">
        <v>62</v>
      </c>
      <c r="D198" s="58">
        <v>0.35</v>
      </c>
      <c r="E198" s="36">
        <v>1</v>
      </c>
      <c r="F198" s="44">
        <f>VLOOKUP(B198,GiaVL!$B$4:'GiaVL'!$D$189,3,0)</f>
        <v>51190000</v>
      </c>
      <c r="G198" s="44">
        <f>F198/G$5</f>
        <v>14625.714285714286</v>
      </c>
      <c r="H198" s="257">
        <v>0.46</v>
      </c>
      <c r="I198" s="257">
        <v>0.46</v>
      </c>
      <c r="J198" s="257">
        <v>0.46</v>
      </c>
      <c r="K198" s="257">
        <v>0.46</v>
      </c>
      <c r="L198" s="251">
        <v>0.46</v>
      </c>
      <c r="M198" s="251"/>
      <c r="N198" s="62">
        <f t="shared" ref="N198:R200" si="68">$E198*$G198*H198/100</f>
        <v>67.278285714285715</v>
      </c>
      <c r="O198" s="62">
        <f t="shared" si="68"/>
        <v>67.278285714285715</v>
      </c>
      <c r="P198" s="62">
        <f t="shared" si="68"/>
        <v>67.278285714285715</v>
      </c>
      <c r="Q198" s="62">
        <f t="shared" si="68"/>
        <v>67.278285714285715</v>
      </c>
      <c r="R198" s="62">
        <f t="shared" si="68"/>
        <v>67.278285714285715</v>
      </c>
      <c r="S198" s="75">
        <f>$E198*$G198*M198</f>
        <v>0</v>
      </c>
    </row>
    <row r="199" spans="1:19" s="13" customFormat="1">
      <c r="A199" s="34" t="s">
        <v>43</v>
      </c>
      <c r="B199" s="21" t="s">
        <v>247</v>
      </c>
      <c r="C199" s="12" t="s">
        <v>62</v>
      </c>
      <c r="D199" s="58">
        <v>0.4</v>
      </c>
      <c r="E199" s="12" t="s">
        <v>18</v>
      </c>
      <c r="F199" s="44">
        <f>VLOOKUP(B199,GiaVL!$B$4:'GiaVL'!$D$189,3,0)</f>
        <v>101818000</v>
      </c>
      <c r="G199" s="44">
        <f>F199/G$6</f>
        <v>25454.5</v>
      </c>
      <c r="H199" s="257">
        <v>0.09</v>
      </c>
      <c r="I199" s="257">
        <v>0.09</v>
      </c>
      <c r="J199" s="257">
        <v>0.09</v>
      </c>
      <c r="K199" s="257">
        <v>0.09</v>
      </c>
      <c r="L199" s="251">
        <v>0.09</v>
      </c>
      <c r="M199" s="251"/>
      <c r="N199" s="62">
        <f t="shared" si="68"/>
        <v>22.909049999999997</v>
      </c>
      <c r="O199" s="62">
        <f t="shared" si="68"/>
        <v>22.909049999999997</v>
      </c>
      <c r="P199" s="62">
        <f t="shared" si="68"/>
        <v>22.909049999999997</v>
      </c>
      <c r="Q199" s="62">
        <f t="shared" si="68"/>
        <v>22.909049999999997</v>
      </c>
      <c r="R199" s="62">
        <f t="shared" si="68"/>
        <v>22.909049999999997</v>
      </c>
      <c r="S199" s="75">
        <f>$E199*$G199*M199</f>
        <v>0</v>
      </c>
    </row>
    <row r="200" spans="1:19" s="13" customFormat="1">
      <c r="A200" s="34" t="s">
        <v>43</v>
      </c>
      <c r="B200" s="6" t="s">
        <v>645</v>
      </c>
      <c r="C200" s="12" t="s">
        <v>62</v>
      </c>
      <c r="D200" s="58">
        <v>2.2000000000000002</v>
      </c>
      <c r="E200" s="36">
        <v>1</v>
      </c>
      <c r="F200" s="44">
        <f>VLOOKUP(B200,GiaVL!$B$4:'GiaVL'!$D$189,3,0)</f>
        <v>9910000</v>
      </c>
      <c r="G200" s="44">
        <f>F200/G$6</f>
        <v>2477.5</v>
      </c>
      <c r="H200" s="257">
        <v>0.15</v>
      </c>
      <c r="I200" s="257">
        <v>0.15</v>
      </c>
      <c r="J200" s="257">
        <v>0.15</v>
      </c>
      <c r="K200" s="257">
        <v>0.15</v>
      </c>
      <c r="L200" s="251">
        <v>0.15</v>
      </c>
      <c r="M200" s="251"/>
      <c r="N200" s="62">
        <f t="shared" si="68"/>
        <v>3.7162500000000001</v>
      </c>
      <c r="O200" s="62">
        <f t="shared" si="68"/>
        <v>3.7162500000000001</v>
      </c>
      <c r="P200" s="62">
        <f t="shared" si="68"/>
        <v>3.7162500000000001</v>
      </c>
      <c r="Q200" s="62">
        <f t="shared" si="68"/>
        <v>3.7162500000000001</v>
      </c>
      <c r="R200" s="62">
        <f t="shared" si="68"/>
        <v>3.7162500000000001</v>
      </c>
      <c r="S200" s="75">
        <f>$E200*$G200*M200</f>
        <v>0</v>
      </c>
    </row>
    <row r="201" spans="1:19" s="20" customFormat="1" ht="13.5">
      <c r="A201" s="46" t="s">
        <v>43</v>
      </c>
      <c r="B201" s="21" t="s">
        <v>612</v>
      </c>
      <c r="C201" s="22" t="s">
        <v>117</v>
      </c>
      <c r="D201" s="57">
        <v>1</v>
      </c>
      <c r="E201" s="12" t="s">
        <v>43</v>
      </c>
      <c r="F201" s="44">
        <f>VLOOKUP(B201,GiaVL!$B$4:'GiaVL'!$D$189,3,0)</f>
        <v>2226</v>
      </c>
      <c r="G201" s="48">
        <f>D201*F201</f>
        <v>2226</v>
      </c>
      <c r="H201" s="257">
        <v>4.42</v>
      </c>
      <c r="I201" s="257">
        <v>4.42</v>
      </c>
      <c r="J201" s="257">
        <v>4.42</v>
      </c>
      <c r="K201" s="257">
        <v>4.42</v>
      </c>
      <c r="L201" s="257">
        <v>4.42</v>
      </c>
      <c r="M201" s="257"/>
      <c r="N201" s="76">
        <f>$G201*H201/100</f>
        <v>98.389200000000002</v>
      </c>
      <c r="O201" s="76">
        <f>$G201*I201/100</f>
        <v>98.389200000000002</v>
      </c>
      <c r="P201" s="76">
        <f>$G201*J201/100</f>
        <v>98.389200000000002</v>
      </c>
      <c r="Q201" s="76">
        <f>$G201*K201/100</f>
        <v>98.389200000000002</v>
      </c>
      <c r="R201" s="76">
        <f>$G201*L201/100</f>
        <v>98.389200000000002</v>
      </c>
      <c r="S201" s="74">
        <f>$G201*M201</f>
        <v>0</v>
      </c>
    </row>
    <row r="202" spans="1:19" s="15" customFormat="1">
      <c r="A202" s="35" t="s">
        <v>31</v>
      </c>
      <c r="B202" s="32" t="s">
        <v>643</v>
      </c>
      <c r="C202" s="38" t="s">
        <v>43</v>
      </c>
      <c r="D202" s="56"/>
      <c r="E202" s="12" t="s">
        <v>43</v>
      </c>
      <c r="F202" s="45"/>
      <c r="G202" s="45"/>
      <c r="H202" s="258" t="s">
        <v>199</v>
      </c>
      <c r="I202" s="259" t="s">
        <v>199</v>
      </c>
      <c r="J202" s="259" t="s">
        <v>199</v>
      </c>
      <c r="K202" s="259" t="s">
        <v>199</v>
      </c>
      <c r="L202" s="249"/>
      <c r="M202" s="249"/>
      <c r="N202" s="76">
        <f t="shared" ref="N202:S202" si="69">SUM(N203:N205)</f>
        <v>11.301326984126984</v>
      </c>
      <c r="O202" s="76">
        <f t="shared" si="69"/>
        <v>11.301326984126984</v>
      </c>
      <c r="P202" s="76">
        <f t="shared" si="69"/>
        <v>11.301326984126984</v>
      </c>
      <c r="Q202" s="76">
        <f t="shared" si="69"/>
        <v>11.301326984126984</v>
      </c>
      <c r="R202" s="76">
        <f t="shared" si="69"/>
        <v>0</v>
      </c>
      <c r="S202" s="77">
        <f t="shared" si="69"/>
        <v>0</v>
      </c>
    </row>
    <row r="203" spans="1:19" s="13" customFormat="1">
      <c r="A203" s="34" t="s">
        <v>43</v>
      </c>
      <c r="B203" s="65" t="s">
        <v>650</v>
      </c>
      <c r="C203" s="12" t="s">
        <v>62</v>
      </c>
      <c r="D203" s="58">
        <v>0.35</v>
      </c>
      <c r="E203" s="36">
        <v>1</v>
      </c>
      <c r="F203" s="44">
        <f>VLOOKUP(B203,GiaVL!$B$4:'GiaVL'!$D$189,3,0)</f>
        <v>51190000</v>
      </c>
      <c r="G203" s="44">
        <f>F203/G$5</f>
        <v>14625.714285714286</v>
      </c>
      <c r="H203" s="257">
        <v>0.51</v>
      </c>
      <c r="I203" s="257">
        <v>0.51</v>
      </c>
      <c r="J203" s="257">
        <v>0.51</v>
      </c>
      <c r="K203" s="257">
        <v>0.51</v>
      </c>
      <c r="L203" s="251"/>
      <c r="M203" s="251"/>
      <c r="N203" s="62">
        <f t="shared" ref="N203:Q205" si="70">$E203*$G203*H203/900</f>
        <v>8.2879047619047626</v>
      </c>
      <c r="O203" s="62">
        <f t="shared" si="70"/>
        <v>8.2879047619047626</v>
      </c>
      <c r="P203" s="62">
        <f t="shared" si="70"/>
        <v>8.2879047619047626</v>
      </c>
      <c r="Q203" s="62">
        <f t="shared" si="70"/>
        <v>8.2879047619047626</v>
      </c>
      <c r="R203" s="62">
        <f t="shared" ref="R203:S205" si="71">$E203*$G203*L203</f>
        <v>0</v>
      </c>
      <c r="S203" s="75">
        <f t="shared" si="71"/>
        <v>0</v>
      </c>
    </row>
    <row r="204" spans="1:19" s="13" customFormat="1">
      <c r="A204" s="34" t="s">
        <v>43</v>
      </c>
      <c r="B204" s="21" t="s">
        <v>247</v>
      </c>
      <c r="C204" s="12" t="s">
        <v>62</v>
      </c>
      <c r="D204" s="58">
        <v>0.4</v>
      </c>
      <c r="E204" s="12" t="s">
        <v>18</v>
      </c>
      <c r="F204" s="44">
        <f>VLOOKUP(B204,GiaVL!$B$4:'GiaVL'!$D$189,3,0)</f>
        <v>101818000</v>
      </c>
      <c r="G204" s="44">
        <f>F204/G$6</f>
        <v>25454.5</v>
      </c>
      <c r="H204" s="257">
        <v>0.09</v>
      </c>
      <c r="I204" s="257">
        <v>0.09</v>
      </c>
      <c r="J204" s="257">
        <v>0.09</v>
      </c>
      <c r="K204" s="257">
        <v>0.09</v>
      </c>
      <c r="L204" s="251"/>
      <c r="M204" s="251"/>
      <c r="N204" s="62">
        <f t="shared" si="70"/>
        <v>2.5454499999999998</v>
      </c>
      <c r="O204" s="62">
        <f t="shared" si="70"/>
        <v>2.5454499999999998</v>
      </c>
      <c r="P204" s="62">
        <f t="shared" si="70"/>
        <v>2.5454499999999998</v>
      </c>
      <c r="Q204" s="62">
        <f t="shared" si="70"/>
        <v>2.5454499999999998</v>
      </c>
      <c r="R204" s="62">
        <f t="shared" si="71"/>
        <v>0</v>
      </c>
      <c r="S204" s="75">
        <f t="shared" si="71"/>
        <v>0</v>
      </c>
    </row>
    <row r="205" spans="1:19" s="13" customFormat="1">
      <c r="A205" s="34" t="s">
        <v>43</v>
      </c>
      <c r="B205" s="6" t="s">
        <v>645</v>
      </c>
      <c r="C205" s="12" t="s">
        <v>62</v>
      </c>
      <c r="D205" s="58">
        <v>2.2000000000000002</v>
      </c>
      <c r="E205" s="36">
        <v>1</v>
      </c>
      <c r="F205" s="44">
        <f>VLOOKUP(B205,GiaVL!$B$4:'GiaVL'!$D$189,3,0)</f>
        <v>9910000</v>
      </c>
      <c r="G205" s="44">
        <f>F205/G$6</f>
        <v>2477.5</v>
      </c>
      <c r="H205" s="257">
        <v>0.17</v>
      </c>
      <c r="I205" s="257">
        <v>0.17</v>
      </c>
      <c r="J205" s="257">
        <v>0.17</v>
      </c>
      <c r="K205" s="257">
        <v>0.17</v>
      </c>
      <c r="L205" s="251"/>
      <c r="M205" s="251"/>
      <c r="N205" s="62">
        <f t="shared" si="70"/>
        <v>0.46797222222222223</v>
      </c>
      <c r="O205" s="62">
        <f t="shared" si="70"/>
        <v>0.46797222222222223</v>
      </c>
      <c r="P205" s="62">
        <f t="shared" si="70"/>
        <v>0.46797222222222223</v>
      </c>
      <c r="Q205" s="62">
        <f t="shared" si="70"/>
        <v>0.46797222222222223</v>
      </c>
      <c r="R205" s="62">
        <f t="shared" si="71"/>
        <v>0</v>
      </c>
      <c r="S205" s="75">
        <f t="shared" si="71"/>
        <v>0</v>
      </c>
    </row>
    <row r="206" spans="1:19" s="20" customFormat="1" ht="13.5">
      <c r="A206" s="46" t="s">
        <v>43</v>
      </c>
      <c r="B206" s="21" t="s">
        <v>612</v>
      </c>
      <c r="C206" s="22" t="s">
        <v>117</v>
      </c>
      <c r="D206" s="57">
        <v>1</v>
      </c>
      <c r="E206" s="12" t="s">
        <v>43</v>
      </c>
      <c r="F206" s="44">
        <f>VLOOKUP(B206,GiaVL!$B$4:'GiaVL'!$D$189,3,0)</f>
        <v>2226</v>
      </c>
      <c r="G206" s="48">
        <f>D206*F206</f>
        <v>2226</v>
      </c>
      <c r="H206" s="257">
        <v>4.9400000000000004</v>
      </c>
      <c r="I206" s="257">
        <v>4.9400000000000004</v>
      </c>
      <c r="J206" s="257">
        <v>4.9400000000000004</v>
      </c>
      <c r="K206" s="257">
        <v>4.9400000000000004</v>
      </c>
      <c r="L206" s="250"/>
      <c r="M206" s="250"/>
      <c r="N206" s="76">
        <f>$G206*H206/900</f>
        <v>12.218266666666667</v>
      </c>
      <c r="O206" s="76">
        <f>$G206*I206/900</f>
        <v>12.218266666666667</v>
      </c>
      <c r="P206" s="76">
        <f>$G206*J206/900</f>
        <v>12.218266666666667</v>
      </c>
      <c r="Q206" s="76">
        <f>$G206*K206/900</f>
        <v>12.218266666666667</v>
      </c>
      <c r="R206" s="76">
        <f>$G206*L206</f>
        <v>0</v>
      </c>
      <c r="S206" s="74">
        <f>$G206*M206</f>
        <v>0</v>
      </c>
    </row>
    <row r="207" spans="1:19" s="15" customFormat="1">
      <c r="A207" s="35" t="s">
        <v>37</v>
      </c>
      <c r="B207" s="32" t="s">
        <v>644</v>
      </c>
      <c r="C207" s="38" t="s">
        <v>43</v>
      </c>
      <c r="D207" s="56"/>
      <c r="E207" s="12" t="s">
        <v>43</v>
      </c>
      <c r="F207" s="45"/>
      <c r="G207" s="45"/>
      <c r="H207" s="258" t="s">
        <v>199</v>
      </c>
      <c r="I207" s="259" t="s">
        <v>199</v>
      </c>
      <c r="J207" s="259" t="s">
        <v>199</v>
      </c>
      <c r="K207" s="259" t="s">
        <v>199</v>
      </c>
      <c r="L207" s="249"/>
      <c r="M207" s="249"/>
      <c r="N207" s="76">
        <f t="shared" ref="N207:S207" si="72">SUM(N208:N210)</f>
        <v>4.2971055555555564</v>
      </c>
      <c r="O207" s="76">
        <f t="shared" si="72"/>
        <v>4.2971055555555564</v>
      </c>
      <c r="P207" s="76">
        <f t="shared" si="72"/>
        <v>4.2971055555555564</v>
      </c>
      <c r="Q207" s="76">
        <f t="shared" si="72"/>
        <v>4.2971055555555564</v>
      </c>
      <c r="R207" s="76">
        <f t="shared" si="72"/>
        <v>0</v>
      </c>
      <c r="S207" s="77">
        <f t="shared" si="72"/>
        <v>0</v>
      </c>
    </row>
    <row r="208" spans="1:19" s="13" customFormat="1">
      <c r="A208" s="34" t="s">
        <v>43</v>
      </c>
      <c r="B208" s="65" t="s">
        <v>650</v>
      </c>
      <c r="C208" s="12" t="s">
        <v>62</v>
      </c>
      <c r="D208" s="58">
        <v>0.35</v>
      </c>
      <c r="E208" s="36">
        <v>1</v>
      </c>
      <c r="F208" s="44">
        <f>VLOOKUP(B208,GiaVL!$B$4:'GiaVL'!$D$189,3,0)</f>
        <v>51190000</v>
      </c>
      <c r="G208" s="44">
        <f>F208/G$5</f>
        <v>14625.714285714286</v>
      </c>
      <c r="H208" s="257">
        <v>0.77</v>
      </c>
      <c r="I208" s="257">
        <v>0.77</v>
      </c>
      <c r="J208" s="257">
        <v>0.77</v>
      </c>
      <c r="K208" s="257">
        <v>0.77</v>
      </c>
      <c r="L208" s="251"/>
      <c r="M208" s="251"/>
      <c r="N208" s="62">
        <f t="shared" ref="N208:Q210" si="73">$E208*$G208*H208/3600</f>
        <v>3.1282777777777779</v>
      </c>
      <c r="O208" s="62">
        <f t="shared" si="73"/>
        <v>3.1282777777777779</v>
      </c>
      <c r="P208" s="62">
        <f t="shared" si="73"/>
        <v>3.1282777777777779</v>
      </c>
      <c r="Q208" s="62">
        <f t="shared" si="73"/>
        <v>3.1282777777777779</v>
      </c>
      <c r="R208" s="62">
        <f t="shared" ref="R208:S210" si="74">$E208*$G208*L208</f>
        <v>0</v>
      </c>
      <c r="S208" s="75">
        <f t="shared" si="74"/>
        <v>0</v>
      </c>
    </row>
    <row r="209" spans="1:19" s="13" customFormat="1">
      <c r="A209" s="34" t="s">
        <v>43</v>
      </c>
      <c r="B209" s="21" t="s">
        <v>247</v>
      </c>
      <c r="C209" s="12" t="s">
        <v>62</v>
      </c>
      <c r="D209" s="58">
        <v>0.4</v>
      </c>
      <c r="E209" s="12" t="s">
        <v>18</v>
      </c>
      <c r="F209" s="44">
        <f>VLOOKUP(B209,GiaVL!$B$4:'GiaVL'!$D$189,3,0)</f>
        <v>101818000</v>
      </c>
      <c r="G209" s="44">
        <f>F209/G$6</f>
        <v>25454.5</v>
      </c>
      <c r="H209" s="257">
        <v>0.14000000000000001</v>
      </c>
      <c r="I209" s="257">
        <v>0.14000000000000001</v>
      </c>
      <c r="J209" s="257">
        <v>0.14000000000000001</v>
      </c>
      <c r="K209" s="257">
        <v>0.14000000000000001</v>
      </c>
      <c r="L209" s="251"/>
      <c r="M209" s="251"/>
      <c r="N209" s="62">
        <f t="shared" si="73"/>
        <v>0.98989722222222243</v>
      </c>
      <c r="O209" s="62">
        <f t="shared" si="73"/>
        <v>0.98989722222222243</v>
      </c>
      <c r="P209" s="62">
        <f t="shared" si="73"/>
        <v>0.98989722222222243</v>
      </c>
      <c r="Q209" s="62">
        <f t="shared" si="73"/>
        <v>0.98989722222222243</v>
      </c>
      <c r="R209" s="62">
        <f t="shared" si="74"/>
        <v>0</v>
      </c>
      <c r="S209" s="75">
        <f t="shared" si="74"/>
        <v>0</v>
      </c>
    </row>
    <row r="210" spans="1:19" s="13" customFormat="1">
      <c r="A210" s="34" t="s">
        <v>43</v>
      </c>
      <c r="B210" s="6" t="s">
        <v>645</v>
      </c>
      <c r="C210" s="12" t="s">
        <v>62</v>
      </c>
      <c r="D210" s="58">
        <v>2.2000000000000002</v>
      </c>
      <c r="E210" s="36">
        <v>1</v>
      </c>
      <c r="F210" s="44">
        <f>VLOOKUP(B210,GiaVL!$B$4:'GiaVL'!$D$189,3,0)</f>
        <v>9910000</v>
      </c>
      <c r="G210" s="44">
        <f>F210/G$6</f>
        <v>2477.5</v>
      </c>
      <c r="H210" s="257">
        <v>0.26</v>
      </c>
      <c r="I210" s="257">
        <v>0.26</v>
      </c>
      <c r="J210" s="257">
        <v>0.26</v>
      </c>
      <c r="K210" s="257">
        <v>0.26</v>
      </c>
      <c r="L210" s="251"/>
      <c r="M210" s="251"/>
      <c r="N210" s="62">
        <f t="shared" si="73"/>
        <v>0.17893055555555554</v>
      </c>
      <c r="O210" s="62">
        <f t="shared" si="73"/>
        <v>0.17893055555555554</v>
      </c>
      <c r="P210" s="62">
        <f t="shared" si="73"/>
        <v>0.17893055555555554</v>
      </c>
      <c r="Q210" s="62">
        <f t="shared" si="73"/>
        <v>0.17893055555555554</v>
      </c>
      <c r="R210" s="62">
        <f t="shared" si="74"/>
        <v>0</v>
      </c>
      <c r="S210" s="75">
        <f t="shared" si="74"/>
        <v>0</v>
      </c>
    </row>
    <row r="211" spans="1:19" s="20" customFormat="1" ht="13.5">
      <c r="A211" s="46" t="s">
        <v>43</v>
      </c>
      <c r="B211" s="21" t="s">
        <v>612</v>
      </c>
      <c r="C211" s="22" t="s">
        <v>117</v>
      </c>
      <c r="D211" s="57">
        <v>1</v>
      </c>
      <c r="E211" s="12" t="s">
        <v>43</v>
      </c>
      <c r="F211" s="44">
        <f>VLOOKUP(B211,GiaVL!$B$4:'GiaVL'!$D$189,3,0)</f>
        <v>2226</v>
      </c>
      <c r="G211" s="48">
        <f>D211*F211</f>
        <v>2226</v>
      </c>
      <c r="H211" s="257">
        <v>6.42</v>
      </c>
      <c r="I211" s="257">
        <v>6.42</v>
      </c>
      <c r="J211" s="257">
        <v>6.42</v>
      </c>
      <c r="K211" s="257">
        <v>6.42</v>
      </c>
      <c r="L211" s="250"/>
      <c r="M211" s="250"/>
      <c r="N211" s="76">
        <f>$G211*H211/3600</f>
        <v>3.9697</v>
      </c>
      <c r="O211" s="76">
        <f>$G211*I211/3600</f>
        <v>3.9697</v>
      </c>
      <c r="P211" s="76">
        <f>$G211*J211/3600</f>
        <v>3.9697</v>
      </c>
      <c r="Q211" s="76">
        <f>$G211*K211/3600</f>
        <v>3.9697</v>
      </c>
      <c r="R211" s="76">
        <f>$G211*L211</f>
        <v>0</v>
      </c>
      <c r="S211" s="74">
        <f>$G211*M211</f>
        <v>0</v>
      </c>
    </row>
    <row r="212" spans="1:19" s="16" customFormat="1">
      <c r="A212" s="196"/>
      <c r="B212" s="6"/>
      <c r="C212" s="25"/>
      <c r="D212" s="56"/>
      <c r="E212" s="25"/>
      <c r="F212" s="45"/>
      <c r="G212" s="45"/>
      <c r="H212" s="249"/>
      <c r="I212" s="249"/>
      <c r="J212" s="249"/>
      <c r="K212" s="249"/>
      <c r="L212" s="249"/>
      <c r="M212" s="249"/>
      <c r="N212" s="76"/>
      <c r="O212" s="76"/>
      <c r="P212" s="76"/>
      <c r="Q212" s="76"/>
      <c r="R212" s="76"/>
      <c r="S212" s="77"/>
    </row>
    <row r="213" spans="1:19">
      <c r="A213" s="71"/>
      <c r="B213" s="6"/>
      <c r="C213" s="18"/>
      <c r="D213" s="27"/>
      <c r="E213" s="6"/>
      <c r="F213" s="44"/>
      <c r="G213" s="44"/>
      <c r="H213" s="251"/>
      <c r="I213" s="251"/>
      <c r="J213" s="251"/>
      <c r="K213" s="251"/>
      <c r="L213" s="251"/>
      <c r="M213" s="251"/>
      <c r="N213" s="62"/>
      <c r="O213" s="62"/>
      <c r="P213" s="62"/>
      <c r="Q213" s="62"/>
      <c r="R213" s="62"/>
      <c r="S213" s="75"/>
    </row>
    <row r="214" spans="1:19" s="50" customFormat="1" ht="19.5" customHeight="1">
      <c r="A214" s="193" t="str">
        <f>L_CViec!A31</f>
        <v>III</v>
      </c>
      <c r="B214" s="206" t="str">
        <f>L_CViec!B31</f>
        <v>SỐ HOÁ VÀ CHUYỂN HỆ TOẠ ĐỘ BẢN ĐỒ ĐỊA CHÍNH:</v>
      </c>
      <c r="C214" s="84"/>
      <c r="D214" s="189"/>
      <c r="E214" s="84"/>
      <c r="F214" s="190"/>
      <c r="G214" s="190"/>
      <c r="H214" s="248"/>
      <c r="I214" s="248"/>
      <c r="J214" s="248"/>
      <c r="K214" s="248"/>
      <c r="L214" s="248"/>
      <c r="M214" s="248"/>
      <c r="N214" s="194"/>
      <c r="O214" s="194"/>
      <c r="P214" s="194"/>
      <c r="Q214" s="194"/>
      <c r="R214" s="194"/>
      <c r="S214" s="195"/>
    </row>
    <row r="215" spans="1:19" s="15" customFormat="1">
      <c r="A215" s="35">
        <v>2</v>
      </c>
      <c r="B215" s="9" t="s">
        <v>123</v>
      </c>
      <c r="C215" s="25"/>
      <c r="D215" s="56"/>
      <c r="E215" s="25"/>
      <c r="F215" s="28"/>
      <c r="G215" s="28"/>
      <c r="H215" s="249"/>
      <c r="I215" s="249"/>
      <c r="J215" s="249"/>
      <c r="K215" s="249"/>
      <c r="L215" s="249"/>
      <c r="M215" s="249"/>
      <c r="N215" s="76"/>
      <c r="O215" s="76"/>
      <c r="P215" s="76"/>
      <c r="Q215" s="76"/>
      <c r="R215" s="76"/>
      <c r="S215" s="77"/>
    </row>
    <row r="216" spans="1:19" s="15" customFormat="1">
      <c r="A216" s="35">
        <v>2.1</v>
      </c>
      <c r="B216" s="9" t="s">
        <v>413</v>
      </c>
      <c r="C216" s="25"/>
      <c r="D216" s="58"/>
      <c r="E216" s="37"/>
      <c r="F216" s="45"/>
      <c r="G216" s="45"/>
      <c r="H216" s="249"/>
      <c r="I216" s="249"/>
      <c r="J216" s="249"/>
      <c r="K216" s="249"/>
      <c r="L216" s="249"/>
      <c r="M216" s="249"/>
      <c r="N216" s="76"/>
      <c r="O216" s="76"/>
      <c r="P216" s="76"/>
      <c r="Q216" s="76"/>
      <c r="R216" s="76"/>
      <c r="S216" s="77"/>
    </row>
    <row r="217" spans="1:19" s="15" customFormat="1">
      <c r="A217" s="35">
        <v>1</v>
      </c>
      <c r="B217" s="9" t="s">
        <v>414</v>
      </c>
      <c r="C217" s="25"/>
      <c r="D217" s="58"/>
      <c r="E217" s="36"/>
      <c r="F217" s="45"/>
      <c r="G217" s="45"/>
      <c r="H217" s="249"/>
      <c r="I217" s="249"/>
      <c r="J217" s="249"/>
      <c r="K217" s="249"/>
      <c r="L217" s="249"/>
      <c r="M217" s="249"/>
      <c r="N217" s="76"/>
      <c r="O217" s="76"/>
      <c r="P217" s="76"/>
      <c r="Q217" s="76"/>
      <c r="R217" s="76"/>
      <c r="S217" s="77"/>
    </row>
    <row r="218" spans="1:19" s="15" customFormat="1">
      <c r="A218" s="35">
        <v>1.1000000000000001</v>
      </c>
      <c r="B218" s="9" t="s">
        <v>231</v>
      </c>
      <c r="C218" s="25"/>
      <c r="D218" s="56"/>
      <c r="E218" s="25"/>
      <c r="F218" s="45"/>
      <c r="G218" s="45"/>
      <c r="H218" s="260"/>
      <c r="I218" s="260"/>
      <c r="J218" s="260"/>
      <c r="K218" s="260"/>
      <c r="L218" s="260"/>
      <c r="M218" s="260"/>
      <c r="N218" s="76">
        <f t="shared" ref="N218:S218" si="75">SUM(N219:N225)</f>
        <v>24369.507314285715</v>
      </c>
      <c r="O218" s="76">
        <f t="shared" si="75"/>
        <v>28786.519657142861</v>
      </c>
      <c r="P218" s="76">
        <f t="shared" si="75"/>
        <v>34112.717828571433</v>
      </c>
      <c r="Q218" s="76">
        <f t="shared" si="75"/>
        <v>40348.101828571424</v>
      </c>
      <c r="R218" s="76">
        <f t="shared" si="75"/>
        <v>47852.558971428574</v>
      </c>
      <c r="S218" s="77">
        <f t="shared" si="75"/>
        <v>0</v>
      </c>
    </row>
    <row r="219" spans="1:19" s="15" customFormat="1">
      <c r="A219" s="34"/>
      <c r="B219" s="23" t="s">
        <v>264</v>
      </c>
      <c r="C219" s="12" t="s">
        <v>91</v>
      </c>
      <c r="D219" s="58">
        <v>0.35</v>
      </c>
      <c r="E219" s="12" t="s">
        <v>18</v>
      </c>
      <c r="F219" s="44">
        <f>VLOOKUP(B219,GiaVL!$B$4:'GiaVL'!$D$189,3,0)</f>
        <v>13127000</v>
      </c>
      <c r="G219" s="44">
        <f>F219/G$5</f>
        <v>3750.5714285714284</v>
      </c>
      <c r="H219" s="251">
        <v>2.34</v>
      </c>
      <c r="I219" s="251">
        <v>2.84</v>
      </c>
      <c r="J219" s="251">
        <v>3.44</v>
      </c>
      <c r="K219" s="251">
        <v>4.1399999999999997</v>
      </c>
      <c r="L219" s="251">
        <v>4.99</v>
      </c>
      <c r="M219" s="251"/>
      <c r="N219" s="62">
        <f>$E219*$G219*H219/6.25</f>
        <v>1404.2139428571429</v>
      </c>
      <c r="O219" s="62">
        <f t="shared" ref="O219:R225" si="76">$E219*$G219*I219/6.25</f>
        <v>1704.2596571428571</v>
      </c>
      <c r="P219" s="62">
        <f t="shared" si="76"/>
        <v>2064.3145142857143</v>
      </c>
      <c r="Q219" s="62">
        <f t="shared" si="76"/>
        <v>2484.3785142857141</v>
      </c>
      <c r="R219" s="62">
        <f t="shared" si="76"/>
        <v>2994.4562285714287</v>
      </c>
      <c r="S219" s="75">
        <f t="shared" ref="S219:S225" si="77">$E219*$G219*M219</f>
        <v>0</v>
      </c>
    </row>
    <row r="220" spans="1:19">
      <c r="A220" s="34"/>
      <c r="B220" s="6" t="s">
        <v>601</v>
      </c>
      <c r="C220" s="12" t="s">
        <v>91</v>
      </c>
      <c r="D220" s="58">
        <v>2.5</v>
      </c>
      <c r="E220" s="12" t="s">
        <v>18</v>
      </c>
      <c r="F220" s="63">
        <f>VLOOKUP(B220,GiaVL!$B$4:'GiaVL'!$D$189,3,0)</f>
        <v>280800000</v>
      </c>
      <c r="G220" s="63">
        <f>F220/G$6</f>
        <v>70200</v>
      </c>
      <c r="H220" s="251">
        <v>0.24</v>
      </c>
      <c r="I220" s="251">
        <v>0.24</v>
      </c>
      <c r="J220" s="251">
        <v>0.24</v>
      </c>
      <c r="K220" s="251">
        <v>0.24</v>
      </c>
      <c r="L220" s="251">
        <v>0.24</v>
      </c>
      <c r="M220" s="251"/>
      <c r="N220" s="78">
        <f t="shared" ref="N220:N225" si="78">$E220*$G220*H220/6.25</f>
        <v>2695.68</v>
      </c>
      <c r="O220" s="78">
        <f t="shared" si="76"/>
        <v>2695.68</v>
      </c>
      <c r="P220" s="78">
        <f t="shared" si="76"/>
        <v>2695.68</v>
      </c>
      <c r="Q220" s="78">
        <f t="shared" si="76"/>
        <v>2695.68</v>
      </c>
      <c r="R220" s="78">
        <f t="shared" si="76"/>
        <v>2695.68</v>
      </c>
      <c r="S220" s="79">
        <f t="shared" si="77"/>
        <v>0</v>
      </c>
    </row>
    <row r="221" spans="1:19">
      <c r="A221" s="34"/>
      <c r="B221" s="23" t="s">
        <v>265</v>
      </c>
      <c r="C221" s="12" t="s">
        <v>94</v>
      </c>
      <c r="D221" s="58">
        <v>0.1</v>
      </c>
      <c r="E221" s="12" t="s">
        <v>18</v>
      </c>
      <c r="F221" s="44">
        <f>VLOOKUP(B221,GiaVL!$B$4:'GiaVL'!$D$189,3,0)</f>
        <v>16236000</v>
      </c>
      <c r="G221" s="44">
        <f>F221/G$6</f>
        <v>4059</v>
      </c>
      <c r="H221" s="251">
        <v>0.16</v>
      </c>
      <c r="I221" s="251">
        <v>0.19</v>
      </c>
      <c r="J221" s="251">
        <v>0.23</v>
      </c>
      <c r="K221" s="251">
        <v>0.28000000000000003</v>
      </c>
      <c r="L221" s="251">
        <v>0.33</v>
      </c>
      <c r="M221" s="251"/>
      <c r="N221" s="62">
        <f t="shared" si="78"/>
        <v>103.91040000000001</v>
      </c>
      <c r="O221" s="62">
        <f t="shared" si="76"/>
        <v>123.39360000000001</v>
      </c>
      <c r="P221" s="62">
        <f t="shared" si="76"/>
        <v>149.37120000000002</v>
      </c>
      <c r="Q221" s="62">
        <f t="shared" si="76"/>
        <v>181.84320000000002</v>
      </c>
      <c r="R221" s="62">
        <f t="shared" si="76"/>
        <v>214.3152</v>
      </c>
      <c r="S221" s="75">
        <f t="shared" si="77"/>
        <v>0</v>
      </c>
    </row>
    <row r="222" spans="1:19">
      <c r="A222" s="34"/>
      <c r="B222" s="65" t="s">
        <v>602</v>
      </c>
      <c r="C222" s="12" t="s">
        <v>91</v>
      </c>
      <c r="D222" s="58">
        <v>0.4</v>
      </c>
      <c r="E222" s="12" t="s">
        <v>18</v>
      </c>
      <c r="F222" s="63">
        <f>VLOOKUP(B222,GiaVL!$B$4:'GiaVL'!$D$189,3,0)</f>
        <v>135000000</v>
      </c>
      <c r="G222" s="63">
        <f>F222/G$6</f>
        <v>33750</v>
      </c>
      <c r="H222" s="251">
        <v>0.16</v>
      </c>
      <c r="I222" s="251">
        <v>0.19</v>
      </c>
      <c r="J222" s="251">
        <v>0.23</v>
      </c>
      <c r="K222" s="251">
        <v>0.28000000000000003</v>
      </c>
      <c r="L222" s="251">
        <v>0.33</v>
      </c>
      <c r="M222" s="251"/>
      <c r="N222" s="78">
        <f t="shared" si="78"/>
        <v>864</v>
      </c>
      <c r="O222" s="78">
        <f t="shared" si="76"/>
        <v>1026</v>
      </c>
      <c r="P222" s="78">
        <f t="shared" si="76"/>
        <v>1242</v>
      </c>
      <c r="Q222" s="78">
        <f t="shared" si="76"/>
        <v>1512</v>
      </c>
      <c r="R222" s="78">
        <f t="shared" si="76"/>
        <v>1782</v>
      </c>
      <c r="S222" s="79">
        <f t="shared" si="77"/>
        <v>0</v>
      </c>
    </row>
    <row r="223" spans="1:19">
      <c r="A223" s="34"/>
      <c r="B223" s="21" t="s">
        <v>247</v>
      </c>
      <c r="C223" s="12" t="s">
        <v>91</v>
      </c>
      <c r="D223" s="58">
        <v>0.4</v>
      </c>
      <c r="E223" s="12" t="s">
        <v>18</v>
      </c>
      <c r="F223" s="44">
        <f>VLOOKUP(B223,GiaVL!$B$4:'GiaVL'!$D$189,3,0)</f>
        <v>101818000</v>
      </c>
      <c r="G223" s="44">
        <f>F223/G$5</f>
        <v>29090.857142857141</v>
      </c>
      <c r="H223" s="251">
        <v>0.18</v>
      </c>
      <c r="I223" s="251">
        <v>0.18</v>
      </c>
      <c r="J223" s="251">
        <v>0.18</v>
      </c>
      <c r="K223" s="251">
        <v>0.18</v>
      </c>
      <c r="L223" s="251">
        <v>0.18</v>
      </c>
      <c r="M223" s="251"/>
      <c r="N223" s="62">
        <f t="shared" si="78"/>
        <v>837.81668571428565</v>
      </c>
      <c r="O223" s="62">
        <f t="shared" si="76"/>
        <v>837.81668571428565</v>
      </c>
      <c r="P223" s="62">
        <f t="shared" si="76"/>
        <v>837.81668571428565</v>
      </c>
      <c r="Q223" s="62">
        <f t="shared" si="76"/>
        <v>837.81668571428565</v>
      </c>
      <c r="R223" s="62">
        <f t="shared" si="76"/>
        <v>837.81668571428565</v>
      </c>
      <c r="S223" s="75">
        <f t="shared" si="77"/>
        <v>0</v>
      </c>
    </row>
    <row r="224" spans="1:19">
      <c r="A224" s="34"/>
      <c r="B224" s="65" t="s">
        <v>575</v>
      </c>
      <c r="C224" s="12" t="s">
        <v>266</v>
      </c>
      <c r="D224" s="58"/>
      <c r="E224" s="12" t="s">
        <v>18</v>
      </c>
      <c r="F224" s="44">
        <f>VLOOKUP(B224,GiaVL!$B$4:'GiaVL'!$D$189,3,0)</f>
        <v>170790000</v>
      </c>
      <c r="G224" s="44">
        <f>F224/G$5</f>
        <v>48797.142857142855</v>
      </c>
      <c r="H224" s="251">
        <v>2.34</v>
      </c>
      <c r="I224" s="251">
        <v>2.84</v>
      </c>
      <c r="J224" s="251">
        <v>3.44</v>
      </c>
      <c r="K224" s="251">
        <v>4.1399999999999997</v>
      </c>
      <c r="L224" s="251">
        <v>4.99</v>
      </c>
      <c r="M224" s="251"/>
      <c r="N224" s="62">
        <f t="shared" si="78"/>
        <v>18269.650285714284</v>
      </c>
      <c r="O224" s="62">
        <f t="shared" si="76"/>
        <v>22173.421714285716</v>
      </c>
      <c r="P224" s="62">
        <f t="shared" si="76"/>
        <v>26857.947428571428</v>
      </c>
      <c r="Q224" s="62">
        <f t="shared" si="76"/>
        <v>32323.227428571423</v>
      </c>
      <c r="R224" s="62">
        <f t="shared" si="76"/>
        <v>38959.638857142854</v>
      </c>
      <c r="S224" s="75">
        <f t="shared" si="77"/>
        <v>0</v>
      </c>
    </row>
    <row r="225" spans="1:19">
      <c r="A225" s="34"/>
      <c r="B225" s="6" t="s">
        <v>645</v>
      </c>
      <c r="C225" s="12" t="s">
        <v>59</v>
      </c>
      <c r="D225" s="58">
        <v>2.2000000000000002</v>
      </c>
      <c r="E225" s="12" t="s">
        <v>18</v>
      </c>
      <c r="F225" s="44">
        <f>VLOOKUP(B225,GiaVL!$B$4:'GiaVL'!$D$189,3,0)</f>
        <v>9910000</v>
      </c>
      <c r="G225" s="44">
        <f>F225/8/500</f>
        <v>2477.5</v>
      </c>
      <c r="H225" s="251">
        <v>0.49</v>
      </c>
      <c r="I225" s="251">
        <v>0.56999999999999995</v>
      </c>
      <c r="J225" s="251">
        <v>0.67</v>
      </c>
      <c r="K225" s="251">
        <v>0.79</v>
      </c>
      <c r="L225" s="251">
        <v>0.93</v>
      </c>
      <c r="M225" s="251"/>
      <c r="N225" s="62">
        <f t="shared" si="78"/>
        <v>194.23599999999999</v>
      </c>
      <c r="O225" s="62">
        <f t="shared" si="76"/>
        <v>225.94799999999998</v>
      </c>
      <c r="P225" s="62">
        <f t="shared" si="76"/>
        <v>265.58800000000002</v>
      </c>
      <c r="Q225" s="62">
        <f t="shared" si="76"/>
        <v>313.15600000000001</v>
      </c>
      <c r="R225" s="62">
        <f t="shared" si="76"/>
        <v>368.65200000000004</v>
      </c>
      <c r="S225" s="75">
        <f t="shared" si="77"/>
        <v>0</v>
      </c>
    </row>
    <row r="226" spans="1:19">
      <c r="A226" s="34"/>
      <c r="B226" s="21" t="s">
        <v>612</v>
      </c>
      <c r="C226" s="12" t="s">
        <v>117</v>
      </c>
      <c r="D226" s="58">
        <v>1</v>
      </c>
      <c r="E226" s="12"/>
      <c r="F226" s="44">
        <f>VLOOKUP(B226,GiaVL!$B$4:'GiaVL'!$D$189,3,0)</f>
        <v>2226</v>
      </c>
      <c r="G226" s="44">
        <f>D226*F226</f>
        <v>2226</v>
      </c>
      <c r="H226" s="251">
        <v>22.3</v>
      </c>
      <c r="I226" s="251">
        <v>25.3</v>
      </c>
      <c r="J226" s="251">
        <v>29.1</v>
      </c>
      <c r="K226" s="251">
        <v>33.6</v>
      </c>
      <c r="L226" s="251">
        <v>38.9</v>
      </c>
      <c r="M226" s="251"/>
      <c r="N226" s="62">
        <f>$G226*H226/6.25</f>
        <v>7942.3680000000004</v>
      </c>
      <c r="O226" s="62">
        <f>$G226*I226/6.25</f>
        <v>9010.848</v>
      </c>
      <c r="P226" s="62">
        <f>$G226*J226/6.25</f>
        <v>10364.256000000001</v>
      </c>
      <c r="Q226" s="62">
        <f>$G226*K226/6.25</f>
        <v>11966.976000000001</v>
      </c>
      <c r="R226" s="62">
        <f>$G226*L226/6.25</f>
        <v>13854.624</v>
      </c>
      <c r="S226" s="75">
        <f>$G226*M226</f>
        <v>0</v>
      </c>
    </row>
    <row r="227" spans="1:19" s="15" customFormat="1">
      <c r="A227" s="35" t="s">
        <v>269</v>
      </c>
      <c r="B227" s="9" t="s">
        <v>235</v>
      </c>
      <c r="C227" s="25"/>
      <c r="D227" s="56"/>
      <c r="E227" s="25"/>
      <c r="F227" s="45"/>
      <c r="G227" s="45"/>
      <c r="H227" s="260" t="s">
        <v>199</v>
      </c>
      <c r="I227" s="260" t="s">
        <v>199</v>
      </c>
      <c r="J227" s="260" t="s">
        <v>199</v>
      </c>
      <c r="K227" s="260" t="s">
        <v>199</v>
      </c>
      <c r="L227" s="260" t="s">
        <v>199</v>
      </c>
      <c r="M227" s="260"/>
      <c r="N227" s="76">
        <f t="shared" ref="N227:S227" si="79">SUM(N228:N234)</f>
        <v>12750.124542857142</v>
      </c>
      <c r="O227" s="76">
        <f t="shared" si="79"/>
        <v>13543.004828571427</v>
      </c>
      <c r="P227" s="76">
        <f t="shared" si="79"/>
        <v>15413.223628571428</v>
      </c>
      <c r="Q227" s="76">
        <f t="shared" si="79"/>
        <v>17934.0936</v>
      </c>
      <c r="R227" s="76">
        <f t="shared" si="79"/>
        <v>26065.619971428569</v>
      </c>
      <c r="S227" s="77">
        <f t="shared" si="79"/>
        <v>0</v>
      </c>
    </row>
    <row r="228" spans="1:19" s="15" customFormat="1">
      <c r="A228" s="34"/>
      <c r="B228" s="23" t="s">
        <v>264</v>
      </c>
      <c r="C228" s="12" t="s">
        <v>91</v>
      </c>
      <c r="D228" s="58">
        <v>0.35</v>
      </c>
      <c r="E228" s="12" t="s">
        <v>18</v>
      </c>
      <c r="F228" s="44">
        <f>VLOOKUP(B228,GiaVL!$B$4:'GiaVL'!$D$189,3,0)</f>
        <v>13127000</v>
      </c>
      <c r="G228" s="44">
        <f>F228/G$5</f>
        <v>3750.5714285714284</v>
      </c>
      <c r="H228" s="251">
        <v>5.34</v>
      </c>
      <c r="I228" s="251">
        <v>5.7</v>
      </c>
      <c r="J228" s="251">
        <v>6.54</v>
      </c>
      <c r="K228" s="251">
        <v>7.68</v>
      </c>
      <c r="L228" s="251">
        <v>11.34</v>
      </c>
      <c r="M228" s="251"/>
      <c r="N228" s="62">
        <f>$E228*$G228*H228/25</f>
        <v>801.1220571428571</v>
      </c>
      <c r="O228" s="62">
        <f t="shared" ref="O228:R234" si="80">$E228*$G228*I228/25</f>
        <v>855.13028571428572</v>
      </c>
      <c r="P228" s="62">
        <f t="shared" si="80"/>
        <v>981.14948571428567</v>
      </c>
      <c r="Q228" s="62">
        <f t="shared" si="80"/>
        <v>1152.1755428571428</v>
      </c>
      <c r="R228" s="62">
        <f t="shared" si="80"/>
        <v>1701.2591999999997</v>
      </c>
      <c r="S228" s="75">
        <f t="shared" ref="S228:S234" si="81">$E228*$G228*M228</f>
        <v>0</v>
      </c>
    </row>
    <row r="229" spans="1:19">
      <c r="A229" s="34"/>
      <c r="B229" s="6" t="s">
        <v>601</v>
      </c>
      <c r="C229" s="12" t="s">
        <v>91</v>
      </c>
      <c r="D229" s="58">
        <v>2.5</v>
      </c>
      <c r="E229" s="12" t="s">
        <v>18</v>
      </c>
      <c r="F229" s="44">
        <f>VLOOKUP(B229,GiaVL!$B$4:'GiaVL'!$D$189,3,0)</f>
        <v>280800000</v>
      </c>
      <c r="G229" s="44">
        <f>F229/G$6</f>
        <v>70200</v>
      </c>
      <c r="H229" s="251">
        <v>0.24</v>
      </c>
      <c r="I229" s="251">
        <v>0.24</v>
      </c>
      <c r="J229" s="251">
        <v>0.24</v>
      </c>
      <c r="K229" s="251">
        <v>0.24</v>
      </c>
      <c r="L229" s="251">
        <v>0.24</v>
      </c>
      <c r="M229" s="251"/>
      <c r="N229" s="62">
        <f t="shared" ref="N229:N234" si="82">$E229*$G229*H229/25</f>
        <v>673.92</v>
      </c>
      <c r="O229" s="62">
        <f t="shared" si="80"/>
        <v>673.92</v>
      </c>
      <c r="P229" s="62">
        <f t="shared" si="80"/>
        <v>673.92</v>
      </c>
      <c r="Q229" s="62">
        <f t="shared" si="80"/>
        <v>673.92</v>
      </c>
      <c r="R229" s="62">
        <f t="shared" si="80"/>
        <v>673.92</v>
      </c>
      <c r="S229" s="75">
        <f t="shared" si="81"/>
        <v>0</v>
      </c>
    </row>
    <row r="230" spans="1:19">
      <c r="A230" s="34"/>
      <c r="B230" s="23" t="s">
        <v>265</v>
      </c>
      <c r="C230" s="12" t="s">
        <v>94</v>
      </c>
      <c r="D230" s="58">
        <v>0.1</v>
      </c>
      <c r="E230" s="12" t="s">
        <v>18</v>
      </c>
      <c r="F230" s="44">
        <f>VLOOKUP(B230,GiaVL!$B$4:'GiaVL'!$D$189,3,0)</f>
        <v>16236000</v>
      </c>
      <c r="G230" s="44">
        <f>F230/G$6</f>
        <v>4059</v>
      </c>
      <c r="H230" s="251">
        <v>0.36</v>
      </c>
      <c r="I230" s="251">
        <v>0.38</v>
      </c>
      <c r="J230" s="251">
        <v>0.44</v>
      </c>
      <c r="K230" s="251">
        <v>0.51</v>
      </c>
      <c r="L230" s="251">
        <v>0.76</v>
      </c>
      <c r="M230" s="251"/>
      <c r="N230" s="62">
        <f t="shared" si="82"/>
        <v>58.449600000000004</v>
      </c>
      <c r="O230" s="62">
        <f t="shared" si="80"/>
        <v>61.696800000000003</v>
      </c>
      <c r="P230" s="62">
        <f t="shared" si="80"/>
        <v>71.438400000000001</v>
      </c>
      <c r="Q230" s="62">
        <f t="shared" si="80"/>
        <v>82.803600000000003</v>
      </c>
      <c r="R230" s="62">
        <f t="shared" si="80"/>
        <v>123.39360000000001</v>
      </c>
      <c r="S230" s="75">
        <f t="shared" si="81"/>
        <v>0</v>
      </c>
    </row>
    <row r="231" spans="1:19">
      <c r="A231" s="34"/>
      <c r="B231" s="65" t="s">
        <v>602</v>
      </c>
      <c r="C231" s="12" t="s">
        <v>91</v>
      </c>
      <c r="D231" s="58">
        <v>0.4</v>
      </c>
      <c r="E231" s="12" t="s">
        <v>18</v>
      </c>
      <c r="F231" s="44">
        <f>VLOOKUP(B231,GiaVL!$B$4:'GiaVL'!$D$189,3,0)</f>
        <v>135000000</v>
      </c>
      <c r="G231" s="44">
        <f>F231/G$6</f>
        <v>33750</v>
      </c>
      <c r="H231" s="251">
        <v>0.36</v>
      </c>
      <c r="I231" s="251">
        <v>0.38</v>
      </c>
      <c r="J231" s="251">
        <v>0.44</v>
      </c>
      <c r="K231" s="251">
        <v>0.51</v>
      </c>
      <c r="L231" s="251">
        <v>0.76</v>
      </c>
      <c r="M231" s="251"/>
      <c r="N231" s="62">
        <f t="shared" si="82"/>
        <v>486</v>
      </c>
      <c r="O231" s="62">
        <f t="shared" si="80"/>
        <v>513</v>
      </c>
      <c r="P231" s="62">
        <f t="shared" si="80"/>
        <v>594</v>
      </c>
      <c r="Q231" s="62">
        <f t="shared" si="80"/>
        <v>688.5</v>
      </c>
      <c r="R231" s="62">
        <f t="shared" si="80"/>
        <v>1026</v>
      </c>
      <c r="S231" s="75">
        <f t="shared" si="81"/>
        <v>0</v>
      </c>
    </row>
    <row r="232" spans="1:19">
      <c r="A232" s="34"/>
      <c r="B232" s="21" t="s">
        <v>247</v>
      </c>
      <c r="C232" s="12" t="s">
        <v>91</v>
      </c>
      <c r="D232" s="58">
        <v>0.4</v>
      </c>
      <c r="E232" s="12" t="s">
        <v>18</v>
      </c>
      <c r="F232" s="44">
        <f>VLOOKUP(B232,GiaVL!$B$4:'GiaVL'!$D$189,3,0)</f>
        <v>101818000</v>
      </c>
      <c r="G232" s="44">
        <f>F232/G$5</f>
        <v>29090.857142857141</v>
      </c>
      <c r="H232" s="251">
        <v>0.18</v>
      </c>
      <c r="I232" s="251">
        <v>0.18</v>
      </c>
      <c r="J232" s="251">
        <v>0.18</v>
      </c>
      <c r="K232" s="251">
        <v>0.18</v>
      </c>
      <c r="L232" s="251">
        <v>0.18</v>
      </c>
      <c r="M232" s="251"/>
      <c r="N232" s="62">
        <f t="shared" si="82"/>
        <v>209.45417142857141</v>
      </c>
      <c r="O232" s="62">
        <f t="shared" si="80"/>
        <v>209.45417142857141</v>
      </c>
      <c r="P232" s="62">
        <f t="shared" si="80"/>
        <v>209.45417142857141</v>
      </c>
      <c r="Q232" s="62">
        <f t="shared" si="80"/>
        <v>209.45417142857141</v>
      </c>
      <c r="R232" s="62">
        <f t="shared" si="80"/>
        <v>209.45417142857141</v>
      </c>
      <c r="S232" s="75">
        <f t="shared" si="81"/>
        <v>0</v>
      </c>
    </row>
    <row r="233" spans="1:19">
      <c r="A233" s="34"/>
      <c r="B233" s="65" t="s">
        <v>575</v>
      </c>
      <c r="C233" s="12" t="s">
        <v>266</v>
      </c>
      <c r="D233" s="58"/>
      <c r="E233" s="12" t="s">
        <v>18</v>
      </c>
      <c r="F233" s="44">
        <f>VLOOKUP(B233,GiaVL!$B$4:'GiaVL'!$D$189,3,0)</f>
        <v>170790000</v>
      </c>
      <c r="G233" s="44">
        <f>F233/G$5</f>
        <v>48797.142857142855</v>
      </c>
      <c r="H233" s="251">
        <v>5.34</v>
      </c>
      <c r="I233" s="251">
        <v>5.7</v>
      </c>
      <c r="J233" s="251">
        <v>6.54</v>
      </c>
      <c r="K233" s="251">
        <v>7.68</v>
      </c>
      <c r="L233" s="251">
        <v>11.34</v>
      </c>
      <c r="M233" s="251"/>
      <c r="N233" s="62">
        <f t="shared" si="82"/>
        <v>10423.069714285713</v>
      </c>
      <c r="O233" s="62">
        <f t="shared" si="80"/>
        <v>11125.74857142857</v>
      </c>
      <c r="P233" s="62">
        <f t="shared" si="80"/>
        <v>12765.332571428571</v>
      </c>
      <c r="Q233" s="62">
        <f t="shared" si="80"/>
        <v>14990.482285714284</v>
      </c>
      <c r="R233" s="62">
        <f t="shared" si="80"/>
        <v>22134.383999999998</v>
      </c>
      <c r="S233" s="75">
        <f t="shared" si="81"/>
        <v>0</v>
      </c>
    </row>
    <row r="234" spans="1:19">
      <c r="A234" s="34"/>
      <c r="B234" s="6" t="s">
        <v>645</v>
      </c>
      <c r="C234" s="12" t="s">
        <v>59</v>
      </c>
      <c r="D234" s="58">
        <v>2.2000000000000002</v>
      </c>
      <c r="E234" s="12" t="s">
        <v>18</v>
      </c>
      <c r="F234" s="44">
        <f>VLOOKUP(B234,GiaVL!$B$4:'GiaVL'!$D$189,3,0)</f>
        <v>9910000</v>
      </c>
      <c r="G234" s="44">
        <f>F234/8/500</f>
        <v>2477.5</v>
      </c>
      <c r="H234" s="251">
        <v>0.99</v>
      </c>
      <c r="I234" s="251">
        <v>1.05</v>
      </c>
      <c r="J234" s="251">
        <v>1.19</v>
      </c>
      <c r="K234" s="251">
        <v>1.38</v>
      </c>
      <c r="L234" s="251">
        <v>1.99</v>
      </c>
      <c r="M234" s="251"/>
      <c r="N234" s="62">
        <f t="shared" si="82"/>
        <v>98.108999999999995</v>
      </c>
      <c r="O234" s="62">
        <f t="shared" si="80"/>
        <v>104.05500000000001</v>
      </c>
      <c r="P234" s="62">
        <f t="shared" si="80"/>
        <v>117.929</v>
      </c>
      <c r="Q234" s="62">
        <f t="shared" si="80"/>
        <v>136.75799999999998</v>
      </c>
      <c r="R234" s="62">
        <f t="shared" si="80"/>
        <v>197.209</v>
      </c>
      <c r="S234" s="75">
        <f t="shared" si="81"/>
        <v>0</v>
      </c>
    </row>
    <row r="235" spans="1:19" s="26" customFormat="1" ht="13.5">
      <c r="A235" s="46"/>
      <c r="B235" s="21" t="s">
        <v>612</v>
      </c>
      <c r="C235" s="22" t="s">
        <v>117</v>
      </c>
      <c r="D235" s="57">
        <v>1</v>
      </c>
      <c r="E235" s="22" t="s">
        <v>43</v>
      </c>
      <c r="F235" s="44">
        <f>VLOOKUP(B235,GiaVL!$B$4:'GiaVL'!$D$189,3,0)</f>
        <v>2226</v>
      </c>
      <c r="G235" s="48">
        <f>D235*F235</f>
        <v>2226</v>
      </c>
      <c r="H235" s="251">
        <v>41.2</v>
      </c>
      <c r="I235" s="251">
        <v>43.4</v>
      </c>
      <c r="J235" s="251">
        <v>48.7</v>
      </c>
      <c r="K235" s="251">
        <v>55.9</v>
      </c>
      <c r="L235" s="251">
        <v>79</v>
      </c>
      <c r="M235" s="251"/>
      <c r="N235" s="76">
        <f>$G235*H235/25</f>
        <v>3668.4480000000003</v>
      </c>
      <c r="O235" s="76">
        <f>$G235*I235/25</f>
        <v>3864.3359999999998</v>
      </c>
      <c r="P235" s="76">
        <f>$G235*J235/25</f>
        <v>4336.2480000000005</v>
      </c>
      <c r="Q235" s="76">
        <f>$G235*K235/25</f>
        <v>4977.3359999999993</v>
      </c>
      <c r="R235" s="76">
        <f>$G235*L235/25</f>
        <v>7034.16</v>
      </c>
      <c r="S235" s="74">
        <f>$G235*M235</f>
        <v>0</v>
      </c>
    </row>
    <row r="236" spans="1:19" s="15" customFormat="1">
      <c r="A236" s="35" t="s">
        <v>36</v>
      </c>
      <c r="B236" s="9" t="s">
        <v>236</v>
      </c>
      <c r="C236" s="25"/>
      <c r="D236" s="56"/>
      <c r="E236" s="25"/>
      <c r="F236" s="45"/>
      <c r="G236" s="45"/>
      <c r="H236" s="260" t="s">
        <v>199</v>
      </c>
      <c r="I236" s="260" t="s">
        <v>199</v>
      </c>
      <c r="J236" s="260" t="s">
        <v>199</v>
      </c>
      <c r="K236" s="260" t="s">
        <v>199</v>
      </c>
      <c r="L236" s="260" t="s">
        <v>199</v>
      </c>
      <c r="M236" s="260"/>
      <c r="N236" s="76">
        <f t="shared" ref="N236:S236" si="83">SUM(N237:N243)</f>
        <v>3876.912864285714</v>
      </c>
      <c r="O236" s="76">
        <f t="shared" si="83"/>
        <v>4789.8023142857146</v>
      </c>
      <c r="P236" s="76">
        <f t="shared" si="83"/>
        <v>6322.0746857142849</v>
      </c>
      <c r="Q236" s="76">
        <f t="shared" si="83"/>
        <v>7354.7002928571428</v>
      </c>
      <c r="R236" s="76">
        <f t="shared" si="83"/>
        <v>9142.9525428571433</v>
      </c>
      <c r="S236" s="77">
        <f t="shared" si="83"/>
        <v>0</v>
      </c>
    </row>
    <row r="237" spans="1:19" s="15" customFormat="1">
      <c r="A237" s="34"/>
      <c r="B237" s="23" t="s">
        <v>264</v>
      </c>
      <c r="C237" s="12" t="s">
        <v>91</v>
      </c>
      <c r="D237" s="58">
        <v>0.35</v>
      </c>
      <c r="E237" s="12" t="s">
        <v>18</v>
      </c>
      <c r="F237" s="44">
        <f>VLOOKUP(B237,GiaVL!$B$4:'GiaVL'!$D$189,3,0)</f>
        <v>13127000</v>
      </c>
      <c r="G237" s="44">
        <f>F237/G$5</f>
        <v>3750.5714285714284</v>
      </c>
      <c r="H237" s="251">
        <v>6.45</v>
      </c>
      <c r="I237" s="251">
        <v>8.06</v>
      </c>
      <c r="J237" s="251">
        <v>10.8</v>
      </c>
      <c r="K237" s="251">
        <v>12.6</v>
      </c>
      <c r="L237" s="251">
        <v>15.75</v>
      </c>
      <c r="M237" s="251"/>
      <c r="N237" s="62">
        <f>$E237*$G237*H237/100</f>
        <v>241.91185714285714</v>
      </c>
      <c r="O237" s="62">
        <f t="shared" ref="O237:R243" si="84">$E237*$G237*I237/100</f>
        <v>302.29605714285714</v>
      </c>
      <c r="P237" s="62">
        <f t="shared" si="84"/>
        <v>405.06171428571434</v>
      </c>
      <c r="Q237" s="62">
        <f t="shared" si="84"/>
        <v>472.57199999999995</v>
      </c>
      <c r="R237" s="62">
        <f t="shared" si="84"/>
        <v>590.71500000000003</v>
      </c>
      <c r="S237" s="75">
        <f t="shared" ref="S237:S243" si="85">$E237*$G237*M237</f>
        <v>0</v>
      </c>
    </row>
    <row r="238" spans="1:19">
      <c r="A238" s="34"/>
      <c r="B238" s="6" t="s">
        <v>601</v>
      </c>
      <c r="C238" s="12" t="s">
        <v>91</v>
      </c>
      <c r="D238" s="58">
        <v>2.5</v>
      </c>
      <c r="E238" s="12" t="s">
        <v>18</v>
      </c>
      <c r="F238" s="44">
        <f>VLOOKUP(B238,GiaVL!$B$4:'GiaVL'!$D$189,3,0)</f>
        <v>280800000</v>
      </c>
      <c r="G238" s="44">
        <f>F238/G$6</f>
        <v>70200</v>
      </c>
      <c r="H238" s="251">
        <v>0.24</v>
      </c>
      <c r="I238" s="251">
        <v>0.24</v>
      </c>
      <c r="J238" s="251">
        <v>0.24</v>
      </c>
      <c r="K238" s="251">
        <v>0.24</v>
      </c>
      <c r="L238" s="251">
        <v>0.24</v>
      </c>
      <c r="M238" s="251"/>
      <c r="N238" s="62">
        <f t="shared" ref="N238:N243" si="86">$E238*$G238*H238/100</f>
        <v>168.48</v>
      </c>
      <c r="O238" s="62">
        <f t="shared" si="84"/>
        <v>168.48</v>
      </c>
      <c r="P238" s="62">
        <f t="shared" si="84"/>
        <v>168.48</v>
      </c>
      <c r="Q238" s="62">
        <f t="shared" si="84"/>
        <v>168.48</v>
      </c>
      <c r="R238" s="62">
        <f t="shared" si="84"/>
        <v>168.48</v>
      </c>
      <c r="S238" s="75">
        <f t="shared" si="85"/>
        <v>0</v>
      </c>
    </row>
    <row r="239" spans="1:19">
      <c r="A239" s="34"/>
      <c r="B239" s="23" t="s">
        <v>265</v>
      </c>
      <c r="C239" s="12" t="s">
        <v>94</v>
      </c>
      <c r="D239" s="58">
        <v>0.1</v>
      </c>
      <c r="E239" s="12" t="s">
        <v>18</v>
      </c>
      <c r="F239" s="44">
        <f>VLOOKUP(B239,GiaVL!$B$4:'GiaVL'!$D$189,3,0)</f>
        <v>16236000</v>
      </c>
      <c r="G239" s="44">
        <f>F239/G$6</f>
        <v>4059</v>
      </c>
      <c r="H239" s="251">
        <v>0.6</v>
      </c>
      <c r="I239" s="251">
        <v>0.75</v>
      </c>
      <c r="J239" s="251">
        <v>0.95</v>
      </c>
      <c r="K239" s="251">
        <v>1.1499999999999999</v>
      </c>
      <c r="L239" s="251">
        <v>1.45</v>
      </c>
      <c r="M239" s="251"/>
      <c r="N239" s="62">
        <f t="shared" si="86"/>
        <v>24.353999999999999</v>
      </c>
      <c r="O239" s="62">
        <f t="shared" si="84"/>
        <v>30.442499999999999</v>
      </c>
      <c r="P239" s="62">
        <f t="shared" si="84"/>
        <v>38.560499999999998</v>
      </c>
      <c r="Q239" s="62">
        <f t="shared" si="84"/>
        <v>46.678499999999993</v>
      </c>
      <c r="R239" s="62">
        <f t="shared" si="84"/>
        <v>58.855499999999999</v>
      </c>
      <c r="S239" s="75">
        <f t="shared" si="85"/>
        <v>0</v>
      </c>
    </row>
    <row r="240" spans="1:19">
      <c r="A240" s="34"/>
      <c r="B240" s="65" t="s">
        <v>602</v>
      </c>
      <c r="C240" s="12" t="s">
        <v>91</v>
      </c>
      <c r="D240" s="58">
        <v>0.4</v>
      </c>
      <c r="E240" s="12" t="s">
        <v>18</v>
      </c>
      <c r="F240" s="44">
        <f>VLOOKUP(B240,GiaVL!$B$4:'GiaVL'!$D$189,3,0)</f>
        <v>135000000</v>
      </c>
      <c r="G240" s="44">
        <f>F240/G$6</f>
        <v>33750</v>
      </c>
      <c r="H240" s="251">
        <v>0.6</v>
      </c>
      <c r="I240" s="251">
        <v>0.75</v>
      </c>
      <c r="J240" s="251">
        <v>0.95</v>
      </c>
      <c r="K240" s="251">
        <v>1.1499999999999999</v>
      </c>
      <c r="L240" s="251">
        <v>1.45</v>
      </c>
      <c r="M240" s="251"/>
      <c r="N240" s="62">
        <f t="shared" si="86"/>
        <v>202.5</v>
      </c>
      <c r="O240" s="62">
        <f t="shared" si="84"/>
        <v>253.125</v>
      </c>
      <c r="P240" s="62">
        <f t="shared" si="84"/>
        <v>320.625</v>
      </c>
      <c r="Q240" s="62">
        <f t="shared" si="84"/>
        <v>388.125</v>
      </c>
      <c r="R240" s="62">
        <f t="shared" si="84"/>
        <v>489.375</v>
      </c>
      <c r="S240" s="75">
        <f t="shared" si="85"/>
        <v>0</v>
      </c>
    </row>
    <row r="241" spans="1:19">
      <c r="A241" s="34"/>
      <c r="B241" s="21" t="s">
        <v>247</v>
      </c>
      <c r="C241" s="12" t="s">
        <v>91</v>
      </c>
      <c r="D241" s="58">
        <v>0.4</v>
      </c>
      <c r="E241" s="12" t="s">
        <v>18</v>
      </c>
      <c r="F241" s="44">
        <f>VLOOKUP(B241,GiaVL!$B$4:'GiaVL'!$D$189,3,0)</f>
        <v>101818000</v>
      </c>
      <c r="G241" s="44">
        <f>F241/G$5</f>
        <v>29090.857142857141</v>
      </c>
      <c r="H241" s="251">
        <v>0.18</v>
      </c>
      <c r="I241" s="251">
        <v>0.18</v>
      </c>
      <c r="J241" s="251">
        <v>0.18</v>
      </c>
      <c r="K241" s="251">
        <v>0.18</v>
      </c>
      <c r="L241" s="251">
        <v>0.18</v>
      </c>
      <c r="M241" s="251"/>
      <c r="N241" s="62">
        <f t="shared" si="86"/>
        <v>52.363542857142853</v>
      </c>
      <c r="O241" s="62">
        <f t="shared" si="84"/>
        <v>52.363542857142853</v>
      </c>
      <c r="P241" s="62">
        <f t="shared" si="84"/>
        <v>52.363542857142853</v>
      </c>
      <c r="Q241" s="62">
        <f t="shared" si="84"/>
        <v>52.363542857142853</v>
      </c>
      <c r="R241" s="62">
        <f t="shared" si="84"/>
        <v>52.363542857142853</v>
      </c>
      <c r="S241" s="75">
        <f t="shared" si="85"/>
        <v>0</v>
      </c>
    </row>
    <row r="242" spans="1:19">
      <c r="A242" s="34"/>
      <c r="B242" s="65" t="s">
        <v>575</v>
      </c>
      <c r="C242" s="12" t="s">
        <v>266</v>
      </c>
      <c r="D242" s="58"/>
      <c r="E242" s="12" t="s">
        <v>18</v>
      </c>
      <c r="F242" s="44">
        <f>VLOOKUP(B242,GiaVL!$B$4:'GiaVL'!$D$189,3,0)</f>
        <v>170790000</v>
      </c>
      <c r="G242" s="44">
        <f>F242/G$5</f>
        <v>48797.142857142855</v>
      </c>
      <c r="H242" s="251">
        <v>6.45</v>
      </c>
      <c r="I242" s="251">
        <v>8.06</v>
      </c>
      <c r="J242" s="251">
        <v>10.8</v>
      </c>
      <c r="K242" s="251">
        <v>12.6</v>
      </c>
      <c r="L242" s="251">
        <v>15.75</v>
      </c>
      <c r="M242" s="251"/>
      <c r="N242" s="62">
        <f t="shared" si="86"/>
        <v>3147.4157142857143</v>
      </c>
      <c r="O242" s="62">
        <f t="shared" si="84"/>
        <v>3933.0497142857143</v>
      </c>
      <c r="P242" s="62">
        <f t="shared" si="84"/>
        <v>5270.091428571428</v>
      </c>
      <c r="Q242" s="62">
        <f t="shared" si="84"/>
        <v>6148.44</v>
      </c>
      <c r="R242" s="62">
        <f t="shared" si="84"/>
        <v>7685.55</v>
      </c>
      <c r="S242" s="75">
        <f t="shared" si="85"/>
        <v>0</v>
      </c>
    </row>
    <row r="243" spans="1:19">
      <c r="A243" s="34"/>
      <c r="B243" s="6" t="s">
        <v>645</v>
      </c>
      <c r="C243" s="12" t="s">
        <v>59</v>
      </c>
      <c r="D243" s="58">
        <v>2.2000000000000002</v>
      </c>
      <c r="E243" s="12" t="s">
        <v>18</v>
      </c>
      <c r="F243" s="44">
        <f>VLOOKUP(B243,GiaVL!$B$4:'GiaVL'!$D$189,3,0)</f>
        <v>9910000</v>
      </c>
      <c r="G243" s="44">
        <f>F243/8/500</f>
        <v>2477.5</v>
      </c>
      <c r="H243" s="251">
        <v>1.61</v>
      </c>
      <c r="I243" s="251">
        <v>2.02</v>
      </c>
      <c r="J243" s="251">
        <v>2.7</v>
      </c>
      <c r="K243" s="251">
        <v>3.15</v>
      </c>
      <c r="L243" s="251">
        <v>3.94</v>
      </c>
      <c r="M243" s="251"/>
      <c r="N243" s="62">
        <f t="shared" si="86"/>
        <v>39.887750000000004</v>
      </c>
      <c r="O243" s="62">
        <f t="shared" si="84"/>
        <v>50.045500000000004</v>
      </c>
      <c r="P243" s="62">
        <f t="shared" si="84"/>
        <v>66.892499999999998</v>
      </c>
      <c r="Q243" s="62">
        <f t="shared" si="84"/>
        <v>78.041250000000005</v>
      </c>
      <c r="R243" s="62">
        <f t="shared" si="84"/>
        <v>97.613500000000002</v>
      </c>
      <c r="S243" s="75">
        <f t="shared" si="85"/>
        <v>0</v>
      </c>
    </row>
    <row r="244" spans="1:19" s="26" customFormat="1" ht="13.5">
      <c r="A244" s="46"/>
      <c r="B244" s="21" t="s">
        <v>612</v>
      </c>
      <c r="C244" s="22" t="s">
        <v>117</v>
      </c>
      <c r="D244" s="57">
        <v>1</v>
      </c>
      <c r="E244" s="22" t="s">
        <v>43</v>
      </c>
      <c r="F244" s="44">
        <f>VLOOKUP(B244,GiaVL!$B$4:'GiaVL'!$D$189,3,0)</f>
        <v>2226</v>
      </c>
      <c r="G244" s="48">
        <f>D244*F244</f>
        <v>2226</v>
      </c>
      <c r="H244" s="251">
        <v>55.77</v>
      </c>
      <c r="I244" s="251">
        <v>69.19</v>
      </c>
      <c r="J244" s="251">
        <v>91.28</v>
      </c>
      <c r="K244" s="251">
        <v>105.73</v>
      </c>
      <c r="L244" s="251">
        <v>130.85</v>
      </c>
      <c r="M244" s="251"/>
      <c r="N244" s="76">
        <f>$G244*H244/100</f>
        <v>1241.4402</v>
      </c>
      <c r="O244" s="76">
        <f>$G244*I244/100</f>
        <v>1540.1694</v>
      </c>
      <c r="P244" s="76">
        <f>$G244*J244/100</f>
        <v>2031.8928000000001</v>
      </c>
      <c r="Q244" s="76">
        <f>$G244*K244/100</f>
        <v>2353.5498000000002</v>
      </c>
      <c r="R244" s="76">
        <f>$G244*L244/100</f>
        <v>2912.7209999999995</v>
      </c>
      <c r="S244" s="74">
        <f>$G244*M244</f>
        <v>0</v>
      </c>
    </row>
    <row r="245" spans="1:19" s="15" customFormat="1">
      <c r="A245" s="35" t="s">
        <v>270</v>
      </c>
      <c r="B245" s="9" t="s">
        <v>237</v>
      </c>
      <c r="C245" s="25"/>
      <c r="D245" s="56"/>
      <c r="E245" s="25"/>
      <c r="F245" s="45"/>
      <c r="G245" s="45"/>
      <c r="H245" s="260" t="s">
        <v>199</v>
      </c>
      <c r="I245" s="260" t="s">
        <v>199</v>
      </c>
      <c r="J245" s="260" t="s">
        <v>199</v>
      </c>
      <c r="K245" s="260" t="s">
        <v>199</v>
      </c>
      <c r="L245" s="260"/>
      <c r="M245" s="260"/>
      <c r="N245" s="76">
        <f t="shared" ref="N245:S245" si="87">SUM(N246:N252)</f>
        <v>745.40651428571425</v>
      </c>
      <c r="O245" s="76">
        <f t="shared" si="87"/>
        <v>980.23466190476177</v>
      </c>
      <c r="P245" s="76">
        <f t="shared" si="87"/>
        <v>1171.2626928571428</v>
      </c>
      <c r="Q245" s="76">
        <f t="shared" si="87"/>
        <v>1401.003676984127</v>
      </c>
      <c r="R245" s="76">
        <f t="shared" si="87"/>
        <v>0</v>
      </c>
      <c r="S245" s="77">
        <f t="shared" si="87"/>
        <v>0</v>
      </c>
    </row>
    <row r="246" spans="1:19" s="15" customFormat="1">
      <c r="A246" s="34"/>
      <c r="B246" s="23" t="s">
        <v>264</v>
      </c>
      <c r="C246" s="12" t="s">
        <v>91</v>
      </c>
      <c r="D246" s="58">
        <v>0.35</v>
      </c>
      <c r="E246" s="12" t="s">
        <v>18</v>
      </c>
      <c r="F246" s="44">
        <f>VLOOKUP(B246,GiaVL!$B$4:'GiaVL'!$D$189,3,0)</f>
        <v>13127000</v>
      </c>
      <c r="G246" s="44">
        <f>F246/G$5</f>
        <v>3750.5714285714284</v>
      </c>
      <c r="H246" s="251">
        <v>11.52</v>
      </c>
      <c r="I246" s="251">
        <v>15.36</v>
      </c>
      <c r="J246" s="251">
        <v>18.43</v>
      </c>
      <c r="K246" s="251">
        <v>22.12</v>
      </c>
      <c r="L246" s="251"/>
      <c r="M246" s="251"/>
      <c r="N246" s="62">
        <f>$E246*$G246*H246/900</f>
        <v>48.007314285714287</v>
      </c>
      <c r="O246" s="62">
        <f t="shared" ref="O246:Q252" si="88">$E246*$G246*I246/900</f>
        <v>64.009752380952378</v>
      </c>
      <c r="P246" s="62">
        <f t="shared" si="88"/>
        <v>76.803368253968259</v>
      </c>
      <c r="Q246" s="62">
        <f t="shared" si="88"/>
        <v>92.180711111111108</v>
      </c>
      <c r="R246" s="62">
        <f t="shared" ref="R246:S252" si="89">$E246*$G246*L246</f>
        <v>0</v>
      </c>
      <c r="S246" s="75">
        <f t="shared" si="89"/>
        <v>0</v>
      </c>
    </row>
    <row r="247" spans="1:19">
      <c r="A247" s="34"/>
      <c r="B247" s="6" t="s">
        <v>601</v>
      </c>
      <c r="C247" s="12" t="s">
        <v>91</v>
      </c>
      <c r="D247" s="58">
        <v>2.5</v>
      </c>
      <c r="E247" s="12" t="s">
        <v>18</v>
      </c>
      <c r="F247" s="44">
        <f>VLOOKUP(B247,GiaVL!$B$4:'GiaVL'!$D$189,3,0)</f>
        <v>280800000</v>
      </c>
      <c r="G247" s="44">
        <f>F247/G$6</f>
        <v>70200</v>
      </c>
      <c r="H247" s="251">
        <v>0.24</v>
      </c>
      <c r="I247" s="251">
        <v>0.24</v>
      </c>
      <c r="J247" s="251">
        <v>0.24</v>
      </c>
      <c r="K247" s="251">
        <v>0.24</v>
      </c>
      <c r="L247" s="251"/>
      <c r="M247" s="251"/>
      <c r="N247" s="62">
        <f t="shared" ref="N247:N252" si="90">$E247*$G247*H247/900</f>
        <v>18.72</v>
      </c>
      <c r="O247" s="62">
        <f t="shared" si="88"/>
        <v>18.72</v>
      </c>
      <c r="P247" s="62">
        <f t="shared" si="88"/>
        <v>18.72</v>
      </c>
      <c r="Q247" s="62">
        <f t="shared" si="88"/>
        <v>18.72</v>
      </c>
      <c r="R247" s="62">
        <f t="shared" si="89"/>
        <v>0</v>
      </c>
      <c r="S247" s="75">
        <f t="shared" si="89"/>
        <v>0</v>
      </c>
    </row>
    <row r="248" spans="1:19">
      <c r="A248" s="34"/>
      <c r="B248" s="23" t="s">
        <v>265</v>
      </c>
      <c r="C248" s="12" t="s">
        <v>94</v>
      </c>
      <c r="D248" s="58">
        <v>0.1</v>
      </c>
      <c r="E248" s="12" t="s">
        <v>18</v>
      </c>
      <c r="F248" s="44">
        <f>VLOOKUP(B248,GiaVL!$B$4:'GiaVL'!$D$189,3,0)</f>
        <v>16236000</v>
      </c>
      <c r="G248" s="44">
        <f>F248/G$6</f>
        <v>4059</v>
      </c>
      <c r="H248" s="251">
        <v>0.96</v>
      </c>
      <c r="I248" s="251">
        <v>1.1499999999999999</v>
      </c>
      <c r="J248" s="251">
        <v>1.38</v>
      </c>
      <c r="K248" s="251">
        <v>1.66</v>
      </c>
      <c r="L248" s="251"/>
      <c r="M248" s="251"/>
      <c r="N248" s="62">
        <f t="shared" si="90"/>
        <v>4.3296000000000001</v>
      </c>
      <c r="O248" s="62">
        <f t="shared" si="88"/>
        <v>5.1864999999999997</v>
      </c>
      <c r="P248" s="62">
        <f t="shared" si="88"/>
        <v>6.2237999999999989</v>
      </c>
      <c r="Q248" s="62">
        <f t="shared" si="88"/>
        <v>7.4865999999999993</v>
      </c>
      <c r="R248" s="62">
        <f t="shared" si="89"/>
        <v>0</v>
      </c>
      <c r="S248" s="75">
        <f t="shared" si="89"/>
        <v>0</v>
      </c>
    </row>
    <row r="249" spans="1:19">
      <c r="A249" s="34"/>
      <c r="B249" s="65" t="s">
        <v>602</v>
      </c>
      <c r="C249" s="12" t="s">
        <v>91</v>
      </c>
      <c r="D249" s="58">
        <v>0.4</v>
      </c>
      <c r="E249" s="12" t="s">
        <v>18</v>
      </c>
      <c r="F249" s="44">
        <f>VLOOKUP(B249,GiaVL!$B$4:'GiaVL'!$D$189,3,0)</f>
        <v>135000000</v>
      </c>
      <c r="G249" s="44">
        <f>F249/G$6</f>
        <v>33750</v>
      </c>
      <c r="H249" s="251">
        <v>0.96</v>
      </c>
      <c r="I249" s="251">
        <v>1.1499999999999999</v>
      </c>
      <c r="J249" s="251">
        <v>1.38</v>
      </c>
      <c r="K249" s="251">
        <v>1.66</v>
      </c>
      <c r="L249" s="251"/>
      <c r="M249" s="251"/>
      <c r="N249" s="62">
        <f t="shared" si="90"/>
        <v>36</v>
      </c>
      <c r="O249" s="62">
        <f t="shared" si="88"/>
        <v>43.125</v>
      </c>
      <c r="P249" s="62">
        <f t="shared" si="88"/>
        <v>51.75</v>
      </c>
      <c r="Q249" s="62">
        <f t="shared" si="88"/>
        <v>62.25</v>
      </c>
      <c r="R249" s="62">
        <f t="shared" si="89"/>
        <v>0</v>
      </c>
      <c r="S249" s="75">
        <f t="shared" si="89"/>
        <v>0</v>
      </c>
    </row>
    <row r="250" spans="1:19">
      <c r="A250" s="34"/>
      <c r="B250" s="21" t="s">
        <v>247</v>
      </c>
      <c r="C250" s="12" t="s">
        <v>91</v>
      </c>
      <c r="D250" s="58">
        <v>0.4</v>
      </c>
      <c r="E250" s="12" t="s">
        <v>18</v>
      </c>
      <c r="F250" s="44">
        <f>VLOOKUP(B250,GiaVL!$B$4:'GiaVL'!$D$189,3,0)</f>
        <v>101818000</v>
      </c>
      <c r="G250" s="44">
        <f>F250/G$5</f>
        <v>29090.857142857141</v>
      </c>
      <c r="H250" s="251">
        <v>0.18</v>
      </c>
      <c r="I250" s="251">
        <v>0.18</v>
      </c>
      <c r="J250" s="251">
        <v>0.18</v>
      </c>
      <c r="K250" s="251">
        <v>0.18</v>
      </c>
      <c r="L250" s="251"/>
      <c r="M250" s="251"/>
      <c r="N250" s="62">
        <f t="shared" si="90"/>
        <v>5.8181714285714285</v>
      </c>
      <c r="O250" s="62">
        <f t="shared" si="88"/>
        <v>5.8181714285714285</v>
      </c>
      <c r="P250" s="62">
        <f t="shared" si="88"/>
        <v>5.8181714285714285</v>
      </c>
      <c r="Q250" s="62">
        <f t="shared" si="88"/>
        <v>5.8181714285714285</v>
      </c>
      <c r="R250" s="62">
        <f t="shared" si="89"/>
        <v>0</v>
      </c>
      <c r="S250" s="75">
        <f t="shared" si="89"/>
        <v>0</v>
      </c>
    </row>
    <row r="251" spans="1:19">
      <c r="A251" s="34"/>
      <c r="B251" s="65" t="s">
        <v>575</v>
      </c>
      <c r="C251" s="12" t="s">
        <v>266</v>
      </c>
      <c r="D251" s="58"/>
      <c r="E251" s="12" t="s">
        <v>18</v>
      </c>
      <c r="F251" s="44">
        <f>VLOOKUP(B251,GiaVL!$B$4:'GiaVL'!$D$189,3,0)</f>
        <v>170790000</v>
      </c>
      <c r="G251" s="44">
        <f>F251/G$5</f>
        <v>48797.142857142855</v>
      </c>
      <c r="H251" s="251">
        <v>11.52</v>
      </c>
      <c r="I251" s="251">
        <v>15.36</v>
      </c>
      <c r="J251" s="251">
        <v>18.43</v>
      </c>
      <c r="K251" s="251">
        <v>22.12</v>
      </c>
      <c r="L251" s="251"/>
      <c r="M251" s="251"/>
      <c r="N251" s="62">
        <f t="shared" si="90"/>
        <v>624.60342857142859</v>
      </c>
      <c r="O251" s="62">
        <f t="shared" si="88"/>
        <v>832.80457142857131</v>
      </c>
      <c r="P251" s="62">
        <f t="shared" si="88"/>
        <v>999.25704761904751</v>
      </c>
      <c r="Q251" s="62">
        <f t="shared" si="88"/>
        <v>1199.3253333333334</v>
      </c>
      <c r="R251" s="62">
        <f t="shared" si="89"/>
        <v>0</v>
      </c>
      <c r="S251" s="75">
        <f t="shared" si="89"/>
        <v>0</v>
      </c>
    </row>
    <row r="252" spans="1:19">
      <c r="A252" s="34"/>
      <c r="B252" s="6" t="s">
        <v>645</v>
      </c>
      <c r="C252" s="12" t="s">
        <v>59</v>
      </c>
      <c r="D252" s="58">
        <v>2.2000000000000002</v>
      </c>
      <c r="E252" s="12" t="s">
        <v>18</v>
      </c>
      <c r="F252" s="44">
        <f>VLOOKUP(B252,GiaVL!$B$4:'GiaVL'!$D$189,3,0)</f>
        <v>9910000</v>
      </c>
      <c r="G252" s="44">
        <f>F252/8/500</f>
        <v>2477.5</v>
      </c>
      <c r="H252" s="251">
        <v>2.88</v>
      </c>
      <c r="I252" s="251">
        <v>3.84</v>
      </c>
      <c r="J252" s="251">
        <v>4.6100000000000003</v>
      </c>
      <c r="K252" s="251">
        <v>5.53</v>
      </c>
      <c r="L252" s="251"/>
      <c r="M252" s="251"/>
      <c r="N252" s="62">
        <f t="shared" si="90"/>
        <v>7.9279999999999999</v>
      </c>
      <c r="O252" s="62">
        <f t="shared" si="88"/>
        <v>10.570666666666668</v>
      </c>
      <c r="P252" s="62">
        <f t="shared" si="88"/>
        <v>12.690305555555558</v>
      </c>
      <c r="Q252" s="62">
        <f t="shared" si="88"/>
        <v>15.222861111111111</v>
      </c>
      <c r="R252" s="62">
        <f t="shared" si="89"/>
        <v>0</v>
      </c>
      <c r="S252" s="75">
        <f t="shared" si="89"/>
        <v>0</v>
      </c>
    </row>
    <row r="253" spans="1:19" s="26" customFormat="1" ht="13.5">
      <c r="A253" s="46"/>
      <c r="B253" s="21" t="s">
        <v>612</v>
      </c>
      <c r="C253" s="22" t="s">
        <v>117</v>
      </c>
      <c r="D253" s="57">
        <v>1</v>
      </c>
      <c r="E253" s="22" t="s">
        <v>43</v>
      </c>
      <c r="F253" s="44">
        <f>VLOOKUP(B253,GiaVL!$B$4:'GiaVL'!$D$189,3,0)</f>
        <v>2226</v>
      </c>
      <c r="G253" s="48">
        <f>D253*F253</f>
        <v>2226</v>
      </c>
      <c r="H253" s="251">
        <v>95.84</v>
      </c>
      <c r="I253" s="251">
        <v>126.6</v>
      </c>
      <c r="J253" s="251">
        <v>150.82</v>
      </c>
      <c r="K253" s="251">
        <v>179.84</v>
      </c>
      <c r="L253" s="251"/>
      <c r="M253" s="251"/>
      <c r="N253" s="76">
        <f>$G253*H253/900</f>
        <v>237.04426666666666</v>
      </c>
      <c r="O253" s="76">
        <f>$G253*I253/900</f>
        <v>313.12399999999997</v>
      </c>
      <c r="P253" s="76">
        <f>$G253*J253/900</f>
        <v>373.02813333333336</v>
      </c>
      <c r="Q253" s="76">
        <f>$G253*K253/900</f>
        <v>444.80426666666671</v>
      </c>
      <c r="R253" s="76">
        <f>$G253*L253</f>
        <v>0</v>
      </c>
      <c r="S253" s="74">
        <f>$G253*M253</f>
        <v>0</v>
      </c>
    </row>
    <row r="254" spans="1:19">
      <c r="A254" s="34"/>
      <c r="B254" s="23" t="s">
        <v>43</v>
      </c>
      <c r="C254" s="12" t="s">
        <v>43</v>
      </c>
      <c r="D254" s="58" t="s">
        <v>43</v>
      </c>
      <c r="E254" s="12" t="s">
        <v>43</v>
      </c>
      <c r="F254" s="44"/>
      <c r="G254" s="44"/>
      <c r="H254" s="251"/>
      <c r="I254" s="251"/>
      <c r="J254" s="251"/>
      <c r="K254" s="251"/>
      <c r="L254" s="251"/>
      <c r="M254" s="251"/>
      <c r="N254" s="62"/>
      <c r="O254" s="62"/>
      <c r="P254" s="62"/>
      <c r="Q254" s="62"/>
      <c r="R254" s="62"/>
      <c r="S254" s="75"/>
    </row>
    <row r="255" spans="1:19" s="15" customFormat="1">
      <c r="A255" s="35" t="s">
        <v>20</v>
      </c>
      <c r="B255" s="9" t="s">
        <v>267</v>
      </c>
      <c r="C255" s="25"/>
      <c r="D255" s="58"/>
      <c r="E255" s="36"/>
      <c r="F255" s="45"/>
      <c r="G255" s="45"/>
      <c r="H255" s="249"/>
      <c r="I255" s="249"/>
      <c r="J255" s="249"/>
      <c r="K255" s="249"/>
      <c r="L255" s="249"/>
      <c r="M255" s="249"/>
      <c r="N255" s="76"/>
      <c r="O255" s="76"/>
      <c r="P255" s="76"/>
      <c r="Q255" s="76"/>
      <c r="R255" s="76"/>
      <c r="S255" s="77"/>
    </row>
    <row r="256" spans="1:19" s="15" customFormat="1">
      <c r="A256" s="35" t="s">
        <v>268</v>
      </c>
      <c r="B256" s="9" t="s">
        <v>231</v>
      </c>
      <c r="C256" s="25"/>
      <c r="D256" s="56"/>
      <c r="E256" s="25"/>
      <c r="F256" s="45"/>
      <c r="G256" s="45"/>
      <c r="H256" s="260"/>
      <c r="I256" s="260"/>
      <c r="J256" s="260"/>
      <c r="K256" s="260"/>
      <c r="L256" s="260"/>
      <c r="M256" s="260"/>
      <c r="N256" s="76">
        <f t="shared" ref="N256:S256" si="91">SUM(N257:N262)</f>
        <v>91412.464999999982</v>
      </c>
      <c r="O256" s="76">
        <f t="shared" si="91"/>
        <v>100675.37928571428</v>
      </c>
      <c r="P256" s="76">
        <f t="shared" si="91"/>
        <v>111111.85999999999</v>
      </c>
      <c r="Q256" s="76">
        <f t="shared" si="91"/>
        <v>121573.11571428571</v>
      </c>
      <c r="R256" s="76">
        <f t="shared" si="91"/>
        <v>127255.52714285714</v>
      </c>
      <c r="S256" s="77">
        <f t="shared" si="91"/>
        <v>0</v>
      </c>
    </row>
    <row r="257" spans="1:19" s="15" customFormat="1">
      <c r="A257" s="34"/>
      <c r="B257" s="23" t="s">
        <v>264</v>
      </c>
      <c r="C257" s="12" t="s">
        <v>91</v>
      </c>
      <c r="D257" s="58">
        <v>0.35</v>
      </c>
      <c r="E257" s="12" t="s">
        <v>18</v>
      </c>
      <c r="F257" s="44">
        <f>VLOOKUP(B257,GiaVL!$B$4:'GiaVL'!$D$189,3,0)</f>
        <v>13127000</v>
      </c>
      <c r="G257" s="44">
        <f>F257/G$5</f>
        <v>3750.5714285714284</v>
      </c>
      <c r="H257" s="251">
        <v>1.57</v>
      </c>
      <c r="I257" s="251">
        <v>1.73</v>
      </c>
      <c r="J257" s="251">
        <v>1.92</v>
      </c>
      <c r="K257" s="251">
        <v>2.11</v>
      </c>
      <c r="L257" s="251">
        <v>2.21</v>
      </c>
      <c r="M257" s="251"/>
      <c r="N257" s="62">
        <f t="shared" ref="N257:S262" si="92">$E257*$G257*H257</f>
        <v>5888.3971428571431</v>
      </c>
      <c r="O257" s="62">
        <f t="shared" si="92"/>
        <v>6488.488571428571</v>
      </c>
      <c r="P257" s="62">
        <f t="shared" si="92"/>
        <v>7201.097142857142</v>
      </c>
      <c r="Q257" s="62">
        <f t="shared" si="92"/>
        <v>7913.7057142857138</v>
      </c>
      <c r="R257" s="62">
        <f t="shared" si="92"/>
        <v>8288.7628571428559</v>
      </c>
      <c r="S257" s="75">
        <f t="shared" si="92"/>
        <v>0</v>
      </c>
    </row>
    <row r="258" spans="1:19">
      <c r="A258" s="34"/>
      <c r="B258" s="23" t="s">
        <v>265</v>
      </c>
      <c r="C258" s="12" t="s">
        <v>94</v>
      </c>
      <c r="D258" s="58">
        <v>0.1</v>
      </c>
      <c r="E258" s="12" t="s">
        <v>18</v>
      </c>
      <c r="F258" s="44">
        <f>VLOOKUP(B258,GiaVL!$B$4:'GiaVL'!$D$189,3,0)</f>
        <v>16236000</v>
      </c>
      <c r="G258" s="44">
        <f>F258/G$6</f>
        <v>4059</v>
      </c>
      <c r="H258" s="251">
        <v>0.1</v>
      </c>
      <c r="I258" s="251">
        <v>0.12</v>
      </c>
      <c r="J258" s="251">
        <v>0.13</v>
      </c>
      <c r="K258" s="251">
        <v>0.14000000000000001</v>
      </c>
      <c r="L258" s="251">
        <v>0.15</v>
      </c>
      <c r="M258" s="251"/>
      <c r="N258" s="62">
        <f t="shared" si="92"/>
        <v>405.90000000000003</v>
      </c>
      <c r="O258" s="62">
        <f t="shared" si="92"/>
        <v>487.08</v>
      </c>
      <c r="P258" s="62">
        <f t="shared" si="92"/>
        <v>527.67000000000007</v>
      </c>
      <c r="Q258" s="62">
        <f t="shared" si="92"/>
        <v>568.2600000000001</v>
      </c>
      <c r="R258" s="62">
        <f t="shared" si="92"/>
        <v>608.85</v>
      </c>
      <c r="S258" s="75">
        <f t="shared" si="92"/>
        <v>0</v>
      </c>
    </row>
    <row r="259" spans="1:19">
      <c r="A259" s="34"/>
      <c r="B259" s="65" t="s">
        <v>602</v>
      </c>
      <c r="C259" s="12" t="s">
        <v>91</v>
      </c>
      <c r="D259" s="58">
        <v>0.4</v>
      </c>
      <c r="E259" s="12" t="s">
        <v>18</v>
      </c>
      <c r="F259" s="44">
        <f>VLOOKUP(B259,GiaVL!$B$4:'GiaVL'!$D$189,3,0)</f>
        <v>135000000</v>
      </c>
      <c r="G259" s="44">
        <f>F259/G$6</f>
        <v>33750</v>
      </c>
      <c r="H259" s="251">
        <v>0.1</v>
      </c>
      <c r="I259" s="251">
        <v>0.12</v>
      </c>
      <c r="J259" s="251">
        <v>0.13</v>
      </c>
      <c r="K259" s="251">
        <v>0.14000000000000001</v>
      </c>
      <c r="L259" s="251">
        <v>0.15</v>
      </c>
      <c r="M259" s="251"/>
      <c r="N259" s="62">
        <f t="shared" si="92"/>
        <v>3375</v>
      </c>
      <c r="O259" s="62">
        <f t="shared" si="92"/>
        <v>4050</v>
      </c>
      <c r="P259" s="62">
        <f t="shared" si="92"/>
        <v>4387.5</v>
      </c>
      <c r="Q259" s="62">
        <f t="shared" si="92"/>
        <v>4725</v>
      </c>
      <c r="R259" s="62">
        <f t="shared" si="92"/>
        <v>5062.5</v>
      </c>
      <c r="S259" s="75">
        <f t="shared" si="92"/>
        <v>0</v>
      </c>
    </row>
    <row r="260" spans="1:19">
      <c r="A260" s="34"/>
      <c r="B260" s="21" t="s">
        <v>247</v>
      </c>
      <c r="C260" s="12" t="s">
        <v>91</v>
      </c>
      <c r="D260" s="58">
        <v>0.4</v>
      </c>
      <c r="E260" s="12" t="s">
        <v>18</v>
      </c>
      <c r="F260" s="44">
        <f>VLOOKUP(B260,GiaVL!$B$4:'GiaVL'!$D$189,3,0)</f>
        <v>101818000</v>
      </c>
      <c r="G260" s="44">
        <f>F260/G$5</f>
        <v>29090.857142857141</v>
      </c>
      <c r="H260" s="251">
        <v>0.15</v>
      </c>
      <c r="I260" s="251">
        <v>0.15</v>
      </c>
      <c r="J260" s="251">
        <v>0.15</v>
      </c>
      <c r="K260" s="251">
        <v>0.15</v>
      </c>
      <c r="L260" s="251">
        <v>0.15</v>
      </c>
      <c r="M260" s="251"/>
      <c r="N260" s="62">
        <f t="shared" si="92"/>
        <v>4363.6285714285714</v>
      </c>
      <c r="O260" s="62">
        <f t="shared" si="92"/>
        <v>4363.6285714285714</v>
      </c>
      <c r="P260" s="62">
        <f t="shared" si="92"/>
        <v>4363.6285714285714</v>
      </c>
      <c r="Q260" s="62">
        <f t="shared" si="92"/>
        <v>4363.6285714285714</v>
      </c>
      <c r="R260" s="62">
        <f t="shared" si="92"/>
        <v>4363.6285714285714</v>
      </c>
      <c r="S260" s="75">
        <f t="shared" si="92"/>
        <v>0</v>
      </c>
    </row>
    <row r="261" spans="1:19">
      <c r="A261" s="34"/>
      <c r="B261" s="65" t="s">
        <v>575</v>
      </c>
      <c r="C261" s="12" t="s">
        <v>266</v>
      </c>
      <c r="D261" s="58"/>
      <c r="E261" s="12" t="s">
        <v>18</v>
      </c>
      <c r="F261" s="44">
        <f>VLOOKUP(B261,GiaVL!$B$4:'GiaVL'!$D$189,3,0)</f>
        <v>170790000</v>
      </c>
      <c r="G261" s="44">
        <f>F261/G$5</f>
        <v>48797.142857142855</v>
      </c>
      <c r="H261" s="251">
        <v>1.57</v>
      </c>
      <c r="I261" s="251">
        <v>1.73</v>
      </c>
      <c r="J261" s="251">
        <v>1.92</v>
      </c>
      <c r="K261" s="251">
        <v>2.11</v>
      </c>
      <c r="L261" s="251">
        <v>2.21</v>
      </c>
      <c r="M261" s="251"/>
      <c r="N261" s="62">
        <f t="shared" si="92"/>
        <v>76611.514285714278</v>
      </c>
      <c r="O261" s="62">
        <f t="shared" si="92"/>
        <v>84419.057142857142</v>
      </c>
      <c r="P261" s="62">
        <f t="shared" si="92"/>
        <v>93690.514285714278</v>
      </c>
      <c r="Q261" s="62">
        <f t="shared" si="92"/>
        <v>102961.97142857141</v>
      </c>
      <c r="R261" s="62">
        <f t="shared" si="92"/>
        <v>107841.6857142857</v>
      </c>
      <c r="S261" s="75">
        <f t="shared" si="92"/>
        <v>0</v>
      </c>
    </row>
    <row r="262" spans="1:19">
      <c r="A262" s="34"/>
      <c r="B262" s="6" t="s">
        <v>645</v>
      </c>
      <c r="C262" s="12" t="s">
        <v>59</v>
      </c>
      <c r="D262" s="58">
        <v>2.2000000000000002</v>
      </c>
      <c r="E262" s="12" t="s">
        <v>18</v>
      </c>
      <c r="F262" s="44">
        <f>VLOOKUP(B262,GiaVL!$B$4:'GiaVL'!$D$189,3,0)</f>
        <v>9910000</v>
      </c>
      <c r="G262" s="44">
        <f>F262/8/500</f>
        <v>2477.5</v>
      </c>
      <c r="H262" s="251">
        <v>0.31</v>
      </c>
      <c r="I262" s="251">
        <v>0.35</v>
      </c>
      <c r="J262" s="251">
        <v>0.38</v>
      </c>
      <c r="K262" s="251">
        <v>0.42</v>
      </c>
      <c r="L262" s="251">
        <v>0.44</v>
      </c>
      <c r="M262" s="251"/>
      <c r="N262" s="62">
        <f t="shared" si="92"/>
        <v>768.02499999999998</v>
      </c>
      <c r="O262" s="62">
        <f t="shared" si="92"/>
        <v>867.125</v>
      </c>
      <c r="P262" s="62">
        <f t="shared" si="92"/>
        <v>941.45</v>
      </c>
      <c r="Q262" s="62">
        <f t="shared" si="92"/>
        <v>1040.55</v>
      </c>
      <c r="R262" s="62">
        <f t="shared" si="92"/>
        <v>1090.0999999999999</v>
      </c>
      <c r="S262" s="75">
        <f t="shared" si="92"/>
        <v>0</v>
      </c>
    </row>
    <row r="263" spans="1:19" s="26" customFormat="1" ht="13.5">
      <c r="A263" s="46"/>
      <c r="B263" s="21" t="s">
        <v>612</v>
      </c>
      <c r="C263" s="22" t="s">
        <v>117</v>
      </c>
      <c r="D263" s="57">
        <v>1</v>
      </c>
      <c r="E263" s="22"/>
      <c r="F263" s="44">
        <f>VLOOKUP(B263,GiaVL!$B$4:'GiaVL'!$D$189,3,0)</f>
        <v>2226</v>
      </c>
      <c r="G263" s="48">
        <f>D263*F263</f>
        <v>2226</v>
      </c>
      <c r="H263" s="251">
        <v>11.27</v>
      </c>
      <c r="I263" s="251">
        <v>12.56</v>
      </c>
      <c r="J263" s="251">
        <v>13.72</v>
      </c>
      <c r="K263" s="251">
        <v>15.06</v>
      </c>
      <c r="L263" s="251">
        <v>15.76</v>
      </c>
      <c r="M263" s="251"/>
      <c r="N263" s="76">
        <f t="shared" ref="N263:S263" si="93">$G263*H263</f>
        <v>25087.02</v>
      </c>
      <c r="O263" s="76">
        <f t="shared" si="93"/>
        <v>27958.560000000001</v>
      </c>
      <c r="P263" s="76">
        <f t="shared" si="93"/>
        <v>30540.720000000001</v>
      </c>
      <c r="Q263" s="76">
        <f t="shared" si="93"/>
        <v>33523.56</v>
      </c>
      <c r="R263" s="76">
        <f t="shared" si="93"/>
        <v>35081.760000000002</v>
      </c>
      <c r="S263" s="74">
        <f t="shared" si="93"/>
        <v>0</v>
      </c>
    </row>
    <row r="264" spans="1:19" s="15" customFormat="1">
      <c r="A264" s="35" t="s">
        <v>34</v>
      </c>
      <c r="B264" s="9" t="s">
        <v>235</v>
      </c>
      <c r="C264" s="25"/>
      <c r="D264" s="56"/>
      <c r="E264" s="25"/>
      <c r="F264" s="44"/>
      <c r="G264" s="45"/>
      <c r="H264" s="260" t="s">
        <v>199</v>
      </c>
      <c r="I264" s="260" t="s">
        <v>199</v>
      </c>
      <c r="J264" s="260" t="s">
        <v>199</v>
      </c>
      <c r="K264" s="260" t="s">
        <v>199</v>
      </c>
      <c r="L264" s="260" t="s">
        <v>199</v>
      </c>
      <c r="M264" s="260"/>
      <c r="N264" s="76">
        <f t="shared" ref="N264:S264" si="94">SUM(N265:N270)</f>
        <v>114803.78</v>
      </c>
      <c r="O264" s="76">
        <f t="shared" si="94"/>
        <v>125240.26071428572</v>
      </c>
      <c r="P264" s="76">
        <f t="shared" si="94"/>
        <v>138706.99214285714</v>
      </c>
      <c r="Q264" s="76">
        <f t="shared" si="94"/>
        <v>152173.72357142856</v>
      </c>
      <c r="R264" s="76">
        <f t="shared" si="94"/>
        <v>158931.86428571428</v>
      </c>
      <c r="S264" s="77">
        <f t="shared" si="94"/>
        <v>0</v>
      </c>
    </row>
    <row r="265" spans="1:19" s="15" customFormat="1">
      <c r="A265" s="34"/>
      <c r="B265" s="23" t="s">
        <v>264</v>
      </c>
      <c r="C265" s="12" t="s">
        <v>91</v>
      </c>
      <c r="D265" s="58">
        <v>0.35</v>
      </c>
      <c r="E265" s="12" t="s">
        <v>18</v>
      </c>
      <c r="F265" s="44">
        <f>VLOOKUP(B265,GiaVL!$B$4:'GiaVL'!$D$189,3,0)</f>
        <v>13127000</v>
      </c>
      <c r="G265" s="44">
        <f>F265/G$5</f>
        <v>3750.5714285714284</v>
      </c>
      <c r="H265" s="251">
        <v>1.97</v>
      </c>
      <c r="I265" s="251">
        <v>2.16</v>
      </c>
      <c r="J265" s="251">
        <v>2.4</v>
      </c>
      <c r="K265" s="251">
        <v>2.64</v>
      </c>
      <c r="L265" s="251">
        <v>2.76</v>
      </c>
      <c r="M265" s="251"/>
      <c r="N265" s="62">
        <f t="shared" ref="N265:S270" si="95">$E265*$G265*H265</f>
        <v>7388.6257142857139</v>
      </c>
      <c r="O265" s="62">
        <f t="shared" si="95"/>
        <v>8101.2342857142858</v>
      </c>
      <c r="P265" s="62">
        <f t="shared" si="95"/>
        <v>9001.3714285714286</v>
      </c>
      <c r="Q265" s="62">
        <f t="shared" si="95"/>
        <v>9901.5085714285724</v>
      </c>
      <c r="R265" s="62">
        <f t="shared" si="95"/>
        <v>10351.577142857142</v>
      </c>
      <c r="S265" s="75">
        <f t="shared" si="95"/>
        <v>0</v>
      </c>
    </row>
    <row r="266" spans="1:19">
      <c r="A266" s="34"/>
      <c r="B266" s="23" t="s">
        <v>265</v>
      </c>
      <c r="C266" s="12" t="s">
        <v>94</v>
      </c>
      <c r="D266" s="58">
        <v>0.1</v>
      </c>
      <c r="E266" s="12" t="s">
        <v>18</v>
      </c>
      <c r="F266" s="44">
        <f>VLOOKUP(B266,GiaVL!$B$4:'GiaVL'!$D$189,3,0)</f>
        <v>16236000</v>
      </c>
      <c r="G266" s="44">
        <f>F266/G$6</f>
        <v>4059</v>
      </c>
      <c r="H266" s="251">
        <v>0.13</v>
      </c>
      <c r="I266" s="251">
        <v>0.14000000000000001</v>
      </c>
      <c r="J266" s="251">
        <v>0.16</v>
      </c>
      <c r="K266" s="251">
        <v>0.18</v>
      </c>
      <c r="L266" s="251">
        <v>0.19</v>
      </c>
      <c r="M266" s="251"/>
      <c r="N266" s="62">
        <f t="shared" si="95"/>
        <v>527.67000000000007</v>
      </c>
      <c r="O266" s="62">
        <f t="shared" si="95"/>
        <v>568.2600000000001</v>
      </c>
      <c r="P266" s="62">
        <f t="shared" si="95"/>
        <v>649.44000000000005</v>
      </c>
      <c r="Q266" s="62">
        <f t="shared" si="95"/>
        <v>730.62</v>
      </c>
      <c r="R266" s="62">
        <f t="shared" si="95"/>
        <v>771.21</v>
      </c>
      <c r="S266" s="75">
        <f t="shared" si="95"/>
        <v>0</v>
      </c>
    </row>
    <row r="267" spans="1:19">
      <c r="A267" s="34"/>
      <c r="B267" s="65" t="s">
        <v>602</v>
      </c>
      <c r="C267" s="12" t="s">
        <v>91</v>
      </c>
      <c r="D267" s="58">
        <v>0.4</v>
      </c>
      <c r="E267" s="12" t="s">
        <v>18</v>
      </c>
      <c r="F267" s="44">
        <f>VLOOKUP(B267,GiaVL!$B$4:'GiaVL'!$D$189,3,0)</f>
        <v>135000000</v>
      </c>
      <c r="G267" s="44">
        <f>F267/G$6</f>
        <v>33750</v>
      </c>
      <c r="H267" s="251">
        <v>0.13</v>
      </c>
      <c r="I267" s="251">
        <v>0.14000000000000001</v>
      </c>
      <c r="J267" s="251">
        <v>0.16</v>
      </c>
      <c r="K267" s="251">
        <v>0.18</v>
      </c>
      <c r="L267" s="251">
        <v>0.19</v>
      </c>
      <c r="M267" s="251"/>
      <c r="N267" s="62">
        <f t="shared" si="95"/>
        <v>4387.5</v>
      </c>
      <c r="O267" s="62">
        <f t="shared" si="95"/>
        <v>4725</v>
      </c>
      <c r="P267" s="62">
        <f t="shared" si="95"/>
        <v>5400</v>
      </c>
      <c r="Q267" s="62">
        <f t="shared" si="95"/>
        <v>6075</v>
      </c>
      <c r="R267" s="62">
        <f t="shared" si="95"/>
        <v>6412.5</v>
      </c>
      <c r="S267" s="75">
        <f t="shared" si="95"/>
        <v>0</v>
      </c>
    </row>
    <row r="268" spans="1:19">
      <c r="A268" s="34"/>
      <c r="B268" s="21" t="s">
        <v>247</v>
      </c>
      <c r="C268" s="12" t="s">
        <v>91</v>
      </c>
      <c r="D268" s="58">
        <v>0.4</v>
      </c>
      <c r="E268" s="12" t="s">
        <v>18</v>
      </c>
      <c r="F268" s="44">
        <f>VLOOKUP(B268,GiaVL!$B$4:'GiaVL'!$D$189,3,0)</f>
        <v>101818000</v>
      </c>
      <c r="G268" s="44">
        <f>F268/G$5</f>
        <v>29090.857142857141</v>
      </c>
      <c r="H268" s="251">
        <v>0.19</v>
      </c>
      <c r="I268" s="251">
        <v>0.19</v>
      </c>
      <c r="J268" s="251">
        <v>0.19</v>
      </c>
      <c r="K268" s="251">
        <v>0.19</v>
      </c>
      <c r="L268" s="251">
        <v>0.19</v>
      </c>
      <c r="M268" s="251"/>
      <c r="N268" s="62">
        <f t="shared" si="95"/>
        <v>5527.2628571428568</v>
      </c>
      <c r="O268" s="62">
        <f t="shared" si="95"/>
        <v>5527.2628571428568</v>
      </c>
      <c r="P268" s="62">
        <f t="shared" si="95"/>
        <v>5527.2628571428568</v>
      </c>
      <c r="Q268" s="62">
        <f t="shared" si="95"/>
        <v>5527.2628571428568</v>
      </c>
      <c r="R268" s="62">
        <f t="shared" si="95"/>
        <v>5527.2628571428568</v>
      </c>
      <c r="S268" s="75">
        <f t="shared" si="95"/>
        <v>0</v>
      </c>
    </row>
    <row r="269" spans="1:19">
      <c r="A269" s="34"/>
      <c r="B269" s="65" t="s">
        <v>575</v>
      </c>
      <c r="C269" s="12" t="s">
        <v>266</v>
      </c>
      <c r="D269" s="58"/>
      <c r="E269" s="12" t="s">
        <v>18</v>
      </c>
      <c r="F269" s="44">
        <f>VLOOKUP(B269,GiaVL!$B$4:'GiaVL'!$D$189,3,0)</f>
        <v>170790000</v>
      </c>
      <c r="G269" s="44">
        <f>F269/G$5</f>
        <v>48797.142857142855</v>
      </c>
      <c r="H269" s="251">
        <v>1.97</v>
      </c>
      <c r="I269" s="251">
        <v>2.16</v>
      </c>
      <c r="J269" s="251">
        <v>2.4</v>
      </c>
      <c r="K269" s="251">
        <v>2.64</v>
      </c>
      <c r="L269" s="251">
        <v>2.76</v>
      </c>
      <c r="M269" s="251"/>
      <c r="N269" s="62">
        <f t="shared" si="95"/>
        <v>96130.371428571423</v>
      </c>
      <c r="O269" s="62">
        <f t="shared" si="95"/>
        <v>105401.82857142857</v>
      </c>
      <c r="P269" s="62">
        <f t="shared" si="95"/>
        <v>117113.14285714286</v>
      </c>
      <c r="Q269" s="62">
        <f t="shared" si="95"/>
        <v>128824.45714285714</v>
      </c>
      <c r="R269" s="62">
        <f t="shared" si="95"/>
        <v>134680.11428571428</v>
      </c>
      <c r="S269" s="75">
        <f t="shared" si="95"/>
        <v>0</v>
      </c>
    </row>
    <row r="270" spans="1:19">
      <c r="A270" s="34"/>
      <c r="B270" s="6" t="s">
        <v>645</v>
      </c>
      <c r="C270" s="12" t="s">
        <v>59</v>
      </c>
      <c r="D270" s="58">
        <v>2.2000000000000002</v>
      </c>
      <c r="E270" s="12" t="s">
        <v>18</v>
      </c>
      <c r="F270" s="44">
        <f>VLOOKUP(B270,GiaVL!$B$4:'GiaVL'!$D$189,3,0)</f>
        <v>9910000</v>
      </c>
      <c r="G270" s="44">
        <f>F270/8/500</f>
        <v>2477.5</v>
      </c>
      <c r="H270" s="251">
        <v>0.34</v>
      </c>
      <c r="I270" s="251">
        <v>0.37</v>
      </c>
      <c r="J270" s="251">
        <v>0.41</v>
      </c>
      <c r="K270" s="251">
        <v>0.45</v>
      </c>
      <c r="L270" s="251">
        <v>0.48</v>
      </c>
      <c r="M270" s="251"/>
      <c r="N270" s="62">
        <f t="shared" si="95"/>
        <v>842.35</v>
      </c>
      <c r="O270" s="62">
        <f t="shared" si="95"/>
        <v>916.67499999999995</v>
      </c>
      <c r="P270" s="62">
        <f t="shared" si="95"/>
        <v>1015.775</v>
      </c>
      <c r="Q270" s="62">
        <f t="shared" si="95"/>
        <v>1114.875</v>
      </c>
      <c r="R270" s="62">
        <f t="shared" si="95"/>
        <v>1189.2</v>
      </c>
      <c r="S270" s="75">
        <f t="shared" si="95"/>
        <v>0</v>
      </c>
    </row>
    <row r="271" spans="1:19" s="26" customFormat="1" ht="13.5">
      <c r="A271" s="46"/>
      <c r="B271" s="21" t="s">
        <v>612</v>
      </c>
      <c r="C271" s="22" t="s">
        <v>117</v>
      </c>
      <c r="D271" s="57">
        <v>1</v>
      </c>
      <c r="E271" s="22" t="s">
        <v>43</v>
      </c>
      <c r="F271" s="44">
        <f>VLOOKUP(B271,GiaVL!$B$4:'GiaVL'!$D$189,3,0)</f>
        <v>2226</v>
      </c>
      <c r="G271" s="48">
        <f>D271*F271</f>
        <v>2226</v>
      </c>
      <c r="H271" s="251">
        <v>13.26</v>
      </c>
      <c r="I271" s="251">
        <v>13.86</v>
      </c>
      <c r="J271" s="251">
        <v>15.94</v>
      </c>
      <c r="K271" s="251">
        <v>17.47</v>
      </c>
      <c r="L271" s="251">
        <v>18.420000000000002</v>
      </c>
      <c r="M271" s="251"/>
      <c r="N271" s="76">
        <f t="shared" ref="N271:S271" si="96">$G271*H271</f>
        <v>29516.76</v>
      </c>
      <c r="O271" s="76">
        <f t="shared" si="96"/>
        <v>30852.359999999997</v>
      </c>
      <c r="P271" s="76">
        <f t="shared" si="96"/>
        <v>35482.44</v>
      </c>
      <c r="Q271" s="76">
        <f t="shared" si="96"/>
        <v>38888.219999999994</v>
      </c>
      <c r="R271" s="76">
        <f t="shared" si="96"/>
        <v>41002.920000000006</v>
      </c>
      <c r="S271" s="74">
        <f t="shared" si="96"/>
        <v>0</v>
      </c>
    </row>
    <row r="272" spans="1:19" s="15" customFormat="1">
      <c r="A272" s="35" t="s">
        <v>246</v>
      </c>
      <c r="B272" s="9" t="s">
        <v>236</v>
      </c>
      <c r="C272" s="25"/>
      <c r="D272" s="56"/>
      <c r="E272" s="25"/>
      <c r="F272" s="45"/>
      <c r="G272" s="45"/>
      <c r="H272" s="260" t="s">
        <v>199</v>
      </c>
      <c r="I272" s="260" t="s">
        <v>199</v>
      </c>
      <c r="J272" s="260" t="s">
        <v>199</v>
      </c>
      <c r="K272" s="260" t="s">
        <v>199</v>
      </c>
      <c r="L272" s="260" t="s">
        <v>199</v>
      </c>
      <c r="M272" s="260"/>
      <c r="N272" s="76">
        <f t="shared" ref="N272:S272" si="97">SUM(N273:N278)</f>
        <v>143339.17285714284</v>
      </c>
      <c r="O272" s="76">
        <f t="shared" si="97"/>
        <v>156805.90428571429</v>
      </c>
      <c r="P272" s="76">
        <f t="shared" si="97"/>
        <v>173450.27357142858</v>
      </c>
      <c r="Q272" s="76">
        <f t="shared" si="97"/>
        <v>190094.64285714284</v>
      </c>
      <c r="R272" s="76">
        <f t="shared" si="97"/>
        <v>198832.08000000002</v>
      </c>
      <c r="S272" s="77">
        <f t="shared" si="97"/>
        <v>0</v>
      </c>
    </row>
    <row r="273" spans="1:19" s="15" customFormat="1">
      <c r="A273" s="34"/>
      <c r="B273" s="23" t="s">
        <v>264</v>
      </c>
      <c r="C273" s="12" t="s">
        <v>91</v>
      </c>
      <c r="D273" s="58">
        <v>0.35</v>
      </c>
      <c r="E273" s="12" t="s">
        <v>18</v>
      </c>
      <c r="F273" s="44">
        <f>VLOOKUP(B273,GiaVL!$B$4:'GiaVL'!$D$189,3,0)</f>
        <v>13127000</v>
      </c>
      <c r="G273" s="44">
        <f>F273/G$5</f>
        <v>3750.5714285714284</v>
      </c>
      <c r="H273" s="251">
        <v>2.46</v>
      </c>
      <c r="I273" s="251">
        <v>2.7</v>
      </c>
      <c r="J273" s="251">
        <v>3</v>
      </c>
      <c r="K273" s="251">
        <v>3.3</v>
      </c>
      <c r="L273" s="251">
        <v>3.45</v>
      </c>
      <c r="M273" s="251"/>
      <c r="N273" s="62">
        <f t="shared" ref="N273:S278" si="98">$E273*$G273*H273</f>
        <v>9226.4057142857146</v>
      </c>
      <c r="O273" s="62">
        <f t="shared" si="98"/>
        <v>10126.542857142858</v>
      </c>
      <c r="P273" s="62">
        <f t="shared" si="98"/>
        <v>11251.714285714286</v>
      </c>
      <c r="Q273" s="62">
        <f t="shared" si="98"/>
        <v>12376.885714285712</v>
      </c>
      <c r="R273" s="62">
        <f t="shared" si="98"/>
        <v>12939.471428571429</v>
      </c>
      <c r="S273" s="75">
        <f t="shared" si="98"/>
        <v>0</v>
      </c>
    </row>
    <row r="274" spans="1:19">
      <c r="A274" s="34"/>
      <c r="B274" s="23" t="s">
        <v>265</v>
      </c>
      <c r="C274" s="12" t="s">
        <v>94</v>
      </c>
      <c r="D274" s="58">
        <v>0.1</v>
      </c>
      <c r="E274" s="12" t="s">
        <v>18</v>
      </c>
      <c r="F274" s="44">
        <f>VLOOKUP(B274,GiaVL!$B$4:'GiaVL'!$D$189,3,0)</f>
        <v>16236000</v>
      </c>
      <c r="G274" s="44">
        <f>F274/G$6</f>
        <v>4059</v>
      </c>
      <c r="H274" s="251">
        <v>0.16</v>
      </c>
      <c r="I274" s="251">
        <v>0.18</v>
      </c>
      <c r="J274" s="251">
        <v>0.2</v>
      </c>
      <c r="K274" s="251">
        <v>0.22</v>
      </c>
      <c r="L274" s="251">
        <v>0.24</v>
      </c>
      <c r="M274" s="251"/>
      <c r="N274" s="62">
        <f t="shared" si="98"/>
        <v>649.44000000000005</v>
      </c>
      <c r="O274" s="62">
        <f t="shared" si="98"/>
        <v>730.62</v>
      </c>
      <c r="P274" s="62">
        <f t="shared" si="98"/>
        <v>811.80000000000007</v>
      </c>
      <c r="Q274" s="62">
        <f t="shared" si="98"/>
        <v>892.98</v>
      </c>
      <c r="R274" s="62">
        <f t="shared" si="98"/>
        <v>974.16</v>
      </c>
      <c r="S274" s="75">
        <f t="shared" si="98"/>
        <v>0</v>
      </c>
    </row>
    <row r="275" spans="1:19">
      <c r="A275" s="34"/>
      <c r="B275" s="65" t="s">
        <v>602</v>
      </c>
      <c r="C275" s="12" t="s">
        <v>91</v>
      </c>
      <c r="D275" s="58">
        <v>0.4</v>
      </c>
      <c r="E275" s="12" t="s">
        <v>18</v>
      </c>
      <c r="F275" s="44">
        <f>VLOOKUP(B275,GiaVL!$B$4:'GiaVL'!$D$189,3,0)</f>
        <v>135000000</v>
      </c>
      <c r="G275" s="44">
        <f>F275/G$6</f>
        <v>33750</v>
      </c>
      <c r="H275" s="251">
        <v>0.16</v>
      </c>
      <c r="I275" s="251">
        <v>0.18</v>
      </c>
      <c r="J275" s="251">
        <v>0.2</v>
      </c>
      <c r="K275" s="251">
        <v>0.22</v>
      </c>
      <c r="L275" s="251">
        <v>0.24</v>
      </c>
      <c r="M275" s="251"/>
      <c r="N275" s="62">
        <f t="shared" si="98"/>
        <v>5400</v>
      </c>
      <c r="O275" s="62">
        <f t="shared" si="98"/>
        <v>6075</v>
      </c>
      <c r="P275" s="62">
        <f t="shared" si="98"/>
        <v>6750</v>
      </c>
      <c r="Q275" s="62">
        <f t="shared" si="98"/>
        <v>7425</v>
      </c>
      <c r="R275" s="62">
        <f t="shared" si="98"/>
        <v>8100</v>
      </c>
      <c r="S275" s="75">
        <f t="shared" si="98"/>
        <v>0</v>
      </c>
    </row>
    <row r="276" spans="1:19">
      <c r="A276" s="34"/>
      <c r="B276" s="21" t="s">
        <v>247</v>
      </c>
      <c r="C276" s="12" t="s">
        <v>91</v>
      </c>
      <c r="D276" s="58">
        <v>0.4</v>
      </c>
      <c r="E276" s="12" t="s">
        <v>18</v>
      </c>
      <c r="F276" s="44">
        <f>VLOOKUP(B276,GiaVL!$B$4:'GiaVL'!$D$189,3,0)</f>
        <v>101818000</v>
      </c>
      <c r="G276" s="44">
        <f>F276/G$5</f>
        <v>29090.857142857141</v>
      </c>
      <c r="H276" s="251">
        <v>0.24</v>
      </c>
      <c r="I276" s="251">
        <v>0.24</v>
      </c>
      <c r="J276" s="251">
        <v>0.24</v>
      </c>
      <c r="K276" s="251">
        <v>0.24</v>
      </c>
      <c r="L276" s="251">
        <v>0.24</v>
      </c>
      <c r="M276" s="251"/>
      <c r="N276" s="62">
        <f t="shared" si="98"/>
        <v>6981.8057142857133</v>
      </c>
      <c r="O276" s="62">
        <f t="shared" si="98"/>
        <v>6981.8057142857133</v>
      </c>
      <c r="P276" s="62">
        <f t="shared" si="98"/>
        <v>6981.8057142857133</v>
      </c>
      <c r="Q276" s="62">
        <f t="shared" si="98"/>
        <v>6981.8057142857133</v>
      </c>
      <c r="R276" s="62">
        <f t="shared" si="98"/>
        <v>6981.8057142857133</v>
      </c>
      <c r="S276" s="75">
        <f t="shared" si="98"/>
        <v>0</v>
      </c>
    </row>
    <row r="277" spans="1:19">
      <c r="A277" s="34"/>
      <c r="B277" s="65" t="s">
        <v>575</v>
      </c>
      <c r="C277" s="12" t="s">
        <v>266</v>
      </c>
      <c r="D277" s="58"/>
      <c r="E277" s="12" t="s">
        <v>18</v>
      </c>
      <c r="F277" s="44">
        <f>VLOOKUP(B277,GiaVL!$B$4:'GiaVL'!$D$189,3,0)</f>
        <v>170790000</v>
      </c>
      <c r="G277" s="44">
        <f>F277/G$5</f>
        <v>48797.142857142855</v>
      </c>
      <c r="H277" s="251">
        <v>2.46</v>
      </c>
      <c r="I277" s="251">
        <v>2.7</v>
      </c>
      <c r="J277" s="251">
        <v>3</v>
      </c>
      <c r="K277" s="251">
        <v>3.3</v>
      </c>
      <c r="L277" s="251">
        <v>3.45</v>
      </c>
      <c r="M277" s="251"/>
      <c r="N277" s="62">
        <f t="shared" si="98"/>
        <v>120040.97142857143</v>
      </c>
      <c r="O277" s="62">
        <f t="shared" si="98"/>
        <v>131752.28571428571</v>
      </c>
      <c r="P277" s="62">
        <f t="shared" si="98"/>
        <v>146391.42857142858</v>
      </c>
      <c r="Q277" s="62">
        <f t="shared" si="98"/>
        <v>161030.57142857142</v>
      </c>
      <c r="R277" s="62">
        <f t="shared" si="98"/>
        <v>168350.14285714287</v>
      </c>
      <c r="S277" s="75">
        <f t="shared" si="98"/>
        <v>0</v>
      </c>
    </row>
    <row r="278" spans="1:19">
      <c r="A278" s="34"/>
      <c r="B278" s="6" t="s">
        <v>645</v>
      </c>
      <c r="C278" s="12" t="s">
        <v>59</v>
      </c>
      <c r="D278" s="58">
        <v>2.2000000000000002</v>
      </c>
      <c r="E278" s="12" t="s">
        <v>18</v>
      </c>
      <c r="F278" s="44">
        <f>VLOOKUP(B278,GiaVL!$B$4:'GiaVL'!$D$189,3,0)</f>
        <v>9910000</v>
      </c>
      <c r="G278" s="44">
        <f>F278/8/500</f>
        <v>2477.5</v>
      </c>
      <c r="H278" s="251">
        <v>0.42</v>
      </c>
      <c r="I278" s="251">
        <v>0.46</v>
      </c>
      <c r="J278" s="251">
        <v>0.51</v>
      </c>
      <c r="K278" s="251">
        <v>0.56000000000000005</v>
      </c>
      <c r="L278" s="251">
        <v>0.6</v>
      </c>
      <c r="M278" s="251"/>
      <c r="N278" s="62">
        <f t="shared" si="98"/>
        <v>1040.55</v>
      </c>
      <c r="O278" s="62">
        <f t="shared" si="98"/>
        <v>1139.6500000000001</v>
      </c>
      <c r="P278" s="62">
        <f t="shared" si="98"/>
        <v>1263.5250000000001</v>
      </c>
      <c r="Q278" s="62">
        <f t="shared" si="98"/>
        <v>1387.4</v>
      </c>
      <c r="R278" s="62">
        <f t="shared" si="98"/>
        <v>1486.5</v>
      </c>
      <c r="S278" s="75">
        <f t="shared" si="98"/>
        <v>0</v>
      </c>
    </row>
    <row r="279" spans="1:19" s="26" customFormat="1" ht="13.5">
      <c r="A279" s="46"/>
      <c r="B279" s="21" t="s">
        <v>612</v>
      </c>
      <c r="C279" s="22" t="s">
        <v>117</v>
      </c>
      <c r="D279" s="57">
        <v>1</v>
      </c>
      <c r="E279" s="22" t="s">
        <v>43</v>
      </c>
      <c r="F279" s="44">
        <f>VLOOKUP(B279,GiaVL!$B$4:'GiaVL'!$D$189,3,0)</f>
        <v>2226</v>
      </c>
      <c r="G279" s="48">
        <f>D279*F279</f>
        <v>2226</v>
      </c>
      <c r="H279" s="251">
        <v>16.5</v>
      </c>
      <c r="I279" s="251">
        <v>18</v>
      </c>
      <c r="J279" s="251">
        <v>19.899999999999999</v>
      </c>
      <c r="K279" s="251">
        <v>21.8</v>
      </c>
      <c r="L279" s="251">
        <v>23.05</v>
      </c>
      <c r="M279" s="251"/>
      <c r="N279" s="76">
        <f t="shared" ref="N279:S279" si="99">$G279*H279</f>
        <v>36729</v>
      </c>
      <c r="O279" s="76">
        <f t="shared" si="99"/>
        <v>40068</v>
      </c>
      <c r="P279" s="76">
        <f t="shared" si="99"/>
        <v>44297.399999999994</v>
      </c>
      <c r="Q279" s="76">
        <f t="shared" si="99"/>
        <v>48526.8</v>
      </c>
      <c r="R279" s="76">
        <f t="shared" si="99"/>
        <v>51309.3</v>
      </c>
      <c r="S279" s="74">
        <f t="shared" si="99"/>
        <v>0</v>
      </c>
    </row>
    <row r="280" spans="1:19" s="15" customFormat="1">
      <c r="A280" s="35" t="s">
        <v>271</v>
      </c>
      <c r="B280" s="9" t="s">
        <v>237</v>
      </c>
      <c r="C280" s="25"/>
      <c r="D280" s="56"/>
      <c r="E280" s="25"/>
      <c r="F280" s="45"/>
      <c r="G280" s="45"/>
      <c r="H280" s="260" t="s">
        <v>199</v>
      </c>
      <c r="I280" s="260" t="s">
        <v>199</v>
      </c>
      <c r="J280" s="260" t="s">
        <v>199</v>
      </c>
      <c r="K280" s="260" t="s">
        <v>199</v>
      </c>
      <c r="L280" s="260" t="s">
        <v>199</v>
      </c>
      <c r="M280" s="260"/>
      <c r="N280" s="76">
        <f t="shared" ref="N280:S280" si="100">SUM(N281:N286)</f>
        <v>191557.3657142857</v>
      </c>
      <c r="O280" s="76">
        <f t="shared" si="100"/>
        <v>216561.57071428571</v>
      </c>
      <c r="P280" s="76">
        <f t="shared" si="100"/>
        <v>233205.94</v>
      </c>
      <c r="Q280" s="76">
        <f t="shared" si="100"/>
        <v>249850.30928571429</v>
      </c>
      <c r="R280" s="76">
        <f t="shared" si="100"/>
        <v>0</v>
      </c>
      <c r="S280" s="77">
        <f t="shared" si="100"/>
        <v>0</v>
      </c>
    </row>
    <row r="281" spans="1:19" s="15" customFormat="1">
      <c r="A281" s="34"/>
      <c r="B281" s="23" t="s">
        <v>264</v>
      </c>
      <c r="C281" s="12" t="s">
        <v>91</v>
      </c>
      <c r="D281" s="58">
        <v>0.35</v>
      </c>
      <c r="E281" s="12" t="s">
        <v>18</v>
      </c>
      <c r="F281" s="44">
        <f>VLOOKUP(B281,GiaVL!$B$4:'GiaVL'!$D$189,3,0)</f>
        <v>13127000</v>
      </c>
      <c r="G281" s="44">
        <f>F281/G$5</f>
        <v>3750.5714285714284</v>
      </c>
      <c r="H281" s="251">
        <v>3.69</v>
      </c>
      <c r="I281" s="251">
        <v>3.99</v>
      </c>
      <c r="J281" s="251">
        <v>4.29</v>
      </c>
      <c r="K281" s="251">
        <v>4.59</v>
      </c>
      <c r="L281" s="251"/>
      <c r="M281" s="251"/>
      <c r="N281" s="62">
        <f t="shared" ref="N281:S286" si="101">$E281*$G281*H281</f>
        <v>13839.608571428571</v>
      </c>
      <c r="O281" s="62">
        <f t="shared" si="101"/>
        <v>14964.78</v>
      </c>
      <c r="P281" s="62">
        <f t="shared" si="101"/>
        <v>16089.951428571429</v>
      </c>
      <c r="Q281" s="62">
        <f t="shared" si="101"/>
        <v>17215.122857142855</v>
      </c>
      <c r="R281" s="62">
        <f t="shared" si="101"/>
        <v>0</v>
      </c>
      <c r="S281" s="75">
        <f t="shared" si="101"/>
        <v>0</v>
      </c>
    </row>
    <row r="282" spans="1:19">
      <c r="A282" s="34"/>
      <c r="B282" s="23" t="s">
        <v>265</v>
      </c>
      <c r="C282" s="12" t="s">
        <v>94</v>
      </c>
      <c r="D282" s="58">
        <v>0.1</v>
      </c>
      <c r="E282" s="12" t="s">
        <v>18</v>
      </c>
      <c r="F282" s="44">
        <f>VLOOKUP(B282,GiaVL!$B$4:'GiaVL'!$D$189,3,0)</f>
        <v>16236000</v>
      </c>
      <c r="G282" s="44">
        <f>F282/G$6</f>
        <v>4059</v>
      </c>
      <c r="H282" s="251">
        <v>0.22</v>
      </c>
      <c r="I282" s="251">
        <v>0.25</v>
      </c>
      <c r="J282" s="251">
        <v>0.27</v>
      </c>
      <c r="K282" s="251">
        <v>0.28999999999999998</v>
      </c>
      <c r="L282" s="251"/>
      <c r="M282" s="251"/>
      <c r="N282" s="62">
        <f t="shared" si="101"/>
        <v>892.98</v>
      </c>
      <c r="O282" s="62">
        <f t="shared" si="101"/>
        <v>1014.75</v>
      </c>
      <c r="P282" s="62">
        <f t="shared" si="101"/>
        <v>1095.93</v>
      </c>
      <c r="Q282" s="62">
        <f t="shared" si="101"/>
        <v>1177.1099999999999</v>
      </c>
      <c r="R282" s="62">
        <f t="shared" si="101"/>
        <v>0</v>
      </c>
      <c r="S282" s="75">
        <f t="shared" si="101"/>
        <v>0</v>
      </c>
    </row>
    <row r="283" spans="1:19">
      <c r="A283" s="34"/>
      <c r="B283" s="65" t="s">
        <v>602</v>
      </c>
      <c r="C283" s="12" t="s">
        <v>91</v>
      </c>
      <c r="D283" s="58">
        <v>0.4</v>
      </c>
      <c r="E283" s="12" t="s">
        <v>18</v>
      </c>
      <c r="F283" s="44">
        <f>VLOOKUP(B283,GiaVL!$B$4:'GiaVL'!$D$189,3,0)</f>
        <v>135000000</v>
      </c>
      <c r="G283" s="44">
        <f>F283/G$6</f>
        <v>33750</v>
      </c>
      <c r="H283" s="251">
        <v>0.22</v>
      </c>
      <c r="I283" s="251">
        <v>0.25</v>
      </c>
      <c r="J283" s="251">
        <v>0.27</v>
      </c>
      <c r="K283" s="251">
        <v>0.28999999999999998</v>
      </c>
      <c r="L283" s="251"/>
      <c r="M283" s="251"/>
      <c r="N283" s="62">
        <f t="shared" si="101"/>
        <v>7425</v>
      </c>
      <c r="O283" s="62">
        <f t="shared" si="101"/>
        <v>8437.5</v>
      </c>
      <c r="P283" s="62">
        <f t="shared" si="101"/>
        <v>9112.5</v>
      </c>
      <c r="Q283" s="62">
        <f t="shared" si="101"/>
        <v>9787.5</v>
      </c>
      <c r="R283" s="62">
        <f t="shared" si="101"/>
        <v>0</v>
      </c>
      <c r="S283" s="75">
        <f t="shared" si="101"/>
        <v>0</v>
      </c>
    </row>
    <row r="284" spans="1:19">
      <c r="A284" s="34"/>
      <c r="B284" s="21" t="s">
        <v>247</v>
      </c>
      <c r="C284" s="12" t="s">
        <v>91</v>
      </c>
      <c r="D284" s="58">
        <v>0.4</v>
      </c>
      <c r="E284" s="12" t="s">
        <v>18</v>
      </c>
      <c r="F284" s="44">
        <f>VLOOKUP(B284,GiaVL!$B$4:'GiaVL'!$D$189,3,0)</f>
        <v>101818000</v>
      </c>
      <c r="G284" s="44">
        <f>F284/G$5</f>
        <v>29090.857142857141</v>
      </c>
      <c r="H284" s="251">
        <v>0.24</v>
      </c>
      <c r="I284" s="251">
        <v>0.36</v>
      </c>
      <c r="J284" s="251">
        <v>0.36</v>
      </c>
      <c r="K284" s="251">
        <v>0.36</v>
      </c>
      <c r="L284" s="251"/>
      <c r="M284" s="251"/>
      <c r="N284" s="62">
        <f t="shared" si="101"/>
        <v>6981.8057142857133</v>
      </c>
      <c r="O284" s="62">
        <f t="shared" si="101"/>
        <v>10472.708571428571</v>
      </c>
      <c r="P284" s="62">
        <f t="shared" si="101"/>
        <v>10472.708571428571</v>
      </c>
      <c r="Q284" s="62">
        <f t="shared" si="101"/>
        <v>10472.708571428571</v>
      </c>
      <c r="R284" s="62">
        <f t="shared" si="101"/>
        <v>0</v>
      </c>
      <c r="S284" s="75">
        <f t="shared" si="101"/>
        <v>0</v>
      </c>
    </row>
    <row r="285" spans="1:19">
      <c r="A285" s="34"/>
      <c r="B285" s="65" t="s">
        <v>575</v>
      </c>
      <c r="C285" s="12" t="s">
        <v>266</v>
      </c>
      <c r="D285" s="58"/>
      <c r="E285" s="12" t="s">
        <v>18</v>
      </c>
      <c r="F285" s="44">
        <f>VLOOKUP(B285,GiaVL!$B$4:'GiaVL'!$D$189,3,0)</f>
        <v>170790000</v>
      </c>
      <c r="G285" s="44">
        <f>F285/G$5</f>
        <v>48797.142857142855</v>
      </c>
      <c r="H285" s="251">
        <v>3.3</v>
      </c>
      <c r="I285" s="251">
        <v>3.69</v>
      </c>
      <c r="J285" s="251">
        <v>3.99</v>
      </c>
      <c r="K285" s="251">
        <v>4.29</v>
      </c>
      <c r="L285" s="251"/>
      <c r="M285" s="251"/>
      <c r="N285" s="62">
        <f t="shared" si="101"/>
        <v>161030.57142857142</v>
      </c>
      <c r="O285" s="62">
        <f t="shared" si="101"/>
        <v>180061.45714285714</v>
      </c>
      <c r="P285" s="62">
        <f t="shared" si="101"/>
        <v>194700.6</v>
      </c>
      <c r="Q285" s="62">
        <f t="shared" si="101"/>
        <v>209339.74285714285</v>
      </c>
      <c r="R285" s="62">
        <f t="shared" si="101"/>
        <v>0</v>
      </c>
      <c r="S285" s="75">
        <f t="shared" si="101"/>
        <v>0</v>
      </c>
    </row>
    <row r="286" spans="1:19">
      <c r="A286" s="34"/>
      <c r="B286" s="6" t="s">
        <v>645</v>
      </c>
      <c r="C286" s="12" t="s">
        <v>59</v>
      </c>
      <c r="D286" s="58">
        <v>2.2000000000000002</v>
      </c>
      <c r="E286" s="12" t="s">
        <v>18</v>
      </c>
      <c r="F286" s="44">
        <f>VLOOKUP(B286,GiaVL!$B$4:'GiaVL'!$D$189,3,0)</f>
        <v>9910000</v>
      </c>
      <c r="G286" s="44">
        <f>F286/8/500</f>
        <v>2477.5</v>
      </c>
      <c r="H286" s="251">
        <v>0.56000000000000005</v>
      </c>
      <c r="I286" s="251">
        <v>0.65</v>
      </c>
      <c r="J286" s="251">
        <v>0.7</v>
      </c>
      <c r="K286" s="251">
        <v>0.75</v>
      </c>
      <c r="L286" s="251"/>
      <c r="M286" s="251"/>
      <c r="N286" s="62">
        <f t="shared" si="101"/>
        <v>1387.4</v>
      </c>
      <c r="O286" s="62">
        <f t="shared" si="101"/>
        <v>1610.375</v>
      </c>
      <c r="P286" s="62">
        <f t="shared" si="101"/>
        <v>1734.25</v>
      </c>
      <c r="Q286" s="62">
        <f t="shared" si="101"/>
        <v>1858.125</v>
      </c>
      <c r="R286" s="62">
        <f t="shared" si="101"/>
        <v>0</v>
      </c>
      <c r="S286" s="75">
        <f t="shared" si="101"/>
        <v>0</v>
      </c>
    </row>
    <row r="287" spans="1:19" s="26" customFormat="1" ht="13.5">
      <c r="A287" s="46"/>
      <c r="B287" s="21" t="s">
        <v>612</v>
      </c>
      <c r="C287" s="22" t="s">
        <v>117</v>
      </c>
      <c r="D287" s="57">
        <v>1</v>
      </c>
      <c r="E287" s="22" t="s">
        <v>43</v>
      </c>
      <c r="F287" s="44">
        <f>VLOOKUP(B287,GiaVL!$B$4:'GiaVL'!$D$189,3,0)</f>
        <v>2226</v>
      </c>
      <c r="G287" s="48">
        <f>D287*F287</f>
        <v>2226</v>
      </c>
      <c r="H287" s="251">
        <v>22.9</v>
      </c>
      <c r="I287" s="251">
        <v>26</v>
      </c>
      <c r="J287" s="251">
        <v>27.9</v>
      </c>
      <c r="K287" s="251">
        <v>29.8</v>
      </c>
      <c r="L287" s="251"/>
      <c r="M287" s="251"/>
      <c r="N287" s="76">
        <f t="shared" ref="N287:S287" si="102">$G287*H287</f>
        <v>50975.399999999994</v>
      </c>
      <c r="O287" s="76">
        <f t="shared" si="102"/>
        <v>57876</v>
      </c>
      <c r="P287" s="76">
        <f t="shared" si="102"/>
        <v>62105.399999999994</v>
      </c>
      <c r="Q287" s="76">
        <f t="shared" si="102"/>
        <v>66334.8</v>
      </c>
      <c r="R287" s="76">
        <f t="shared" si="102"/>
        <v>0</v>
      </c>
      <c r="S287" s="74">
        <f t="shared" si="102"/>
        <v>0</v>
      </c>
    </row>
    <row r="288" spans="1:19" s="15" customFormat="1" ht="18.75" customHeight="1">
      <c r="A288" s="35"/>
      <c r="B288" s="113" t="s">
        <v>328</v>
      </c>
      <c r="C288" s="25"/>
      <c r="D288" s="58"/>
      <c r="E288" s="37"/>
      <c r="F288" s="45"/>
      <c r="G288" s="45"/>
      <c r="H288" s="249"/>
      <c r="I288" s="249"/>
      <c r="J288" s="249"/>
      <c r="K288" s="249"/>
      <c r="L288" s="249"/>
      <c r="M288" s="249"/>
      <c r="N288" s="76"/>
      <c r="O288" s="76"/>
      <c r="P288" s="76"/>
      <c r="Q288" s="76"/>
      <c r="R288" s="76"/>
      <c r="S288" s="77"/>
    </row>
    <row r="289" spans="1:19" s="15" customFormat="1">
      <c r="A289" s="35"/>
      <c r="B289" s="114" t="s">
        <v>231</v>
      </c>
      <c r="C289" s="25"/>
      <c r="D289" s="56"/>
      <c r="E289" s="25"/>
      <c r="F289" s="45"/>
      <c r="G289" s="45"/>
      <c r="H289" s="260"/>
      <c r="I289" s="260"/>
      <c r="J289" s="260"/>
      <c r="K289" s="260"/>
      <c r="L289" s="260"/>
      <c r="M289" s="260"/>
      <c r="N289" s="76">
        <f t="shared" ref="N289:S289" si="103">N256-N260</f>
        <v>87048.836428571405</v>
      </c>
      <c r="O289" s="76">
        <f t="shared" si="103"/>
        <v>96311.750714285707</v>
      </c>
      <c r="P289" s="76">
        <f t="shared" si="103"/>
        <v>106748.23142857141</v>
      </c>
      <c r="Q289" s="76">
        <f t="shared" si="103"/>
        <v>117209.48714285714</v>
      </c>
      <c r="R289" s="76">
        <f t="shared" si="103"/>
        <v>122891.89857142857</v>
      </c>
      <c r="S289" s="77">
        <f t="shared" si="103"/>
        <v>0</v>
      </c>
    </row>
    <row r="290" spans="1:19" s="26" customFormat="1" ht="13.5">
      <c r="A290" s="46"/>
      <c r="B290" s="21" t="s">
        <v>612</v>
      </c>
      <c r="C290" s="22" t="s">
        <v>117</v>
      </c>
      <c r="D290" s="57">
        <v>1</v>
      </c>
      <c r="E290" s="22"/>
      <c r="F290" s="44">
        <f>VLOOKUP(B290,GiaVL!$B$4:'GiaVL'!$D$189,3,0)</f>
        <v>2226</v>
      </c>
      <c r="G290" s="48">
        <f>D290*F290</f>
        <v>2226</v>
      </c>
      <c r="H290" s="251"/>
      <c r="I290" s="251"/>
      <c r="J290" s="251"/>
      <c r="K290" s="251"/>
      <c r="L290" s="251"/>
      <c r="M290" s="251"/>
      <c r="N290" s="76">
        <f t="shared" ref="N290:S290" si="104">N263</f>
        <v>25087.02</v>
      </c>
      <c r="O290" s="76">
        <f t="shared" si="104"/>
        <v>27958.560000000001</v>
      </c>
      <c r="P290" s="76">
        <f t="shared" si="104"/>
        <v>30540.720000000001</v>
      </c>
      <c r="Q290" s="76">
        <f t="shared" si="104"/>
        <v>33523.56</v>
      </c>
      <c r="R290" s="76">
        <f t="shared" si="104"/>
        <v>35081.760000000002</v>
      </c>
      <c r="S290" s="74">
        <f t="shared" si="104"/>
        <v>0</v>
      </c>
    </row>
    <row r="291" spans="1:19">
      <c r="A291" s="34"/>
      <c r="B291" s="23" t="s">
        <v>43</v>
      </c>
      <c r="C291" s="12" t="s">
        <v>43</v>
      </c>
      <c r="D291" s="58" t="s">
        <v>43</v>
      </c>
      <c r="E291" s="12" t="s">
        <v>43</v>
      </c>
      <c r="F291" s="44"/>
      <c r="G291" s="44"/>
      <c r="H291" s="251"/>
      <c r="I291" s="251"/>
      <c r="J291" s="251"/>
      <c r="K291" s="251"/>
      <c r="L291" s="251"/>
      <c r="M291" s="251"/>
      <c r="N291" s="62"/>
      <c r="O291" s="62"/>
      <c r="P291" s="62"/>
      <c r="Q291" s="62"/>
      <c r="R291" s="62"/>
      <c r="S291" s="75"/>
    </row>
    <row r="292" spans="1:19" s="15" customFormat="1">
      <c r="A292" s="35"/>
      <c r="B292" s="114" t="s">
        <v>235</v>
      </c>
      <c r="C292" s="25"/>
      <c r="D292" s="56"/>
      <c r="E292" s="25"/>
      <c r="F292" s="45"/>
      <c r="G292" s="45"/>
      <c r="H292" s="260"/>
      <c r="I292" s="260"/>
      <c r="J292" s="260"/>
      <c r="K292" s="260"/>
      <c r="L292" s="260"/>
      <c r="M292" s="260"/>
      <c r="N292" s="76">
        <f t="shared" ref="N292:S292" si="105">N264-N268</f>
        <v>109276.51714285715</v>
      </c>
      <c r="O292" s="76">
        <f t="shared" si="105"/>
        <v>119712.99785714287</v>
      </c>
      <c r="P292" s="76">
        <f t="shared" si="105"/>
        <v>133179.72928571427</v>
      </c>
      <c r="Q292" s="76">
        <f t="shared" si="105"/>
        <v>146646.4607142857</v>
      </c>
      <c r="R292" s="76">
        <f t="shared" si="105"/>
        <v>153404.60142857142</v>
      </c>
      <c r="S292" s="77">
        <f t="shared" si="105"/>
        <v>0</v>
      </c>
    </row>
    <row r="293" spans="1:19" s="26" customFormat="1" ht="13.5">
      <c r="A293" s="46"/>
      <c r="B293" s="21" t="s">
        <v>612</v>
      </c>
      <c r="C293" s="22" t="s">
        <v>117</v>
      </c>
      <c r="D293" s="57">
        <v>1</v>
      </c>
      <c r="E293" s="22" t="s">
        <v>43</v>
      </c>
      <c r="F293" s="44">
        <f>VLOOKUP(B293,GiaVL!$B$4:'GiaVL'!$D$189,3,0)</f>
        <v>2226</v>
      </c>
      <c r="G293" s="48">
        <f>D293*F293</f>
        <v>2226</v>
      </c>
      <c r="H293" s="251"/>
      <c r="I293" s="251"/>
      <c r="J293" s="251"/>
      <c r="K293" s="251"/>
      <c r="L293" s="251"/>
      <c r="M293" s="251"/>
      <c r="N293" s="76">
        <f t="shared" ref="N293:S293" si="106">N271</f>
        <v>29516.76</v>
      </c>
      <c r="O293" s="76">
        <f t="shared" si="106"/>
        <v>30852.359999999997</v>
      </c>
      <c r="P293" s="76">
        <f t="shared" si="106"/>
        <v>35482.44</v>
      </c>
      <c r="Q293" s="76">
        <f t="shared" si="106"/>
        <v>38888.219999999994</v>
      </c>
      <c r="R293" s="76">
        <f t="shared" si="106"/>
        <v>41002.920000000006</v>
      </c>
      <c r="S293" s="74">
        <f t="shared" si="106"/>
        <v>0</v>
      </c>
    </row>
    <row r="294" spans="1:19">
      <c r="A294" s="34"/>
      <c r="B294" s="23" t="s">
        <v>43</v>
      </c>
      <c r="C294" s="12" t="s">
        <v>43</v>
      </c>
      <c r="D294" s="58" t="s">
        <v>43</v>
      </c>
      <c r="E294" s="12" t="s">
        <v>43</v>
      </c>
      <c r="F294" s="44"/>
      <c r="G294" s="44"/>
      <c r="H294" s="251"/>
      <c r="I294" s="251"/>
      <c r="J294" s="251"/>
      <c r="K294" s="251"/>
      <c r="L294" s="251"/>
      <c r="M294" s="251"/>
      <c r="N294" s="62"/>
      <c r="O294" s="62"/>
      <c r="P294" s="62"/>
      <c r="Q294" s="62"/>
      <c r="R294" s="62"/>
      <c r="S294" s="75"/>
    </row>
    <row r="295" spans="1:19" s="15" customFormat="1">
      <c r="A295" s="35"/>
      <c r="B295" s="114" t="s">
        <v>236</v>
      </c>
      <c r="C295" s="25"/>
      <c r="D295" s="56"/>
      <c r="E295" s="25"/>
      <c r="F295" s="45"/>
      <c r="G295" s="45"/>
      <c r="H295" s="260"/>
      <c r="I295" s="260"/>
      <c r="J295" s="260"/>
      <c r="K295" s="260"/>
      <c r="L295" s="260"/>
      <c r="M295" s="260"/>
      <c r="N295" s="76">
        <f t="shared" ref="N295:S295" si="107">N272-N276</f>
        <v>136357.36714285714</v>
      </c>
      <c r="O295" s="76">
        <f t="shared" si="107"/>
        <v>149824.09857142859</v>
      </c>
      <c r="P295" s="76">
        <f t="shared" si="107"/>
        <v>166468.46785714288</v>
      </c>
      <c r="Q295" s="76">
        <f t="shared" si="107"/>
        <v>183112.83714285714</v>
      </c>
      <c r="R295" s="76">
        <f t="shared" si="107"/>
        <v>191850.27428571432</v>
      </c>
      <c r="S295" s="77">
        <f t="shared" si="107"/>
        <v>0</v>
      </c>
    </row>
    <row r="296" spans="1:19" s="26" customFormat="1" ht="13.5">
      <c r="A296" s="46"/>
      <c r="B296" s="21" t="s">
        <v>612</v>
      </c>
      <c r="C296" s="22" t="s">
        <v>117</v>
      </c>
      <c r="D296" s="57">
        <v>1</v>
      </c>
      <c r="E296" s="22" t="s">
        <v>43</v>
      </c>
      <c r="F296" s="44">
        <f>VLOOKUP(B296,GiaVL!$B$4:'GiaVL'!$D$189,3,0)</f>
        <v>2226</v>
      </c>
      <c r="G296" s="48">
        <f>D296*F296</f>
        <v>2226</v>
      </c>
      <c r="H296" s="251"/>
      <c r="I296" s="251"/>
      <c r="J296" s="251"/>
      <c r="K296" s="251"/>
      <c r="L296" s="251"/>
      <c r="M296" s="251"/>
      <c r="N296" s="76">
        <f t="shared" ref="N296:S296" si="108">N279</f>
        <v>36729</v>
      </c>
      <c r="O296" s="76">
        <f t="shared" si="108"/>
        <v>40068</v>
      </c>
      <c r="P296" s="76">
        <f t="shared" si="108"/>
        <v>44297.399999999994</v>
      </c>
      <c r="Q296" s="76">
        <f t="shared" si="108"/>
        <v>48526.8</v>
      </c>
      <c r="R296" s="76">
        <f t="shared" si="108"/>
        <v>51309.3</v>
      </c>
      <c r="S296" s="74">
        <f t="shared" si="108"/>
        <v>0</v>
      </c>
    </row>
    <row r="297" spans="1:19">
      <c r="A297" s="34"/>
      <c r="B297" s="23" t="s">
        <v>43</v>
      </c>
      <c r="C297" s="12" t="s">
        <v>43</v>
      </c>
      <c r="D297" s="58" t="s">
        <v>43</v>
      </c>
      <c r="E297" s="12" t="s">
        <v>43</v>
      </c>
      <c r="F297" s="44"/>
      <c r="G297" s="44"/>
      <c r="H297" s="251"/>
      <c r="I297" s="251"/>
      <c r="J297" s="251"/>
      <c r="K297" s="251"/>
      <c r="L297" s="251"/>
      <c r="M297" s="251"/>
      <c r="N297" s="62"/>
      <c r="O297" s="62"/>
      <c r="P297" s="62"/>
      <c r="Q297" s="62"/>
      <c r="R297" s="62"/>
      <c r="S297" s="75"/>
    </row>
    <row r="298" spans="1:19" s="15" customFormat="1">
      <c r="A298" s="35"/>
      <c r="B298" s="114" t="s">
        <v>237</v>
      </c>
      <c r="C298" s="25"/>
      <c r="D298" s="56"/>
      <c r="E298" s="25"/>
      <c r="F298" s="45"/>
      <c r="G298" s="45"/>
      <c r="H298" s="260"/>
      <c r="I298" s="260"/>
      <c r="J298" s="260"/>
      <c r="K298" s="260"/>
      <c r="L298" s="260"/>
      <c r="M298" s="260"/>
      <c r="N298" s="76">
        <f t="shared" ref="N298:S298" si="109">N280-N284</f>
        <v>184575.56</v>
      </c>
      <c r="O298" s="76">
        <f t="shared" si="109"/>
        <v>206088.86214285714</v>
      </c>
      <c r="P298" s="76">
        <f t="shared" si="109"/>
        <v>222733.23142857142</v>
      </c>
      <c r="Q298" s="76">
        <f t="shared" si="109"/>
        <v>239377.60071428571</v>
      </c>
      <c r="R298" s="76">
        <f t="shared" si="109"/>
        <v>0</v>
      </c>
      <c r="S298" s="77">
        <f t="shared" si="109"/>
        <v>0</v>
      </c>
    </row>
    <row r="299" spans="1:19" s="26" customFormat="1" ht="13.5">
      <c r="A299" s="46"/>
      <c r="B299" s="21" t="s">
        <v>612</v>
      </c>
      <c r="C299" s="22" t="s">
        <v>117</v>
      </c>
      <c r="D299" s="57">
        <v>1</v>
      </c>
      <c r="E299" s="22" t="s">
        <v>43</v>
      </c>
      <c r="F299" s="44">
        <f>VLOOKUP(B299,GiaVL!$B$4:'GiaVL'!$D$189,3,0)</f>
        <v>2226</v>
      </c>
      <c r="G299" s="48">
        <f>D299*F299</f>
        <v>2226</v>
      </c>
      <c r="H299" s="251"/>
      <c r="I299" s="251"/>
      <c r="J299" s="251"/>
      <c r="K299" s="251"/>
      <c r="L299" s="251"/>
      <c r="M299" s="251"/>
      <c r="N299" s="76">
        <f t="shared" ref="N299:S299" si="110">N287</f>
        <v>50975.399999999994</v>
      </c>
      <c r="O299" s="76">
        <f t="shared" si="110"/>
        <v>57876</v>
      </c>
      <c r="P299" s="76">
        <f t="shared" si="110"/>
        <v>62105.399999999994</v>
      </c>
      <c r="Q299" s="76">
        <f t="shared" si="110"/>
        <v>66334.8</v>
      </c>
      <c r="R299" s="76">
        <f t="shared" si="110"/>
        <v>0</v>
      </c>
      <c r="S299" s="74">
        <f t="shared" si="110"/>
        <v>0</v>
      </c>
    </row>
    <row r="300" spans="1:19">
      <c r="A300" s="34"/>
      <c r="B300" s="23" t="s">
        <v>43</v>
      </c>
      <c r="C300" s="12" t="s">
        <v>43</v>
      </c>
      <c r="D300" s="58" t="s">
        <v>43</v>
      </c>
      <c r="E300" s="12" t="s">
        <v>43</v>
      </c>
      <c r="F300" s="44"/>
      <c r="G300" s="44"/>
      <c r="H300" s="251"/>
      <c r="I300" s="251"/>
      <c r="J300" s="251"/>
      <c r="K300" s="251"/>
      <c r="L300" s="251"/>
      <c r="M300" s="251"/>
      <c r="N300" s="62"/>
      <c r="O300" s="62"/>
      <c r="P300" s="62"/>
      <c r="Q300" s="62"/>
      <c r="R300" s="62"/>
      <c r="S300" s="75"/>
    </row>
    <row r="301" spans="1:19" s="16" customFormat="1" ht="19.5" customHeight="1">
      <c r="A301" s="70" t="s">
        <v>34</v>
      </c>
      <c r="B301" s="9" t="s">
        <v>415</v>
      </c>
      <c r="C301" s="25"/>
      <c r="D301" s="56"/>
      <c r="E301" s="25"/>
      <c r="F301" s="45"/>
      <c r="G301" s="45"/>
      <c r="H301" s="249"/>
      <c r="I301" s="249"/>
      <c r="J301" s="249"/>
      <c r="K301" s="249"/>
      <c r="L301" s="249"/>
      <c r="M301" s="249"/>
      <c r="N301" s="76"/>
      <c r="O301" s="76"/>
      <c r="P301" s="76"/>
      <c r="Q301" s="76"/>
      <c r="R301" s="76"/>
      <c r="S301" s="77"/>
    </row>
    <row r="302" spans="1:19">
      <c r="A302" s="71"/>
      <c r="B302" s="6"/>
      <c r="C302" s="18"/>
      <c r="D302" s="27"/>
      <c r="E302" s="6"/>
      <c r="F302" s="44"/>
      <c r="G302" s="44"/>
      <c r="H302" s="251"/>
      <c r="I302" s="251"/>
      <c r="J302" s="251"/>
      <c r="K302" s="251"/>
      <c r="L302" s="251"/>
      <c r="M302" s="251"/>
      <c r="N302" s="62"/>
      <c r="O302" s="62"/>
      <c r="P302" s="62"/>
      <c r="Q302" s="62"/>
      <c r="R302" s="62"/>
      <c r="S302" s="75"/>
    </row>
    <row r="303" spans="1:19" s="50" customFormat="1" ht="18.75" customHeight="1">
      <c r="A303" s="193" t="str">
        <f>L_CViec!A44</f>
        <v>IV</v>
      </c>
      <c r="B303" s="188" t="str">
        <f>L_CViec!B44</f>
        <v>ĐO ĐẠC CHỈNH LÝ BẢN ĐỒ ĐỊA CHÍNH:</v>
      </c>
      <c r="C303" s="84"/>
      <c r="D303" s="189"/>
      <c r="E303" s="84"/>
      <c r="F303" s="190"/>
      <c r="G303" s="190"/>
      <c r="H303" s="248"/>
      <c r="I303" s="248"/>
      <c r="J303" s="248"/>
      <c r="K303" s="248"/>
      <c r="L303" s="248"/>
      <c r="M303" s="248"/>
      <c r="N303" s="194"/>
      <c r="O303" s="194"/>
      <c r="P303" s="194"/>
      <c r="Q303" s="194"/>
      <c r="R303" s="194"/>
      <c r="S303" s="195"/>
    </row>
    <row r="304" spans="1:19" s="15" customFormat="1">
      <c r="A304" s="8" t="s">
        <v>220</v>
      </c>
      <c r="B304" s="9" t="s">
        <v>63</v>
      </c>
      <c r="C304" s="25"/>
      <c r="D304" s="56"/>
      <c r="E304" s="25"/>
      <c r="F304" s="28"/>
      <c r="G304" s="28"/>
      <c r="H304" s="249"/>
      <c r="I304" s="249"/>
      <c r="J304" s="249"/>
      <c r="K304" s="249"/>
      <c r="L304" s="249"/>
      <c r="M304" s="249"/>
      <c r="N304" s="76"/>
      <c r="O304" s="76"/>
      <c r="P304" s="76"/>
      <c r="Q304" s="76"/>
      <c r="R304" s="76"/>
      <c r="S304" s="77"/>
    </row>
    <row r="305" spans="1:19" s="15" customFormat="1">
      <c r="A305" s="8">
        <v>2</v>
      </c>
      <c r="B305" s="9" t="s">
        <v>123</v>
      </c>
      <c r="C305" s="25"/>
      <c r="D305" s="56"/>
      <c r="E305" s="25"/>
      <c r="F305" s="28"/>
      <c r="G305" s="28"/>
      <c r="H305" s="249"/>
      <c r="I305" s="249"/>
      <c r="J305" s="249"/>
      <c r="K305" s="249"/>
      <c r="L305" s="249"/>
      <c r="M305" s="249"/>
      <c r="N305" s="76"/>
      <c r="O305" s="76"/>
      <c r="P305" s="76"/>
      <c r="Q305" s="76"/>
      <c r="R305" s="76"/>
      <c r="S305" s="77"/>
    </row>
    <row r="306" spans="1:19" s="15" customFormat="1">
      <c r="A306" s="8">
        <v>2.1</v>
      </c>
      <c r="B306" s="54" t="s">
        <v>221</v>
      </c>
      <c r="C306" s="25"/>
      <c r="D306" s="56"/>
      <c r="E306" s="25"/>
      <c r="F306" s="45"/>
      <c r="G306" s="45"/>
      <c r="H306" s="249"/>
      <c r="I306" s="249"/>
      <c r="J306" s="249"/>
      <c r="K306" s="249"/>
      <c r="L306" s="249"/>
      <c r="M306" s="249"/>
      <c r="N306" s="76"/>
      <c r="O306" s="76"/>
      <c r="P306" s="76"/>
      <c r="Q306" s="76"/>
      <c r="R306" s="76"/>
      <c r="S306" s="77"/>
    </row>
    <row r="307" spans="1:19" s="15" customFormat="1">
      <c r="A307" s="31" t="s">
        <v>27</v>
      </c>
      <c r="B307" s="9" t="s">
        <v>230</v>
      </c>
      <c r="C307" s="25"/>
      <c r="D307" s="56"/>
      <c r="E307" s="25"/>
      <c r="F307" s="45"/>
      <c r="G307" s="45"/>
      <c r="H307" s="249"/>
      <c r="I307" s="249"/>
      <c r="J307" s="249"/>
      <c r="K307" s="249"/>
      <c r="L307" s="249"/>
      <c r="M307" s="249"/>
      <c r="N307" s="76">
        <f t="shared" ref="N307:S307" si="111">SUM(N308:N310)</f>
        <v>58470.57142857142</v>
      </c>
      <c r="O307" s="76">
        <f t="shared" si="111"/>
        <v>73053.71428571429</v>
      </c>
      <c r="P307" s="76">
        <f t="shared" si="111"/>
        <v>97200.571428571435</v>
      </c>
      <c r="Q307" s="76">
        <f t="shared" si="111"/>
        <v>116832.42857142855</v>
      </c>
      <c r="R307" s="76">
        <f t="shared" si="111"/>
        <v>0</v>
      </c>
      <c r="S307" s="77">
        <f t="shared" si="111"/>
        <v>0</v>
      </c>
    </row>
    <row r="308" spans="1:19" s="15" customFormat="1">
      <c r="A308" s="7"/>
      <c r="B308" s="6" t="s">
        <v>238</v>
      </c>
      <c r="C308" s="18" t="s">
        <v>60</v>
      </c>
      <c r="D308" s="58"/>
      <c r="E308" s="18">
        <v>1</v>
      </c>
      <c r="F308" s="44">
        <f>VLOOKUP(B308,GiaVL!$B$4:'GiaVL'!$D$189,3,0)</f>
        <v>98800000</v>
      </c>
      <c r="G308" s="44">
        <f>F308/G$7</f>
        <v>49400</v>
      </c>
      <c r="H308" s="251">
        <v>1.1599999999999999</v>
      </c>
      <c r="I308" s="252">
        <v>1.45</v>
      </c>
      <c r="J308" s="251">
        <v>1.93</v>
      </c>
      <c r="K308" s="251">
        <v>2.3199999999999998</v>
      </c>
      <c r="L308" s="251"/>
      <c r="M308" s="251"/>
      <c r="N308" s="62">
        <f t="shared" ref="N308:S310" si="112">$E308*$G308*H308</f>
        <v>57303.999999999993</v>
      </c>
      <c r="O308" s="62">
        <f t="shared" si="112"/>
        <v>71630</v>
      </c>
      <c r="P308" s="62">
        <f t="shared" si="112"/>
        <v>95342</v>
      </c>
      <c r="Q308" s="62">
        <f t="shared" si="112"/>
        <v>114607.99999999999</v>
      </c>
      <c r="R308" s="62">
        <f t="shared" si="112"/>
        <v>0</v>
      </c>
      <c r="S308" s="75">
        <f t="shared" si="112"/>
        <v>0</v>
      </c>
    </row>
    <row r="309" spans="1:19">
      <c r="A309" s="7"/>
      <c r="B309" s="6" t="s">
        <v>670</v>
      </c>
      <c r="C309" s="18" t="s">
        <v>59</v>
      </c>
      <c r="D309" s="58">
        <v>0.35</v>
      </c>
      <c r="E309" s="18">
        <v>1</v>
      </c>
      <c r="F309" s="44">
        <f>VLOOKUP(B309,GiaVL!$B$4:'GiaVL'!$D$189,3,0)</f>
        <v>13900000</v>
      </c>
      <c r="G309" s="44">
        <f>F309/G$5</f>
        <v>3971.4285714285716</v>
      </c>
      <c r="H309" s="251">
        <v>0.12</v>
      </c>
      <c r="I309" s="252">
        <v>0.15</v>
      </c>
      <c r="J309" s="251">
        <v>0.19</v>
      </c>
      <c r="K309" s="251">
        <v>0.23</v>
      </c>
      <c r="L309" s="251"/>
      <c r="M309" s="251"/>
      <c r="N309" s="62">
        <f>$E309*$G309*H309</f>
        <v>476.57142857142856</v>
      </c>
      <c r="O309" s="62">
        <f t="shared" si="112"/>
        <v>595.71428571428567</v>
      </c>
      <c r="P309" s="62">
        <f t="shared" si="112"/>
        <v>754.57142857142856</v>
      </c>
      <c r="Q309" s="62">
        <f t="shared" si="112"/>
        <v>913.42857142857144</v>
      </c>
      <c r="R309" s="62">
        <f t="shared" si="112"/>
        <v>0</v>
      </c>
      <c r="S309" s="75">
        <f t="shared" si="112"/>
        <v>0</v>
      </c>
    </row>
    <row r="310" spans="1:19">
      <c r="A310" s="7"/>
      <c r="B310" s="6" t="s">
        <v>130</v>
      </c>
      <c r="C310" s="18" t="s">
        <v>59</v>
      </c>
      <c r="D310" s="58"/>
      <c r="E310" s="18">
        <v>1</v>
      </c>
      <c r="F310" s="44">
        <f>F79</f>
        <v>13800000</v>
      </c>
      <c r="G310" s="44">
        <f>F310/G$7</f>
        <v>6900</v>
      </c>
      <c r="H310" s="251">
        <v>0.1</v>
      </c>
      <c r="I310" s="252">
        <v>0.12</v>
      </c>
      <c r="J310" s="251">
        <v>0.16</v>
      </c>
      <c r="K310" s="251">
        <v>0.19</v>
      </c>
      <c r="L310" s="251"/>
      <c r="M310" s="251"/>
      <c r="N310" s="62">
        <f>$E310*$G310*H310</f>
        <v>690</v>
      </c>
      <c r="O310" s="62">
        <f t="shared" si="112"/>
        <v>828</v>
      </c>
      <c r="P310" s="62">
        <f t="shared" si="112"/>
        <v>1104</v>
      </c>
      <c r="Q310" s="62">
        <f t="shared" si="112"/>
        <v>1311</v>
      </c>
      <c r="R310" s="62">
        <f t="shared" si="112"/>
        <v>0</v>
      </c>
      <c r="S310" s="75">
        <f t="shared" si="112"/>
        <v>0</v>
      </c>
    </row>
    <row r="311" spans="1:19" s="20" customFormat="1" ht="13.5">
      <c r="A311" s="46" t="s">
        <v>43</v>
      </c>
      <c r="B311" s="21" t="s">
        <v>612</v>
      </c>
      <c r="C311" s="22" t="s">
        <v>117</v>
      </c>
      <c r="D311" s="57">
        <v>1</v>
      </c>
      <c r="E311" s="47"/>
      <c r="F311" s="44">
        <f>VLOOKUP(B311,GiaVL!$B$4:'GiaVL'!$D$189,3,0)</f>
        <v>2226</v>
      </c>
      <c r="G311" s="48">
        <f>D311*F311</f>
        <v>2226</v>
      </c>
      <c r="H311" s="251">
        <v>0.35</v>
      </c>
      <c r="I311" s="252">
        <v>0.44</v>
      </c>
      <c r="J311" s="251">
        <v>0.56000000000000005</v>
      </c>
      <c r="K311" s="251">
        <v>0.68</v>
      </c>
      <c r="L311" s="250"/>
      <c r="M311" s="250"/>
      <c r="N311" s="76">
        <f t="shared" ref="N311:S311" si="113">$G311*H311</f>
        <v>779.09999999999991</v>
      </c>
      <c r="O311" s="76">
        <f t="shared" si="113"/>
        <v>979.44</v>
      </c>
      <c r="P311" s="76">
        <f t="shared" si="113"/>
        <v>1246.5600000000002</v>
      </c>
      <c r="Q311" s="76">
        <f t="shared" si="113"/>
        <v>1513.68</v>
      </c>
      <c r="R311" s="76">
        <f t="shared" si="113"/>
        <v>0</v>
      </c>
      <c r="S311" s="74">
        <f t="shared" si="113"/>
        <v>0</v>
      </c>
    </row>
    <row r="312" spans="1:19" s="16" customFormat="1">
      <c r="A312" s="8" t="s">
        <v>28</v>
      </c>
      <c r="B312" s="9" t="s">
        <v>231</v>
      </c>
      <c r="C312" s="25"/>
      <c r="D312" s="56"/>
      <c r="E312" s="25"/>
      <c r="F312" s="45"/>
      <c r="G312" s="45"/>
      <c r="H312" s="249" t="s">
        <v>199</v>
      </c>
      <c r="I312" s="249" t="s">
        <v>199</v>
      </c>
      <c r="J312" s="249" t="s">
        <v>199</v>
      </c>
      <c r="K312" s="249" t="s">
        <v>199</v>
      </c>
      <c r="L312" s="249" t="s">
        <v>199</v>
      </c>
      <c r="M312" s="249"/>
      <c r="N312" s="76">
        <f t="shared" ref="N312:S312" si="114">SUM(N313:N315)</f>
        <v>44792.5</v>
      </c>
      <c r="O312" s="76">
        <f t="shared" si="114"/>
        <v>56101.928571428572</v>
      </c>
      <c r="P312" s="76">
        <f t="shared" si="114"/>
        <v>74815.71428571429</v>
      </c>
      <c r="Q312" s="76">
        <f t="shared" si="114"/>
        <v>100894.42857142857</v>
      </c>
      <c r="R312" s="76">
        <f t="shared" si="114"/>
        <v>126973.14285714287</v>
      </c>
      <c r="S312" s="77">
        <f t="shared" si="114"/>
        <v>0</v>
      </c>
    </row>
    <row r="313" spans="1:19">
      <c r="A313" s="7"/>
      <c r="B313" s="6" t="s">
        <v>238</v>
      </c>
      <c r="C313" s="18" t="s">
        <v>60</v>
      </c>
      <c r="D313" s="58"/>
      <c r="E313" s="18">
        <v>1</v>
      </c>
      <c r="F313" s="44">
        <f>VLOOKUP(B313,GiaVL!$B$4:'GiaVL'!$D$189,3,0)</f>
        <v>98800000</v>
      </c>
      <c r="G313" s="44">
        <f>F313/G$7</f>
        <v>49400</v>
      </c>
      <c r="H313" s="251">
        <v>0.79</v>
      </c>
      <c r="I313" s="251">
        <v>0.99</v>
      </c>
      <c r="J313" s="251">
        <v>1.32</v>
      </c>
      <c r="K313" s="251">
        <v>1.78</v>
      </c>
      <c r="L313" s="251">
        <v>2.2400000000000002</v>
      </c>
      <c r="M313" s="251"/>
      <c r="N313" s="62">
        <f t="shared" ref="N313:S315" si="115">$E313*$G313*H313</f>
        <v>39026</v>
      </c>
      <c r="O313" s="62">
        <f t="shared" si="115"/>
        <v>48906</v>
      </c>
      <c r="P313" s="62">
        <f t="shared" si="115"/>
        <v>65208</v>
      </c>
      <c r="Q313" s="62">
        <f t="shared" si="115"/>
        <v>87932</v>
      </c>
      <c r="R313" s="62">
        <f t="shared" si="115"/>
        <v>110656.00000000001</v>
      </c>
      <c r="S313" s="75">
        <f t="shared" si="115"/>
        <v>0</v>
      </c>
    </row>
    <row r="314" spans="1:19">
      <c r="A314" s="7"/>
      <c r="B314" s="6" t="s">
        <v>131</v>
      </c>
      <c r="C314" s="18" t="s">
        <v>59</v>
      </c>
      <c r="D314" s="27"/>
      <c r="E314" s="18">
        <v>1</v>
      </c>
      <c r="F314" s="44">
        <f>VLOOKUP(B314,GiaVL!$B$4:'GiaVL'!$D$189,3,0)</f>
        <v>13900000</v>
      </c>
      <c r="G314" s="44">
        <f>F314/G$7</f>
        <v>6950</v>
      </c>
      <c r="H314" s="251">
        <v>0.79</v>
      </c>
      <c r="I314" s="251">
        <v>0.99</v>
      </c>
      <c r="J314" s="251">
        <v>1.32</v>
      </c>
      <c r="K314" s="251">
        <v>1.78</v>
      </c>
      <c r="L314" s="251">
        <v>2.2400000000000002</v>
      </c>
      <c r="M314" s="251"/>
      <c r="N314" s="62">
        <f t="shared" si="115"/>
        <v>5490.5</v>
      </c>
      <c r="O314" s="62">
        <f t="shared" si="115"/>
        <v>6880.5</v>
      </c>
      <c r="P314" s="62">
        <f t="shared" si="115"/>
        <v>9174</v>
      </c>
      <c r="Q314" s="62">
        <f t="shared" si="115"/>
        <v>12371</v>
      </c>
      <c r="R314" s="62">
        <f t="shared" si="115"/>
        <v>15568.000000000002</v>
      </c>
      <c r="S314" s="75">
        <f t="shared" si="115"/>
        <v>0</v>
      </c>
    </row>
    <row r="315" spans="1:19">
      <c r="A315" s="7"/>
      <c r="B315" s="6" t="s">
        <v>130</v>
      </c>
      <c r="C315" s="18" t="s">
        <v>59</v>
      </c>
      <c r="D315" s="58">
        <v>0.35</v>
      </c>
      <c r="E315" s="18">
        <v>1</v>
      </c>
      <c r="F315" s="44">
        <f>F310</f>
        <v>13800000</v>
      </c>
      <c r="G315" s="44">
        <f>F315/G$5</f>
        <v>3942.8571428571427</v>
      </c>
      <c r="H315" s="251">
        <v>7.0000000000000007E-2</v>
      </c>
      <c r="I315" s="251">
        <v>0.08</v>
      </c>
      <c r="J315" s="251">
        <v>0.11</v>
      </c>
      <c r="K315" s="251">
        <v>0.15</v>
      </c>
      <c r="L315" s="251">
        <v>0.19</v>
      </c>
      <c r="M315" s="251"/>
      <c r="N315" s="62">
        <f t="shared" si="115"/>
        <v>276</v>
      </c>
      <c r="O315" s="62">
        <f t="shared" si="115"/>
        <v>315.42857142857144</v>
      </c>
      <c r="P315" s="62">
        <f t="shared" si="115"/>
        <v>433.71428571428572</v>
      </c>
      <c r="Q315" s="62">
        <f t="shared" si="115"/>
        <v>591.42857142857133</v>
      </c>
      <c r="R315" s="62">
        <f t="shared" si="115"/>
        <v>749.14285714285711</v>
      </c>
      <c r="S315" s="75">
        <f t="shared" si="115"/>
        <v>0</v>
      </c>
    </row>
    <row r="316" spans="1:19" s="20" customFormat="1" ht="13.5">
      <c r="A316" s="46" t="s">
        <v>43</v>
      </c>
      <c r="B316" s="21" t="s">
        <v>612</v>
      </c>
      <c r="C316" s="22" t="s">
        <v>117</v>
      </c>
      <c r="D316" s="57">
        <v>1</v>
      </c>
      <c r="E316" s="47"/>
      <c r="F316" s="44">
        <f>VLOOKUP(B316,GiaVL!$B$4:'GiaVL'!$D$189,3,0)</f>
        <v>2226</v>
      </c>
      <c r="G316" s="48">
        <f>D316*F316</f>
        <v>2226</v>
      </c>
      <c r="H316" s="251">
        <v>0.2</v>
      </c>
      <c r="I316" s="251">
        <v>0.24</v>
      </c>
      <c r="J316" s="251">
        <v>0.32</v>
      </c>
      <c r="K316" s="251">
        <v>0.44</v>
      </c>
      <c r="L316" s="251">
        <v>0.56000000000000005</v>
      </c>
      <c r="M316" s="251"/>
      <c r="N316" s="76">
        <f t="shared" ref="N316:S316" si="116">$G316*H316</f>
        <v>445.20000000000005</v>
      </c>
      <c r="O316" s="76">
        <f t="shared" si="116"/>
        <v>534.24</v>
      </c>
      <c r="P316" s="76">
        <f t="shared" si="116"/>
        <v>712.32</v>
      </c>
      <c r="Q316" s="76">
        <f t="shared" si="116"/>
        <v>979.44</v>
      </c>
      <c r="R316" s="76">
        <f t="shared" si="116"/>
        <v>1246.5600000000002</v>
      </c>
      <c r="S316" s="74">
        <f t="shared" si="116"/>
        <v>0</v>
      </c>
    </row>
    <row r="317" spans="1:19" s="16" customFormat="1">
      <c r="A317" s="8" t="s">
        <v>29</v>
      </c>
      <c r="B317" s="9" t="s">
        <v>232</v>
      </c>
      <c r="C317" s="25"/>
      <c r="D317" s="56"/>
      <c r="E317" s="25"/>
      <c r="F317" s="45"/>
      <c r="G317" s="45"/>
      <c r="H317" s="249" t="s">
        <v>199</v>
      </c>
      <c r="I317" s="249" t="s">
        <v>199</v>
      </c>
      <c r="J317" s="249" t="s">
        <v>199</v>
      </c>
      <c r="K317" s="249" t="s">
        <v>199</v>
      </c>
      <c r="L317" s="249" t="s">
        <v>199</v>
      </c>
      <c r="M317" s="249"/>
      <c r="N317" s="76">
        <f t="shared" ref="N317:S317" si="117">SUM(N318:N320)</f>
        <v>12475.857142857143</v>
      </c>
      <c r="O317" s="76">
        <f t="shared" si="117"/>
        <v>15293.357142857143</v>
      </c>
      <c r="P317" s="76">
        <f t="shared" si="117"/>
        <v>20404.285714285714</v>
      </c>
      <c r="Q317" s="76">
        <f t="shared" si="117"/>
        <v>27769.214285714286</v>
      </c>
      <c r="R317" s="76">
        <f t="shared" si="117"/>
        <v>35134.142857142855</v>
      </c>
      <c r="S317" s="77">
        <f t="shared" si="117"/>
        <v>0</v>
      </c>
    </row>
    <row r="318" spans="1:19">
      <c r="A318" s="7"/>
      <c r="B318" s="6" t="s">
        <v>238</v>
      </c>
      <c r="C318" s="18" t="s">
        <v>60</v>
      </c>
      <c r="D318" s="58"/>
      <c r="E318" s="18">
        <v>1</v>
      </c>
      <c r="F318" s="44">
        <f>VLOOKUP(B318,GiaVL!$B$4:'GiaVL'!$D$189,3,0)</f>
        <v>98800000</v>
      </c>
      <c r="G318" s="44">
        <f>F318/G$7</f>
        <v>49400</v>
      </c>
      <c r="H318" s="251">
        <v>0.22</v>
      </c>
      <c r="I318" s="251">
        <v>0.27</v>
      </c>
      <c r="J318" s="251">
        <v>0.36</v>
      </c>
      <c r="K318" s="251">
        <v>0.49</v>
      </c>
      <c r="L318" s="251">
        <v>0.62</v>
      </c>
      <c r="M318" s="251"/>
      <c r="N318" s="62">
        <f t="shared" ref="N318:S320" si="118">$E318*$G318*H318</f>
        <v>10868</v>
      </c>
      <c r="O318" s="62">
        <f t="shared" si="118"/>
        <v>13338</v>
      </c>
      <c r="P318" s="62">
        <f t="shared" si="118"/>
        <v>17784</v>
      </c>
      <c r="Q318" s="62">
        <f t="shared" si="118"/>
        <v>24206</v>
      </c>
      <c r="R318" s="62">
        <f t="shared" si="118"/>
        <v>30628</v>
      </c>
      <c r="S318" s="75">
        <f t="shared" si="118"/>
        <v>0</v>
      </c>
    </row>
    <row r="319" spans="1:19">
      <c r="A319" s="7"/>
      <c r="B319" s="6" t="s">
        <v>670</v>
      </c>
      <c r="C319" s="18" t="s">
        <v>59</v>
      </c>
      <c r="D319" s="27"/>
      <c r="E319" s="18">
        <v>1</v>
      </c>
      <c r="F319" s="44">
        <f>VLOOKUP(B319,GiaVL!$B$4:'GiaVL'!$D$189,3,0)</f>
        <v>13900000</v>
      </c>
      <c r="G319" s="44">
        <f>F319/G$7</f>
        <v>6950</v>
      </c>
      <c r="H319" s="251">
        <v>0.22</v>
      </c>
      <c r="I319" s="251">
        <v>0.27</v>
      </c>
      <c r="J319" s="251">
        <v>0.36</v>
      </c>
      <c r="K319" s="251">
        <v>0.49</v>
      </c>
      <c r="L319" s="251">
        <v>0.62</v>
      </c>
      <c r="M319" s="251"/>
      <c r="N319" s="62">
        <f t="shared" si="118"/>
        <v>1529</v>
      </c>
      <c r="O319" s="62">
        <f t="shared" si="118"/>
        <v>1876.5000000000002</v>
      </c>
      <c r="P319" s="62">
        <f t="shared" si="118"/>
        <v>2502</v>
      </c>
      <c r="Q319" s="62">
        <f t="shared" si="118"/>
        <v>3405.5</v>
      </c>
      <c r="R319" s="62">
        <f t="shared" si="118"/>
        <v>4309</v>
      </c>
      <c r="S319" s="75">
        <f t="shared" si="118"/>
        <v>0</v>
      </c>
    </row>
    <row r="320" spans="1:19" s="16" customFormat="1">
      <c r="A320" s="7"/>
      <c r="B320" s="6" t="s">
        <v>130</v>
      </c>
      <c r="C320" s="18" t="s">
        <v>59</v>
      </c>
      <c r="D320" s="58">
        <v>0.35</v>
      </c>
      <c r="E320" s="18">
        <v>1</v>
      </c>
      <c r="F320" s="44">
        <f>F315</f>
        <v>13800000</v>
      </c>
      <c r="G320" s="44">
        <f>F320/G$5</f>
        <v>3942.8571428571427</v>
      </c>
      <c r="H320" s="251">
        <v>0.02</v>
      </c>
      <c r="I320" s="251">
        <v>0.02</v>
      </c>
      <c r="J320" s="251">
        <v>0.03</v>
      </c>
      <c r="K320" s="251">
        <v>0.04</v>
      </c>
      <c r="L320" s="251">
        <v>0.05</v>
      </c>
      <c r="M320" s="251"/>
      <c r="N320" s="62">
        <f t="shared" si="118"/>
        <v>78.857142857142861</v>
      </c>
      <c r="O320" s="62">
        <f t="shared" si="118"/>
        <v>78.857142857142861</v>
      </c>
      <c r="P320" s="62">
        <f t="shared" si="118"/>
        <v>118.28571428571428</v>
      </c>
      <c r="Q320" s="62">
        <f t="shared" si="118"/>
        <v>157.71428571428572</v>
      </c>
      <c r="R320" s="62">
        <f t="shared" si="118"/>
        <v>197.14285714285714</v>
      </c>
      <c r="S320" s="75">
        <f t="shared" si="118"/>
        <v>0</v>
      </c>
    </row>
    <row r="321" spans="1:19" s="20" customFormat="1" ht="13.5">
      <c r="A321" s="46" t="s">
        <v>43</v>
      </c>
      <c r="B321" s="21" t="s">
        <v>612</v>
      </c>
      <c r="C321" s="22" t="s">
        <v>117</v>
      </c>
      <c r="D321" s="57">
        <v>1</v>
      </c>
      <c r="E321" s="47"/>
      <c r="F321" s="44">
        <f>VLOOKUP(B321,GiaVL!$B$4:'GiaVL'!$D$189,3,0)</f>
        <v>2226</v>
      </c>
      <c r="G321" s="48">
        <f>D321*F321</f>
        <v>2226</v>
      </c>
      <c r="H321" s="251">
        <v>0.06</v>
      </c>
      <c r="I321" s="251">
        <v>0.06</v>
      </c>
      <c r="J321" s="251">
        <v>0.09</v>
      </c>
      <c r="K321" s="251">
        <v>0.12</v>
      </c>
      <c r="L321" s="251">
        <v>0.15</v>
      </c>
      <c r="M321" s="251"/>
      <c r="N321" s="76">
        <f t="shared" ref="N321:S321" si="119">$G321*H321</f>
        <v>133.56</v>
      </c>
      <c r="O321" s="76">
        <f t="shared" si="119"/>
        <v>133.56</v>
      </c>
      <c r="P321" s="76">
        <f t="shared" si="119"/>
        <v>200.34</v>
      </c>
      <c r="Q321" s="76">
        <f t="shared" si="119"/>
        <v>267.12</v>
      </c>
      <c r="R321" s="76">
        <f t="shared" si="119"/>
        <v>333.9</v>
      </c>
      <c r="S321" s="74">
        <f t="shared" si="119"/>
        <v>0</v>
      </c>
    </row>
    <row r="322" spans="1:19" s="16" customFormat="1">
      <c r="A322" s="8" t="s">
        <v>30</v>
      </c>
      <c r="B322" s="9" t="s">
        <v>233</v>
      </c>
      <c r="C322" s="25"/>
      <c r="D322" s="56"/>
      <c r="E322" s="25"/>
      <c r="F322" s="45"/>
      <c r="G322" s="45"/>
      <c r="H322" s="249" t="s">
        <v>199</v>
      </c>
      <c r="I322" s="249" t="s">
        <v>199</v>
      </c>
      <c r="J322" s="249" t="s">
        <v>199</v>
      </c>
      <c r="K322" s="249" t="s">
        <v>199</v>
      </c>
      <c r="L322" s="251" t="s">
        <v>199</v>
      </c>
      <c r="M322" s="251"/>
      <c r="N322" s="76">
        <f t="shared" ref="N322:S322" si="120">SUM(N323:N325)</f>
        <v>10785.357142857143</v>
      </c>
      <c r="O322" s="76">
        <f t="shared" si="120"/>
        <v>14166.357142857143</v>
      </c>
      <c r="P322" s="76">
        <f t="shared" si="120"/>
        <v>17586.785714285714</v>
      </c>
      <c r="Q322" s="76">
        <f t="shared" si="120"/>
        <v>22094.785714285714</v>
      </c>
      <c r="R322" s="76">
        <f t="shared" si="120"/>
        <v>31150.21428571429</v>
      </c>
      <c r="S322" s="77">
        <f t="shared" si="120"/>
        <v>0</v>
      </c>
    </row>
    <row r="323" spans="1:19">
      <c r="A323" s="7"/>
      <c r="B323" s="6" t="s">
        <v>238</v>
      </c>
      <c r="C323" s="18" t="s">
        <v>60</v>
      </c>
      <c r="D323" s="58"/>
      <c r="E323" s="18">
        <v>1</v>
      </c>
      <c r="F323" s="44">
        <f>VLOOKUP(B323,GiaVL!$B$4:'GiaVL'!$D$189,3,0)</f>
        <v>98800000</v>
      </c>
      <c r="G323" s="44">
        <f>F323/G$7</f>
        <v>49400</v>
      </c>
      <c r="H323" s="251">
        <v>0.19</v>
      </c>
      <c r="I323" s="251">
        <v>0.25</v>
      </c>
      <c r="J323" s="251">
        <v>0.31</v>
      </c>
      <c r="K323" s="251">
        <v>0.39</v>
      </c>
      <c r="L323" s="251">
        <v>0.55000000000000004</v>
      </c>
      <c r="M323" s="251"/>
      <c r="N323" s="62">
        <f t="shared" ref="N323:S325" si="121">$E323*$G323*H323</f>
        <v>9386</v>
      </c>
      <c r="O323" s="62">
        <f t="shared" si="121"/>
        <v>12350</v>
      </c>
      <c r="P323" s="62">
        <f t="shared" si="121"/>
        <v>15314</v>
      </c>
      <c r="Q323" s="62">
        <f t="shared" si="121"/>
        <v>19266</v>
      </c>
      <c r="R323" s="62">
        <f t="shared" si="121"/>
        <v>27170.000000000004</v>
      </c>
      <c r="S323" s="75">
        <f t="shared" si="121"/>
        <v>0</v>
      </c>
    </row>
    <row r="324" spans="1:19">
      <c r="A324" s="7"/>
      <c r="B324" s="6" t="s">
        <v>670</v>
      </c>
      <c r="C324" s="18" t="s">
        <v>59</v>
      </c>
      <c r="D324" s="27"/>
      <c r="E324" s="18">
        <v>1</v>
      </c>
      <c r="F324" s="44">
        <f>VLOOKUP(B324,GiaVL!$B$4:'GiaVL'!$D$189,3,0)</f>
        <v>13900000</v>
      </c>
      <c r="G324" s="44">
        <f>F324/G$7</f>
        <v>6950</v>
      </c>
      <c r="H324" s="251">
        <v>0.19</v>
      </c>
      <c r="I324" s="251">
        <v>0.25</v>
      </c>
      <c r="J324" s="251">
        <v>0.31</v>
      </c>
      <c r="K324" s="251">
        <v>0.39</v>
      </c>
      <c r="L324" s="251">
        <v>0.55000000000000004</v>
      </c>
      <c r="M324" s="251"/>
      <c r="N324" s="62">
        <f t="shared" si="121"/>
        <v>1320.5</v>
      </c>
      <c r="O324" s="62">
        <f t="shared" si="121"/>
        <v>1737.5</v>
      </c>
      <c r="P324" s="62">
        <f t="shared" si="121"/>
        <v>2154.5</v>
      </c>
      <c r="Q324" s="62">
        <f t="shared" si="121"/>
        <v>2710.5</v>
      </c>
      <c r="R324" s="62">
        <f t="shared" si="121"/>
        <v>3822.5000000000005</v>
      </c>
      <c r="S324" s="75">
        <f t="shared" si="121"/>
        <v>0</v>
      </c>
    </row>
    <row r="325" spans="1:19" s="15" customFormat="1">
      <c r="A325" s="7"/>
      <c r="B325" s="6" t="s">
        <v>130</v>
      </c>
      <c r="C325" s="18" t="s">
        <v>59</v>
      </c>
      <c r="D325" s="58">
        <v>0.35</v>
      </c>
      <c r="E325" s="18">
        <v>1</v>
      </c>
      <c r="F325" s="44">
        <f>F320</f>
        <v>13800000</v>
      </c>
      <c r="G325" s="44">
        <f>F325/G$5</f>
        <v>3942.8571428571427</v>
      </c>
      <c r="H325" s="251">
        <v>0.02</v>
      </c>
      <c r="I325" s="251">
        <v>0.02</v>
      </c>
      <c r="J325" s="251">
        <v>0.03</v>
      </c>
      <c r="K325" s="251">
        <v>0.03</v>
      </c>
      <c r="L325" s="251">
        <v>0.04</v>
      </c>
      <c r="M325" s="251"/>
      <c r="N325" s="62">
        <f t="shared" si="121"/>
        <v>78.857142857142861</v>
      </c>
      <c r="O325" s="62">
        <f t="shared" si="121"/>
        <v>78.857142857142861</v>
      </c>
      <c r="P325" s="62">
        <f t="shared" si="121"/>
        <v>118.28571428571428</v>
      </c>
      <c r="Q325" s="62">
        <f t="shared" si="121"/>
        <v>118.28571428571428</v>
      </c>
      <c r="R325" s="62">
        <f t="shared" si="121"/>
        <v>157.71428571428572</v>
      </c>
      <c r="S325" s="75">
        <f t="shared" si="121"/>
        <v>0</v>
      </c>
    </row>
    <row r="326" spans="1:19" s="20" customFormat="1" ht="13.5">
      <c r="A326" s="46" t="s">
        <v>43</v>
      </c>
      <c r="B326" s="21" t="s">
        <v>612</v>
      </c>
      <c r="C326" s="22" t="s">
        <v>117</v>
      </c>
      <c r="D326" s="57">
        <v>1</v>
      </c>
      <c r="E326" s="47"/>
      <c r="F326" s="44">
        <f>VLOOKUP(B326,GiaVL!$B$4:'GiaVL'!$D$189,3,0)</f>
        <v>2226</v>
      </c>
      <c r="G326" s="48">
        <f>D326*F326</f>
        <v>2226</v>
      </c>
      <c r="H326" s="251">
        <v>0.06</v>
      </c>
      <c r="I326" s="251">
        <v>0.08</v>
      </c>
      <c r="J326" s="251">
        <v>0.09</v>
      </c>
      <c r="K326" s="251">
        <v>0.1</v>
      </c>
      <c r="L326" s="251">
        <v>0.12</v>
      </c>
      <c r="M326" s="251"/>
      <c r="N326" s="76">
        <f t="shared" ref="N326:S326" si="122">$G326*H326</f>
        <v>133.56</v>
      </c>
      <c r="O326" s="76">
        <f t="shared" si="122"/>
        <v>178.08</v>
      </c>
      <c r="P326" s="76">
        <f t="shared" si="122"/>
        <v>200.34</v>
      </c>
      <c r="Q326" s="76">
        <f t="shared" si="122"/>
        <v>222.60000000000002</v>
      </c>
      <c r="R326" s="76">
        <f t="shared" si="122"/>
        <v>267.12</v>
      </c>
      <c r="S326" s="74">
        <f t="shared" si="122"/>
        <v>0</v>
      </c>
    </row>
    <row r="327" spans="1:19" s="15" customFormat="1">
      <c r="A327" s="8" t="s">
        <v>31</v>
      </c>
      <c r="B327" s="9" t="s">
        <v>234</v>
      </c>
      <c r="C327" s="25"/>
      <c r="D327" s="56"/>
      <c r="E327" s="25"/>
      <c r="F327" s="45"/>
      <c r="G327" s="45"/>
      <c r="H327" s="249" t="s">
        <v>199</v>
      </c>
      <c r="I327" s="249" t="s">
        <v>199</v>
      </c>
      <c r="J327" s="249" t="s">
        <v>199</v>
      </c>
      <c r="K327" s="249" t="s">
        <v>199</v>
      </c>
      <c r="L327" s="249"/>
      <c r="M327" s="249"/>
      <c r="N327" s="76">
        <f t="shared" ref="N327:S327" si="123">SUM(N328:N330)</f>
        <v>27769.214285714286</v>
      </c>
      <c r="O327" s="76">
        <f t="shared" si="123"/>
        <v>31753.142857142862</v>
      </c>
      <c r="P327" s="76">
        <f t="shared" si="123"/>
        <v>41935.571428571428</v>
      </c>
      <c r="Q327" s="76">
        <f t="shared" si="123"/>
        <v>46483</v>
      </c>
      <c r="R327" s="76">
        <f t="shared" si="123"/>
        <v>0</v>
      </c>
      <c r="S327" s="77">
        <f t="shared" si="123"/>
        <v>0</v>
      </c>
    </row>
    <row r="328" spans="1:19" s="15" customFormat="1">
      <c r="A328" s="7"/>
      <c r="B328" s="6" t="s">
        <v>238</v>
      </c>
      <c r="C328" s="18" t="s">
        <v>60</v>
      </c>
      <c r="D328" s="58"/>
      <c r="E328" s="18">
        <v>1</v>
      </c>
      <c r="F328" s="44">
        <f>VLOOKUP(B328,GiaVL!$B$4:'GiaVL'!$D$189,3,0)</f>
        <v>98800000</v>
      </c>
      <c r="G328" s="44">
        <f>F328/G$7</f>
        <v>49400</v>
      </c>
      <c r="H328" s="251">
        <v>0.49</v>
      </c>
      <c r="I328" s="251">
        <v>0.56000000000000005</v>
      </c>
      <c r="J328" s="251">
        <v>0.74</v>
      </c>
      <c r="K328" s="251">
        <v>0.82</v>
      </c>
      <c r="L328" s="251"/>
      <c r="M328" s="251"/>
      <c r="N328" s="62">
        <f t="shared" ref="N328:S330" si="124">$E328*$G328*H328</f>
        <v>24206</v>
      </c>
      <c r="O328" s="62">
        <f t="shared" si="124"/>
        <v>27664.000000000004</v>
      </c>
      <c r="P328" s="62">
        <f t="shared" si="124"/>
        <v>36556</v>
      </c>
      <c r="Q328" s="62">
        <f t="shared" si="124"/>
        <v>40508</v>
      </c>
      <c r="R328" s="62">
        <f t="shared" si="124"/>
        <v>0</v>
      </c>
      <c r="S328" s="75">
        <f t="shared" si="124"/>
        <v>0</v>
      </c>
    </row>
    <row r="329" spans="1:19">
      <c r="A329" s="7"/>
      <c r="B329" s="6" t="s">
        <v>670</v>
      </c>
      <c r="C329" s="18" t="s">
        <v>59</v>
      </c>
      <c r="D329" s="27"/>
      <c r="E329" s="18">
        <v>1</v>
      </c>
      <c r="F329" s="44">
        <f>VLOOKUP(B329,GiaVL!$B$4:'GiaVL'!$D$189,3,0)</f>
        <v>13900000</v>
      </c>
      <c r="G329" s="44">
        <f>F329/G$7</f>
        <v>6950</v>
      </c>
      <c r="H329" s="251">
        <v>0.49</v>
      </c>
      <c r="I329" s="251">
        <v>0.56000000000000005</v>
      </c>
      <c r="J329" s="251">
        <v>0.74</v>
      </c>
      <c r="K329" s="251">
        <v>0.82</v>
      </c>
      <c r="L329" s="251"/>
      <c r="M329" s="251"/>
      <c r="N329" s="62">
        <f t="shared" si="124"/>
        <v>3405.5</v>
      </c>
      <c r="O329" s="62">
        <f t="shared" si="124"/>
        <v>3892.0000000000005</v>
      </c>
      <c r="P329" s="62">
        <f t="shared" si="124"/>
        <v>5143</v>
      </c>
      <c r="Q329" s="62">
        <f t="shared" si="124"/>
        <v>5699</v>
      </c>
      <c r="R329" s="62">
        <f t="shared" si="124"/>
        <v>0</v>
      </c>
      <c r="S329" s="75">
        <f t="shared" si="124"/>
        <v>0</v>
      </c>
    </row>
    <row r="330" spans="1:19" s="15" customFormat="1">
      <c r="A330" s="7"/>
      <c r="B330" s="6" t="s">
        <v>130</v>
      </c>
      <c r="C330" s="18" t="s">
        <v>59</v>
      </c>
      <c r="D330" s="58">
        <v>0.35</v>
      </c>
      <c r="E330" s="18">
        <v>1</v>
      </c>
      <c r="F330" s="44">
        <f>F325</f>
        <v>13800000</v>
      </c>
      <c r="G330" s="44">
        <f>F330/G$5</f>
        <v>3942.8571428571427</v>
      </c>
      <c r="H330" s="251">
        <v>0.04</v>
      </c>
      <c r="I330" s="251">
        <v>0.05</v>
      </c>
      <c r="J330" s="251">
        <v>0.06</v>
      </c>
      <c r="K330" s="251">
        <v>7.0000000000000007E-2</v>
      </c>
      <c r="L330" s="251"/>
      <c r="M330" s="251"/>
      <c r="N330" s="62">
        <f t="shared" si="124"/>
        <v>157.71428571428572</v>
      </c>
      <c r="O330" s="62">
        <f t="shared" si="124"/>
        <v>197.14285714285714</v>
      </c>
      <c r="P330" s="62">
        <f t="shared" si="124"/>
        <v>236.57142857142856</v>
      </c>
      <c r="Q330" s="62">
        <f t="shared" si="124"/>
        <v>276</v>
      </c>
      <c r="R330" s="62">
        <f t="shared" si="124"/>
        <v>0</v>
      </c>
      <c r="S330" s="75">
        <f t="shared" si="124"/>
        <v>0</v>
      </c>
    </row>
    <row r="331" spans="1:19" s="20" customFormat="1" ht="13.5">
      <c r="A331" s="46" t="s">
        <v>43</v>
      </c>
      <c r="B331" s="21" t="s">
        <v>612</v>
      </c>
      <c r="C331" s="22" t="s">
        <v>117</v>
      </c>
      <c r="D331" s="57">
        <v>1</v>
      </c>
      <c r="E331" s="47"/>
      <c r="F331" s="44">
        <f>VLOOKUP(B331,GiaVL!$B$4:'GiaVL'!$D$189,3,0)</f>
        <v>2226</v>
      </c>
      <c r="G331" s="48">
        <f>D331*F331</f>
        <v>2226</v>
      </c>
      <c r="H331" s="251">
        <v>0.12</v>
      </c>
      <c r="I331" s="251">
        <v>0.15</v>
      </c>
      <c r="J331" s="251">
        <v>0.18</v>
      </c>
      <c r="K331" s="251">
        <v>0.21</v>
      </c>
      <c r="L331" s="251"/>
      <c r="M331" s="251"/>
      <c r="N331" s="76">
        <f t="shared" ref="N331:S331" si="125">$G331*H331</f>
        <v>267.12</v>
      </c>
      <c r="O331" s="76">
        <f t="shared" si="125"/>
        <v>333.9</v>
      </c>
      <c r="P331" s="76">
        <f t="shared" si="125"/>
        <v>400.68</v>
      </c>
      <c r="Q331" s="76">
        <f t="shared" si="125"/>
        <v>467.46</v>
      </c>
      <c r="R331" s="76">
        <f t="shared" si="125"/>
        <v>0</v>
      </c>
      <c r="S331" s="74">
        <f t="shared" si="125"/>
        <v>0</v>
      </c>
    </row>
    <row r="332" spans="1:19" s="15" customFormat="1">
      <c r="A332" s="8" t="s">
        <v>37</v>
      </c>
      <c r="B332" s="9" t="s">
        <v>403</v>
      </c>
      <c r="C332" s="25"/>
      <c r="D332" s="56"/>
      <c r="E332" s="25"/>
      <c r="F332" s="45"/>
      <c r="G332" s="45"/>
      <c r="H332" s="249" t="s">
        <v>199</v>
      </c>
      <c r="I332" s="249" t="s">
        <v>199</v>
      </c>
      <c r="J332" s="249" t="s">
        <v>199</v>
      </c>
      <c r="K332" s="249" t="s">
        <v>199</v>
      </c>
      <c r="L332" s="249"/>
      <c r="M332" s="249"/>
      <c r="N332" s="76">
        <f t="shared" ref="N332:S332" si="126">SUM(N333:N335)</f>
        <v>41935.571428571428</v>
      </c>
      <c r="O332" s="76">
        <f t="shared" si="126"/>
        <v>47649.428571428572</v>
      </c>
      <c r="P332" s="76">
        <f t="shared" si="126"/>
        <v>62903.357142857152</v>
      </c>
      <c r="Q332" s="76">
        <f t="shared" si="126"/>
        <v>69744.21428571429</v>
      </c>
      <c r="R332" s="76">
        <f t="shared" si="126"/>
        <v>0</v>
      </c>
      <c r="S332" s="77">
        <f t="shared" si="126"/>
        <v>0</v>
      </c>
    </row>
    <row r="333" spans="1:19" s="15" customFormat="1">
      <c r="A333" s="7"/>
      <c r="B333" s="6" t="s">
        <v>238</v>
      </c>
      <c r="C333" s="18" t="s">
        <v>60</v>
      </c>
      <c r="D333" s="58"/>
      <c r="E333" s="18">
        <v>1</v>
      </c>
      <c r="F333" s="44">
        <f>VLOOKUP(B333,GiaVL!$B$4:'GiaVL'!$D$189,3,0)</f>
        <v>98800000</v>
      </c>
      <c r="G333" s="44">
        <f>F333/G$7</f>
        <v>49400</v>
      </c>
      <c r="H333" s="251">
        <v>0.74</v>
      </c>
      <c r="I333" s="251">
        <v>0.84</v>
      </c>
      <c r="J333" s="251">
        <v>1.1100000000000001</v>
      </c>
      <c r="K333" s="251">
        <v>1.23</v>
      </c>
      <c r="L333" s="251"/>
      <c r="M333" s="251"/>
      <c r="N333" s="62">
        <f t="shared" ref="N333:S335" si="127">$E333*$G333*H333</f>
        <v>36556</v>
      </c>
      <c r="O333" s="62">
        <f t="shared" si="127"/>
        <v>41496</v>
      </c>
      <c r="P333" s="62">
        <f t="shared" si="127"/>
        <v>54834.000000000007</v>
      </c>
      <c r="Q333" s="62">
        <f t="shared" si="127"/>
        <v>60762</v>
      </c>
      <c r="R333" s="62">
        <f t="shared" si="127"/>
        <v>0</v>
      </c>
      <c r="S333" s="75">
        <f t="shared" si="127"/>
        <v>0</v>
      </c>
    </row>
    <row r="334" spans="1:19">
      <c r="A334" s="7"/>
      <c r="B334" s="6" t="s">
        <v>670</v>
      </c>
      <c r="C334" s="18" t="s">
        <v>59</v>
      </c>
      <c r="D334" s="27"/>
      <c r="E334" s="18">
        <v>1</v>
      </c>
      <c r="F334" s="44">
        <f>VLOOKUP(B334,GiaVL!$B$4:'GiaVL'!$D$189,3,0)</f>
        <v>13900000</v>
      </c>
      <c r="G334" s="44">
        <f>F334/G$7</f>
        <v>6950</v>
      </c>
      <c r="H334" s="251">
        <v>0.74</v>
      </c>
      <c r="I334" s="251">
        <v>0.84</v>
      </c>
      <c r="J334" s="251">
        <v>1.1100000000000001</v>
      </c>
      <c r="K334" s="251">
        <v>1.23</v>
      </c>
      <c r="L334" s="251"/>
      <c r="M334" s="251"/>
      <c r="N334" s="62">
        <f>$E334*$G334*H334</f>
        <v>5143</v>
      </c>
      <c r="O334" s="62">
        <f t="shared" si="127"/>
        <v>5838</v>
      </c>
      <c r="P334" s="62">
        <f t="shared" si="127"/>
        <v>7714.5000000000009</v>
      </c>
      <c r="Q334" s="62">
        <f t="shared" si="127"/>
        <v>8548.5</v>
      </c>
      <c r="R334" s="62">
        <f t="shared" si="127"/>
        <v>0</v>
      </c>
      <c r="S334" s="75">
        <f t="shared" si="127"/>
        <v>0</v>
      </c>
    </row>
    <row r="335" spans="1:19" s="15" customFormat="1">
      <c r="A335" s="7"/>
      <c r="B335" s="6" t="s">
        <v>130</v>
      </c>
      <c r="C335" s="18" t="s">
        <v>59</v>
      </c>
      <c r="D335" s="58">
        <v>0.35</v>
      </c>
      <c r="E335" s="18">
        <v>1</v>
      </c>
      <c r="F335" s="44">
        <f>F330</f>
        <v>13800000</v>
      </c>
      <c r="G335" s="44">
        <f>F335/G$5</f>
        <v>3942.8571428571427</v>
      </c>
      <c r="H335" s="251">
        <v>0.06</v>
      </c>
      <c r="I335" s="251">
        <v>0.08</v>
      </c>
      <c r="J335" s="251">
        <v>0.09</v>
      </c>
      <c r="K335" s="251">
        <v>0.11</v>
      </c>
      <c r="L335" s="251"/>
      <c r="M335" s="251"/>
      <c r="N335" s="62">
        <f t="shared" si="127"/>
        <v>236.57142857142856</v>
      </c>
      <c r="O335" s="62">
        <f t="shared" si="127"/>
        <v>315.42857142857144</v>
      </c>
      <c r="P335" s="62">
        <f t="shared" si="127"/>
        <v>354.85714285714283</v>
      </c>
      <c r="Q335" s="62">
        <f t="shared" si="127"/>
        <v>433.71428571428572</v>
      </c>
      <c r="R335" s="62">
        <f t="shared" si="127"/>
        <v>0</v>
      </c>
      <c r="S335" s="75">
        <f t="shared" si="127"/>
        <v>0</v>
      </c>
    </row>
    <row r="336" spans="1:19" s="20" customFormat="1" ht="13.5">
      <c r="A336" s="46" t="s">
        <v>43</v>
      </c>
      <c r="B336" s="21" t="s">
        <v>612</v>
      </c>
      <c r="C336" s="22" t="s">
        <v>117</v>
      </c>
      <c r="D336" s="57">
        <v>1</v>
      </c>
      <c r="E336" s="47"/>
      <c r="F336" s="44">
        <f>VLOOKUP(B336,GiaVL!$B$4:'GiaVL'!$D$189,3,0)</f>
        <v>2226</v>
      </c>
      <c r="G336" s="48">
        <f>D336*F336</f>
        <v>2226</v>
      </c>
      <c r="H336" s="251">
        <v>0.16</v>
      </c>
      <c r="I336" s="251">
        <v>0.2</v>
      </c>
      <c r="J336" s="251">
        <v>0.23</v>
      </c>
      <c r="K336" s="251">
        <v>0.27</v>
      </c>
      <c r="L336" s="251"/>
      <c r="M336" s="251"/>
      <c r="N336" s="76">
        <f t="shared" ref="N336:S336" si="128">$G336*H336</f>
        <v>356.16</v>
      </c>
      <c r="O336" s="76">
        <f t="shared" si="128"/>
        <v>445.20000000000005</v>
      </c>
      <c r="P336" s="76">
        <f t="shared" si="128"/>
        <v>511.98</v>
      </c>
      <c r="Q336" s="76">
        <f t="shared" si="128"/>
        <v>601.0200000000001</v>
      </c>
      <c r="R336" s="76">
        <f t="shared" si="128"/>
        <v>0</v>
      </c>
      <c r="S336" s="74">
        <f t="shared" si="128"/>
        <v>0</v>
      </c>
    </row>
    <row r="337" spans="1:19" s="20" customFormat="1" ht="13.5">
      <c r="A337" s="46"/>
      <c r="B337" s="33"/>
      <c r="C337" s="12"/>
      <c r="D337" s="57"/>
      <c r="E337" s="47"/>
      <c r="F337" s="48"/>
      <c r="G337" s="48"/>
      <c r="H337" s="251"/>
      <c r="I337" s="251"/>
      <c r="J337" s="251"/>
      <c r="K337" s="251"/>
      <c r="L337" s="251"/>
      <c r="M337" s="251"/>
      <c r="N337" s="76"/>
      <c r="O337" s="76"/>
      <c r="P337" s="76"/>
      <c r="Q337" s="76"/>
      <c r="R337" s="76"/>
      <c r="S337" s="74"/>
    </row>
    <row r="338" spans="1:19" s="20" customFormat="1" ht="13.5">
      <c r="A338" s="46"/>
      <c r="B338" s="115" t="s">
        <v>283</v>
      </c>
      <c r="C338" s="116"/>
      <c r="D338" s="117"/>
      <c r="E338" s="118"/>
      <c r="F338" s="119"/>
      <c r="G338" s="119"/>
      <c r="H338" s="261"/>
      <c r="I338" s="261"/>
      <c r="J338" s="261"/>
      <c r="K338" s="261"/>
      <c r="L338" s="261"/>
      <c r="M338" s="261"/>
      <c r="N338" s="62"/>
      <c r="O338" s="62"/>
      <c r="P338" s="62"/>
      <c r="Q338" s="62"/>
      <c r="R338" s="62"/>
      <c r="S338" s="120"/>
    </row>
    <row r="339" spans="1:19" s="20" customFormat="1" ht="39.75" customHeight="1">
      <c r="A339" s="46"/>
      <c r="B339" s="1166" t="s">
        <v>417</v>
      </c>
      <c r="C339" s="1166"/>
      <c r="D339" s="1166"/>
      <c r="E339" s="1166"/>
      <c r="F339" s="1166"/>
      <c r="G339" s="1166"/>
      <c r="H339" s="1166"/>
      <c r="I339" s="1166"/>
      <c r="J339" s="1166"/>
      <c r="K339" s="1166"/>
      <c r="L339" s="1166"/>
      <c r="M339" s="1166"/>
      <c r="N339" s="1166"/>
      <c r="O339" s="1166"/>
      <c r="P339" s="1166"/>
      <c r="Q339" s="1166"/>
      <c r="R339" s="1166"/>
      <c r="S339" s="1167"/>
    </row>
    <row r="340" spans="1:19" s="15" customFormat="1">
      <c r="A340" s="7"/>
      <c r="B340" s="6"/>
      <c r="C340" s="18"/>
      <c r="D340" s="58"/>
      <c r="E340" s="18"/>
      <c r="F340" s="44"/>
      <c r="G340" s="44"/>
      <c r="H340" s="251"/>
      <c r="I340" s="251"/>
      <c r="J340" s="251"/>
      <c r="K340" s="251"/>
      <c r="L340" s="251"/>
      <c r="M340" s="251"/>
      <c r="N340" s="62"/>
      <c r="O340" s="62"/>
      <c r="P340" s="62"/>
      <c r="Q340" s="62"/>
      <c r="R340" s="62"/>
      <c r="S340" s="75"/>
    </row>
    <row r="341" spans="1:19" s="15" customFormat="1">
      <c r="A341" s="8">
        <v>2.2000000000000002</v>
      </c>
      <c r="B341" s="9" t="s">
        <v>525</v>
      </c>
      <c r="C341" s="25"/>
      <c r="D341" s="56"/>
      <c r="E341" s="25"/>
      <c r="F341" s="45"/>
      <c r="G341" s="45"/>
      <c r="H341" s="249"/>
      <c r="I341" s="249"/>
      <c r="J341" s="249"/>
      <c r="K341" s="249"/>
      <c r="L341" s="249"/>
      <c r="M341" s="249"/>
      <c r="N341" s="76"/>
      <c r="O341" s="76"/>
      <c r="P341" s="76"/>
      <c r="Q341" s="76"/>
      <c r="R341" s="76"/>
      <c r="S341" s="77"/>
    </row>
    <row r="342" spans="1:19" s="15" customFormat="1">
      <c r="A342" s="31" t="s">
        <v>27</v>
      </c>
      <c r="B342" s="9" t="s">
        <v>230</v>
      </c>
      <c r="C342" s="25"/>
      <c r="D342" s="56"/>
      <c r="E342" s="25"/>
      <c r="F342" s="45"/>
      <c r="G342" s="45"/>
      <c r="H342" s="249"/>
      <c r="I342" s="249"/>
      <c r="J342" s="249"/>
      <c r="K342" s="249"/>
      <c r="L342" s="249"/>
      <c r="M342" s="249"/>
      <c r="N342" s="76">
        <f t="shared" ref="N342:S342" si="129">SUM(N343:N345)</f>
        <v>773626.28571428568</v>
      </c>
      <c r="O342" s="76">
        <f t="shared" si="129"/>
        <v>966697.00000000012</v>
      </c>
      <c r="P342" s="76">
        <f t="shared" si="129"/>
        <v>1289308.142857143</v>
      </c>
      <c r="Q342" s="76">
        <f t="shared" si="129"/>
        <v>1547183.5714285714</v>
      </c>
      <c r="R342" s="76">
        <f t="shared" si="129"/>
        <v>0</v>
      </c>
      <c r="S342" s="77">
        <f t="shared" si="129"/>
        <v>0</v>
      </c>
    </row>
    <row r="343" spans="1:19" s="15" customFormat="1">
      <c r="A343" s="7"/>
      <c r="B343" s="6" t="s">
        <v>238</v>
      </c>
      <c r="C343" s="18" t="s">
        <v>60</v>
      </c>
      <c r="D343" s="58"/>
      <c r="E343" s="18">
        <v>1</v>
      </c>
      <c r="F343" s="44">
        <f>VLOOKUP(B343,GiaVL!$B$4:'GiaVL'!$D$189,3,0)</f>
        <v>98800000</v>
      </c>
      <c r="G343" s="44">
        <f>F343/G$7</f>
        <v>49400</v>
      </c>
      <c r="H343" s="251">
        <v>14.34</v>
      </c>
      <c r="I343" s="252">
        <v>17.920000000000002</v>
      </c>
      <c r="J343" s="251">
        <v>23.9</v>
      </c>
      <c r="K343" s="251">
        <v>28.68</v>
      </c>
      <c r="L343" s="251"/>
      <c r="M343" s="251"/>
      <c r="N343" s="62">
        <f t="shared" ref="N343:S345" si="130">$E343*$G343*H343</f>
        <v>708396</v>
      </c>
      <c r="O343" s="62">
        <f t="shared" si="130"/>
        <v>885248.00000000012</v>
      </c>
      <c r="P343" s="62">
        <f t="shared" si="130"/>
        <v>1180660</v>
      </c>
      <c r="Q343" s="62">
        <f t="shared" si="130"/>
        <v>1416792</v>
      </c>
      <c r="R343" s="62">
        <f t="shared" si="130"/>
        <v>0</v>
      </c>
      <c r="S343" s="75">
        <f t="shared" si="130"/>
        <v>0</v>
      </c>
    </row>
    <row r="344" spans="1:19">
      <c r="A344" s="7"/>
      <c r="B344" s="6" t="s">
        <v>670</v>
      </c>
      <c r="C344" s="18" t="s">
        <v>59</v>
      </c>
      <c r="D344" s="58">
        <v>0.35</v>
      </c>
      <c r="E344" s="18">
        <v>1</v>
      </c>
      <c r="F344" s="44">
        <f>VLOOKUP(B344,GiaVL!$B$4:'GiaVL'!$D$189,3,0)</f>
        <v>13900000</v>
      </c>
      <c r="G344" s="44">
        <f>F344/G$5</f>
        <v>3971.4285714285716</v>
      </c>
      <c r="H344" s="251">
        <v>14.34</v>
      </c>
      <c r="I344" s="252">
        <v>17.920000000000002</v>
      </c>
      <c r="J344" s="251">
        <v>23.9</v>
      </c>
      <c r="K344" s="251">
        <v>28.68</v>
      </c>
      <c r="L344" s="251"/>
      <c r="M344" s="251"/>
      <c r="N344" s="62">
        <f t="shared" si="130"/>
        <v>56950.285714285717</v>
      </c>
      <c r="O344" s="62">
        <f t="shared" si="130"/>
        <v>71168.000000000015</v>
      </c>
      <c r="P344" s="62">
        <f t="shared" si="130"/>
        <v>94917.142857142855</v>
      </c>
      <c r="Q344" s="62">
        <f t="shared" si="130"/>
        <v>113900.57142857143</v>
      </c>
      <c r="R344" s="62">
        <f t="shared" si="130"/>
        <v>0</v>
      </c>
      <c r="S344" s="75">
        <f t="shared" si="130"/>
        <v>0</v>
      </c>
    </row>
    <row r="345" spans="1:19">
      <c r="A345" s="7"/>
      <c r="B345" s="6" t="s">
        <v>130</v>
      </c>
      <c r="C345" s="18" t="s">
        <v>59</v>
      </c>
      <c r="D345" s="58"/>
      <c r="E345" s="18">
        <v>1</v>
      </c>
      <c r="F345" s="44">
        <f>F335</f>
        <v>13800000</v>
      </c>
      <c r="G345" s="44">
        <f>F345/G$7</f>
        <v>6900</v>
      </c>
      <c r="H345" s="251">
        <v>1.2</v>
      </c>
      <c r="I345" s="252">
        <v>1.49</v>
      </c>
      <c r="J345" s="251">
        <v>1.99</v>
      </c>
      <c r="K345" s="251">
        <v>2.39</v>
      </c>
      <c r="L345" s="251"/>
      <c r="M345" s="251"/>
      <c r="N345" s="62">
        <f t="shared" si="130"/>
        <v>8280</v>
      </c>
      <c r="O345" s="62">
        <f t="shared" si="130"/>
        <v>10281</v>
      </c>
      <c r="P345" s="62">
        <f t="shared" si="130"/>
        <v>13731</v>
      </c>
      <c r="Q345" s="62">
        <f t="shared" si="130"/>
        <v>16491</v>
      </c>
      <c r="R345" s="62">
        <f t="shared" si="130"/>
        <v>0</v>
      </c>
      <c r="S345" s="75">
        <f t="shared" si="130"/>
        <v>0</v>
      </c>
    </row>
    <row r="346" spans="1:19" s="20" customFormat="1" ht="13.5">
      <c r="A346" s="46" t="s">
        <v>43</v>
      </c>
      <c r="B346" s="21" t="s">
        <v>612</v>
      </c>
      <c r="C346" s="22" t="s">
        <v>117</v>
      </c>
      <c r="D346" s="57">
        <v>1</v>
      </c>
      <c r="E346" s="47"/>
      <c r="F346" s="44">
        <f>VLOOKUP(B346,GiaVL!$B$4:'GiaVL'!$D$189,3,0)</f>
        <v>2226</v>
      </c>
      <c r="G346" s="48">
        <f>D346*F346</f>
        <v>2226</v>
      </c>
      <c r="H346" s="251">
        <v>3.5</v>
      </c>
      <c r="I346" s="252">
        <v>4.4000000000000004</v>
      </c>
      <c r="J346" s="251">
        <v>5.9</v>
      </c>
      <c r="K346" s="251">
        <v>7</v>
      </c>
      <c r="L346" s="250"/>
      <c r="M346" s="250"/>
      <c r="N346" s="76">
        <f t="shared" ref="N346:S346" si="131">$G346*H346</f>
        <v>7791</v>
      </c>
      <c r="O346" s="76">
        <f t="shared" si="131"/>
        <v>9794.4000000000015</v>
      </c>
      <c r="P346" s="76">
        <f t="shared" si="131"/>
        <v>13133.400000000001</v>
      </c>
      <c r="Q346" s="76">
        <f t="shared" si="131"/>
        <v>15582</v>
      </c>
      <c r="R346" s="76">
        <f t="shared" si="131"/>
        <v>0</v>
      </c>
      <c r="S346" s="74">
        <f t="shared" si="131"/>
        <v>0</v>
      </c>
    </row>
    <row r="347" spans="1:19" s="16" customFormat="1">
      <c r="A347" s="8" t="s">
        <v>28</v>
      </c>
      <c r="B347" s="9" t="s">
        <v>231</v>
      </c>
      <c r="C347" s="25"/>
      <c r="D347" s="56"/>
      <c r="E347" s="25"/>
      <c r="F347" s="45"/>
      <c r="G347" s="45"/>
      <c r="H347" s="249" t="s">
        <v>199</v>
      </c>
      <c r="I347" s="249" t="s">
        <v>199</v>
      </c>
      <c r="J347" s="249" t="s">
        <v>199</v>
      </c>
      <c r="K347" s="249" t="s">
        <v>199</v>
      </c>
      <c r="L347" s="249"/>
      <c r="M347" s="249"/>
      <c r="N347" s="76">
        <f t="shared" ref="N347:S347" si="132">SUM(N348:N350)</f>
        <v>567336.07142857148</v>
      </c>
      <c r="O347" s="76">
        <f t="shared" si="132"/>
        <v>709039.07142857148</v>
      </c>
      <c r="P347" s="76">
        <f t="shared" si="132"/>
        <v>945398.57142857148</v>
      </c>
      <c r="Q347" s="76">
        <f t="shared" si="132"/>
        <v>1276414.5714285714</v>
      </c>
      <c r="R347" s="76">
        <f t="shared" si="132"/>
        <v>1607391.142857143</v>
      </c>
      <c r="S347" s="77">
        <f t="shared" si="132"/>
        <v>0</v>
      </c>
    </row>
    <row r="348" spans="1:19">
      <c r="A348" s="7"/>
      <c r="B348" s="6" t="s">
        <v>238</v>
      </c>
      <c r="C348" s="18" t="s">
        <v>60</v>
      </c>
      <c r="D348" s="58"/>
      <c r="E348" s="18">
        <v>1</v>
      </c>
      <c r="F348" s="44">
        <f>VLOOKUP(B348,GiaVL!$B$4:'GiaVL'!$D$189,3,0)</f>
        <v>98800000</v>
      </c>
      <c r="G348" s="44">
        <f>F348/G$7</f>
        <v>49400</v>
      </c>
      <c r="H348" s="251">
        <v>10.01</v>
      </c>
      <c r="I348" s="251">
        <v>12.51</v>
      </c>
      <c r="J348" s="251">
        <v>16.68</v>
      </c>
      <c r="K348" s="251">
        <v>22.52</v>
      </c>
      <c r="L348" s="251">
        <v>28.36</v>
      </c>
      <c r="M348" s="251"/>
      <c r="N348" s="62">
        <f t="shared" ref="N348:S350" si="133">$E348*$G348*H348</f>
        <v>494494</v>
      </c>
      <c r="O348" s="62">
        <f t="shared" si="133"/>
        <v>617994</v>
      </c>
      <c r="P348" s="62">
        <f t="shared" si="133"/>
        <v>823992</v>
      </c>
      <c r="Q348" s="62">
        <f t="shared" si="133"/>
        <v>1112488</v>
      </c>
      <c r="R348" s="62">
        <f t="shared" si="133"/>
        <v>1400984</v>
      </c>
      <c r="S348" s="75">
        <f t="shared" si="133"/>
        <v>0</v>
      </c>
    </row>
    <row r="349" spans="1:19">
      <c r="A349" s="7"/>
      <c r="B349" s="6" t="s">
        <v>670</v>
      </c>
      <c r="C349" s="18" t="s">
        <v>59</v>
      </c>
      <c r="D349" s="58">
        <v>0.35</v>
      </c>
      <c r="E349" s="18">
        <v>1</v>
      </c>
      <c r="F349" s="44">
        <f>VLOOKUP(B349,GiaVL!$B$4:'GiaVL'!$D$189,3,0)</f>
        <v>13900000</v>
      </c>
      <c r="G349" s="44">
        <f>F349/G$7</f>
        <v>6950</v>
      </c>
      <c r="H349" s="251">
        <v>10.01</v>
      </c>
      <c r="I349" s="251">
        <v>12.51</v>
      </c>
      <c r="J349" s="251">
        <v>16.68</v>
      </c>
      <c r="K349" s="251">
        <v>22.52</v>
      </c>
      <c r="L349" s="251">
        <v>28.36</v>
      </c>
      <c r="M349" s="251"/>
      <c r="N349" s="62">
        <f t="shared" si="133"/>
        <v>69569.5</v>
      </c>
      <c r="O349" s="62">
        <f t="shared" si="133"/>
        <v>86944.5</v>
      </c>
      <c r="P349" s="62">
        <f t="shared" si="133"/>
        <v>115926</v>
      </c>
      <c r="Q349" s="62">
        <f t="shared" si="133"/>
        <v>156514</v>
      </c>
      <c r="R349" s="62">
        <f t="shared" si="133"/>
        <v>197102</v>
      </c>
      <c r="S349" s="75">
        <f t="shared" si="133"/>
        <v>0</v>
      </c>
    </row>
    <row r="350" spans="1:19">
      <c r="A350" s="7"/>
      <c r="B350" s="6" t="s">
        <v>130</v>
      </c>
      <c r="C350" s="18" t="s">
        <v>59</v>
      </c>
      <c r="D350" s="58"/>
      <c r="E350" s="18">
        <v>1</v>
      </c>
      <c r="F350" s="44">
        <f>F345</f>
        <v>13800000</v>
      </c>
      <c r="G350" s="44">
        <f>F350/G$5</f>
        <v>3942.8571428571427</v>
      </c>
      <c r="H350" s="251">
        <v>0.83</v>
      </c>
      <c r="I350" s="251">
        <v>1.04</v>
      </c>
      <c r="J350" s="251">
        <v>1.39</v>
      </c>
      <c r="K350" s="251">
        <v>1.88</v>
      </c>
      <c r="L350" s="251">
        <v>2.36</v>
      </c>
      <c r="M350" s="251"/>
      <c r="N350" s="62">
        <f t="shared" si="133"/>
        <v>3272.5714285714284</v>
      </c>
      <c r="O350" s="62">
        <f t="shared" si="133"/>
        <v>4100.5714285714284</v>
      </c>
      <c r="P350" s="62">
        <f t="shared" si="133"/>
        <v>5480.5714285714275</v>
      </c>
      <c r="Q350" s="62">
        <f t="shared" si="133"/>
        <v>7412.5714285714275</v>
      </c>
      <c r="R350" s="62">
        <f t="shared" si="133"/>
        <v>9305.1428571428569</v>
      </c>
      <c r="S350" s="75">
        <f t="shared" si="133"/>
        <v>0</v>
      </c>
    </row>
    <row r="351" spans="1:19" s="20" customFormat="1" ht="13.5">
      <c r="A351" s="46" t="s">
        <v>43</v>
      </c>
      <c r="B351" s="21" t="s">
        <v>612</v>
      </c>
      <c r="C351" s="22" t="s">
        <v>117</v>
      </c>
      <c r="D351" s="57">
        <v>1</v>
      </c>
      <c r="E351" s="47"/>
      <c r="F351" s="44">
        <f>VLOOKUP(B351,GiaVL!$B$4:'GiaVL'!$D$189,3,0)</f>
        <v>2226</v>
      </c>
      <c r="G351" s="48">
        <f>D351*F351</f>
        <v>2226</v>
      </c>
      <c r="H351" s="251">
        <v>2.5</v>
      </c>
      <c r="I351" s="251">
        <v>3.1</v>
      </c>
      <c r="J351" s="251">
        <v>4.0999999999999996</v>
      </c>
      <c r="K351" s="251">
        <v>5.5</v>
      </c>
      <c r="L351" s="251">
        <v>6.9</v>
      </c>
      <c r="M351" s="251"/>
      <c r="N351" s="76">
        <f t="shared" ref="N351:S351" si="134">$G351*H351</f>
        <v>5565</v>
      </c>
      <c r="O351" s="76">
        <f t="shared" si="134"/>
        <v>6900.6</v>
      </c>
      <c r="P351" s="76">
        <f t="shared" si="134"/>
        <v>9126.5999999999985</v>
      </c>
      <c r="Q351" s="76">
        <f t="shared" si="134"/>
        <v>12243</v>
      </c>
      <c r="R351" s="76">
        <f t="shared" si="134"/>
        <v>15359.400000000001</v>
      </c>
      <c r="S351" s="74">
        <f t="shared" si="134"/>
        <v>0</v>
      </c>
    </row>
    <row r="352" spans="1:19" s="16" customFormat="1">
      <c r="A352" s="8" t="s">
        <v>29</v>
      </c>
      <c r="B352" s="9" t="s">
        <v>232</v>
      </c>
      <c r="C352" s="25"/>
      <c r="D352" s="56"/>
      <c r="E352" s="25"/>
      <c r="F352" s="45"/>
      <c r="G352" s="45"/>
      <c r="H352" s="249" t="s">
        <v>199</v>
      </c>
      <c r="I352" s="249" t="s">
        <v>199</v>
      </c>
      <c r="J352" s="249" t="s">
        <v>199</v>
      </c>
      <c r="K352" s="249" t="s">
        <v>199</v>
      </c>
      <c r="L352" s="249" t="s">
        <v>199</v>
      </c>
      <c r="M352" s="249"/>
      <c r="N352" s="76">
        <f t="shared" ref="N352:S352" si="135">SUM(N353:N355)</f>
        <v>228994.57142857142</v>
      </c>
      <c r="O352" s="76">
        <f t="shared" si="135"/>
        <v>286223.5</v>
      </c>
      <c r="P352" s="76">
        <f t="shared" si="135"/>
        <v>380919.42857142858</v>
      </c>
      <c r="Q352" s="76">
        <f t="shared" si="135"/>
        <v>515218.07142857142</v>
      </c>
      <c r="R352" s="76">
        <f t="shared" si="135"/>
        <v>667142.92857142852</v>
      </c>
      <c r="S352" s="77">
        <f t="shared" si="135"/>
        <v>0</v>
      </c>
    </row>
    <row r="353" spans="1:19">
      <c r="A353" s="7"/>
      <c r="B353" s="6" t="s">
        <v>238</v>
      </c>
      <c r="C353" s="18" t="s">
        <v>60</v>
      </c>
      <c r="D353" s="58"/>
      <c r="E353" s="18">
        <v>1</v>
      </c>
      <c r="F353" s="44">
        <f>VLOOKUP(B353,GiaVL!$B$4:'GiaVL'!$D$189,3,0)</f>
        <v>98800000</v>
      </c>
      <c r="G353" s="44">
        <f>F353/G$7</f>
        <v>49400</v>
      </c>
      <c r="H353" s="251">
        <v>4.04</v>
      </c>
      <c r="I353" s="251">
        <v>5.05</v>
      </c>
      <c r="J353" s="251">
        <v>6.72</v>
      </c>
      <c r="K353" s="251">
        <v>9.09</v>
      </c>
      <c r="L353" s="251">
        <v>11.77</v>
      </c>
      <c r="M353" s="251"/>
      <c r="N353" s="62">
        <f t="shared" ref="N353:S355" si="136">$E353*$G353*H353</f>
        <v>199576</v>
      </c>
      <c r="O353" s="62">
        <f t="shared" si="136"/>
        <v>249470</v>
      </c>
      <c r="P353" s="62">
        <f t="shared" si="136"/>
        <v>331968</v>
      </c>
      <c r="Q353" s="62">
        <f t="shared" si="136"/>
        <v>449046</v>
      </c>
      <c r="R353" s="62">
        <f t="shared" si="136"/>
        <v>581438</v>
      </c>
      <c r="S353" s="75">
        <f t="shared" si="136"/>
        <v>0</v>
      </c>
    </row>
    <row r="354" spans="1:19">
      <c r="A354" s="7"/>
      <c r="B354" s="6" t="s">
        <v>670</v>
      </c>
      <c r="C354" s="18" t="s">
        <v>59</v>
      </c>
      <c r="D354" s="58">
        <v>0.35</v>
      </c>
      <c r="E354" s="18">
        <v>1</v>
      </c>
      <c r="F354" s="44">
        <f>VLOOKUP(B354,GiaVL!$B$4:'GiaVL'!$D$189,3,0)</f>
        <v>13900000</v>
      </c>
      <c r="G354" s="44">
        <f>F354/G$7</f>
        <v>6950</v>
      </c>
      <c r="H354" s="251">
        <v>4.04</v>
      </c>
      <c r="I354" s="251">
        <v>5.05</v>
      </c>
      <c r="J354" s="251">
        <v>6.72</v>
      </c>
      <c r="K354" s="251">
        <v>9.09</v>
      </c>
      <c r="L354" s="251">
        <v>11.77</v>
      </c>
      <c r="M354" s="251"/>
      <c r="N354" s="62">
        <f t="shared" si="136"/>
        <v>28078</v>
      </c>
      <c r="O354" s="62">
        <f t="shared" si="136"/>
        <v>35097.5</v>
      </c>
      <c r="P354" s="62">
        <f t="shared" si="136"/>
        <v>46704</v>
      </c>
      <c r="Q354" s="62">
        <f t="shared" si="136"/>
        <v>63175.5</v>
      </c>
      <c r="R354" s="62">
        <f t="shared" si="136"/>
        <v>81801.5</v>
      </c>
      <c r="S354" s="75">
        <f t="shared" si="136"/>
        <v>0</v>
      </c>
    </row>
    <row r="355" spans="1:19" s="16" customFormat="1">
      <c r="A355" s="7"/>
      <c r="B355" s="6" t="s">
        <v>130</v>
      </c>
      <c r="C355" s="18" t="s">
        <v>59</v>
      </c>
      <c r="D355" s="58"/>
      <c r="E355" s="18">
        <v>1</v>
      </c>
      <c r="F355" s="44">
        <f>F350</f>
        <v>13800000</v>
      </c>
      <c r="G355" s="44">
        <f>F355/G$5</f>
        <v>3942.8571428571427</v>
      </c>
      <c r="H355" s="251">
        <v>0.34</v>
      </c>
      <c r="I355" s="251">
        <v>0.42</v>
      </c>
      <c r="J355" s="251">
        <v>0.56999999999999995</v>
      </c>
      <c r="K355" s="251">
        <v>0.76</v>
      </c>
      <c r="L355" s="251">
        <v>0.99</v>
      </c>
      <c r="M355" s="251"/>
      <c r="N355" s="62">
        <f t="shared" si="136"/>
        <v>1340.5714285714287</v>
      </c>
      <c r="O355" s="62">
        <f t="shared" si="136"/>
        <v>1655.9999999999998</v>
      </c>
      <c r="P355" s="62">
        <f t="shared" si="136"/>
        <v>2247.4285714285711</v>
      </c>
      <c r="Q355" s="62">
        <f t="shared" si="136"/>
        <v>2996.5714285714284</v>
      </c>
      <c r="R355" s="62">
        <f t="shared" si="136"/>
        <v>3903.4285714285711</v>
      </c>
      <c r="S355" s="75">
        <f t="shared" si="136"/>
        <v>0</v>
      </c>
    </row>
    <row r="356" spans="1:19" s="20" customFormat="1" ht="13.5">
      <c r="A356" s="46" t="s">
        <v>43</v>
      </c>
      <c r="B356" s="21" t="s">
        <v>612</v>
      </c>
      <c r="C356" s="22" t="s">
        <v>117</v>
      </c>
      <c r="D356" s="57">
        <v>1</v>
      </c>
      <c r="E356" s="47"/>
      <c r="F356" s="44">
        <f>VLOOKUP(B356,GiaVL!$B$4:'GiaVL'!$D$189,3,0)</f>
        <v>2226</v>
      </c>
      <c r="G356" s="48">
        <f>D356*F356</f>
        <v>2226</v>
      </c>
      <c r="H356" s="251">
        <v>0.95</v>
      </c>
      <c r="I356" s="251">
        <v>1.22</v>
      </c>
      <c r="J356" s="251">
        <v>1.62</v>
      </c>
      <c r="K356" s="251">
        <v>2.16</v>
      </c>
      <c r="L356" s="251">
        <v>2.84</v>
      </c>
      <c r="M356" s="251"/>
      <c r="N356" s="76">
        <f t="shared" ref="N356:S356" si="137">$G356*H356</f>
        <v>2114.6999999999998</v>
      </c>
      <c r="O356" s="76">
        <f t="shared" si="137"/>
        <v>2715.72</v>
      </c>
      <c r="P356" s="76">
        <f t="shared" si="137"/>
        <v>3606.1200000000003</v>
      </c>
      <c r="Q356" s="76">
        <f t="shared" si="137"/>
        <v>4808.1600000000008</v>
      </c>
      <c r="R356" s="76">
        <f t="shared" si="137"/>
        <v>6321.8399999999992</v>
      </c>
      <c r="S356" s="74">
        <f t="shared" si="137"/>
        <v>0</v>
      </c>
    </row>
    <row r="357" spans="1:19" s="16" customFormat="1">
      <c r="A357" s="8" t="s">
        <v>30</v>
      </c>
      <c r="B357" s="9" t="s">
        <v>233</v>
      </c>
      <c r="C357" s="25"/>
      <c r="D357" s="56"/>
      <c r="E357" s="25"/>
      <c r="F357" s="45"/>
      <c r="G357" s="45"/>
      <c r="H357" s="249" t="s">
        <v>199</v>
      </c>
      <c r="I357" s="249" t="s">
        <v>199</v>
      </c>
      <c r="J357" s="249" t="s">
        <v>199</v>
      </c>
      <c r="K357" s="249" t="s">
        <v>199</v>
      </c>
      <c r="L357" s="251" t="s">
        <v>199</v>
      </c>
      <c r="M357" s="251"/>
      <c r="N357" s="76">
        <f t="shared" ref="N357:S357" si="138">SUM(N358:N360)</f>
        <v>237486.50000000003</v>
      </c>
      <c r="O357" s="76">
        <f t="shared" si="138"/>
        <v>316849.64285714284</v>
      </c>
      <c r="P357" s="76">
        <f t="shared" si="138"/>
        <v>395609.85714285716</v>
      </c>
      <c r="Q357" s="76">
        <f t="shared" si="138"/>
        <v>494813.78571428574</v>
      </c>
      <c r="R357" s="76">
        <f t="shared" si="138"/>
        <v>688597</v>
      </c>
      <c r="S357" s="77">
        <f t="shared" si="138"/>
        <v>0</v>
      </c>
    </row>
    <row r="358" spans="1:19">
      <c r="A358" s="7"/>
      <c r="B358" s="6" t="s">
        <v>238</v>
      </c>
      <c r="C358" s="18" t="s">
        <v>60</v>
      </c>
      <c r="D358" s="58"/>
      <c r="E358" s="18">
        <v>1</v>
      </c>
      <c r="F358" s="44">
        <f>VLOOKUP(B358,GiaVL!$B$4:'GiaVL'!$D$189,3,0)</f>
        <v>98800000</v>
      </c>
      <c r="G358" s="44">
        <f>F358/G$7</f>
        <v>49400</v>
      </c>
      <c r="H358" s="251">
        <v>4.1900000000000004</v>
      </c>
      <c r="I358" s="251">
        <v>5.59</v>
      </c>
      <c r="J358" s="251">
        <v>6.98</v>
      </c>
      <c r="K358" s="251">
        <v>8.73</v>
      </c>
      <c r="L358" s="251">
        <v>12.22</v>
      </c>
      <c r="M358" s="251"/>
      <c r="N358" s="62">
        <f t="shared" ref="N358:S360" si="139">$E358*$G358*H358</f>
        <v>206986.00000000003</v>
      </c>
      <c r="O358" s="62">
        <f t="shared" si="139"/>
        <v>276146</v>
      </c>
      <c r="P358" s="62">
        <f t="shared" si="139"/>
        <v>344812</v>
      </c>
      <c r="Q358" s="62">
        <f t="shared" si="139"/>
        <v>431262</v>
      </c>
      <c r="R358" s="62">
        <f t="shared" si="139"/>
        <v>603668</v>
      </c>
      <c r="S358" s="75">
        <f t="shared" si="139"/>
        <v>0</v>
      </c>
    </row>
    <row r="359" spans="1:19">
      <c r="A359" s="7"/>
      <c r="B359" s="6" t="s">
        <v>670</v>
      </c>
      <c r="C359" s="18" t="s">
        <v>59</v>
      </c>
      <c r="D359" s="58">
        <v>0.35</v>
      </c>
      <c r="E359" s="18">
        <v>1</v>
      </c>
      <c r="F359" s="44">
        <f>VLOOKUP(B359,GiaVL!$B$4:'GiaVL'!$D$189,3,0)</f>
        <v>13900000</v>
      </c>
      <c r="G359" s="44">
        <f>F359/G$7</f>
        <v>6950</v>
      </c>
      <c r="H359" s="251">
        <v>4.1900000000000004</v>
      </c>
      <c r="I359" s="251">
        <v>5.59</v>
      </c>
      <c r="J359" s="251">
        <v>6.98</v>
      </c>
      <c r="K359" s="251">
        <v>8.73</v>
      </c>
      <c r="L359" s="251">
        <v>12.22</v>
      </c>
      <c r="M359" s="251"/>
      <c r="N359" s="62">
        <f t="shared" si="139"/>
        <v>29120.500000000004</v>
      </c>
      <c r="O359" s="62">
        <f t="shared" si="139"/>
        <v>38850.5</v>
      </c>
      <c r="P359" s="62">
        <f t="shared" si="139"/>
        <v>48511</v>
      </c>
      <c r="Q359" s="62">
        <f t="shared" si="139"/>
        <v>60673.5</v>
      </c>
      <c r="R359" s="62">
        <f t="shared" si="139"/>
        <v>84929</v>
      </c>
      <c r="S359" s="75">
        <f t="shared" si="139"/>
        <v>0</v>
      </c>
    </row>
    <row r="360" spans="1:19" s="15" customFormat="1">
      <c r="A360" s="7"/>
      <c r="B360" s="6" t="s">
        <v>130</v>
      </c>
      <c r="C360" s="18" t="s">
        <v>59</v>
      </c>
      <c r="D360" s="58"/>
      <c r="E360" s="18">
        <v>1</v>
      </c>
      <c r="F360" s="44">
        <f>F355</f>
        <v>13800000</v>
      </c>
      <c r="G360" s="44">
        <f>F360/G$5</f>
        <v>3942.8571428571427</v>
      </c>
      <c r="H360" s="251">
        <v>0.35</v>
      </c>
      <c r="I360" s="251">
        <v>0.47</v>
      </c>
      <c r="J360" s="251">
        <v>0.57999999999999996</v>
      </c>
      <c r="K360" s="251">
        <v>0.73</v>
      </c>
      <c r="L360" s="251"/>
      <c r="M360" s="251"/>
      <c r="N360" s="62">
        <f t="shared" si="139"/>
        <v>1379.9999999999998</v>
      </c>
      <c r="O360" s="62">
        <f t="shared" si="139"/>
        <v>1853.1428571428569</v>
      </c>
      <c r="P360" s="62">
        <f t="shared" si="139"/>
        <v>2286.8571428571427</v>
      </c>
      <c r="Q360" s="62">
        <f t="shared" si="139"/>
        <v>2878.2857142857142</v>
      </c>
      <c r="R360" s="62">
        <f t="shared" si="139"/>
        <v>0</v>
      </c>
      <c r="S360" s="75">
        <f t="shared" si="139"/>
        <v>0</v>
      </c>
    </row>
    <row r="361" spans="1:19" s="20" customFormat="1" ht="13.5">
      <c r="A361" s="46" t="s">
        <v>43</v>
      </c>
      <c r="B361" s="21" t="s">
        <v>612</v>
      </c>
      <c r="C361" s="22" t="s">
        <v>117</v>
      </c>
      <c r="D361" s="57">
        <v>1</v>
      </c>
      <c r="E361" s="47"/>
      <c r="F361" s="44">
        <f>VLOOKUP(B361,GiaVL!$B$4:'GiaVL'!$D$189,3,0)</f>
        <v>2226</v>
      </c>
      <c r="G361" s="48">
        <f>D361*F361</f>
        <v>2226</v>
      </c>
      <c r="H361" s="251">
        <v>1.08</v>
      </c>
      <c r="I361" s="251">
        <v>1.35</v>
      </c>
      <c r="J361" s="251">
        <v>1.76</v>
      </c>
      <c r="K361" s="251">
        <v>2.16</v>
      </c>
      <c r="L361" s="251"/>
      <c r="M361" s="251"/>
      <c r="N361" s="76">
        <f t="shared" ref="N361:S361" si="140">$G361*H361</f>
        <v>2404.0800000000004</v>
      </c>
      <c r="O361" s="76">
        <f t="shared" si="140"/>
        <v>3005.1000000000004</v>
      </c>
      <c r="P361" s="76">
        <f t="shared" si="140"/>
        <v>3917.76</v>
      </c>
      <c r="Q361" s="76">
        <f t="shared" si="140"/>
        <v>4808.1600000000008</v>
      </c>
      <c r="R361" s="76">
        <f t="shared" si="140"/>
        <v>0</v>
      </c>
      <c r="S361" s="74">
        <f t="shared" si="140"/>
        <v>0</v>
      </c>
    </row>
    <row r="362" spans="1:19" s="15" customFormat="1">
      <c r="A362" s="8" t="s">
        <v>31</v>
      </c>
      <c r="B362" s="9" t="s">
        <v>234</v>
      </c>
      <c r="C362" s="25"/>
      <c r="D362" s="56"/>
      <c r="E362" s="25"/>
      <c r="F362" s="45"/>
      <c r="G362" s="45"/>
      <c r="H362" s="249" t="s">
        <v>199</v>
      </c>
      <c r="I362" s="249" t="s">
        <v>199</v>
      </c>
      <c r="J362" s="249" t="s">
        <v>199</v>
      </c>
      <c r="K362" s="249" t="s">
        <v>199</v>
      </c>
      <c r="L362" s="249"/>
      <c r="M362" s="249"/>
      <c r="N362" s="76">
        <f t="shared" ref="N362:S362" si="141">SUM(N363:N365)</f>
        <v>340071.42857142858</v>
      </c>
      <c r="O362" s="76">
        <f t="shared" si="141"/>
        <v>392228.85714285716</v>
      </c>
      <c r="P362" s="76">
        <f t="shared" si="141"/>
        <v>523146.5</v>
      </c>
      <c r="Q362" s="76">
        <f t="shared" si="141"/>
        <v>575867.42857142852</v>
      </c>
      <c r="R362" s="76">
        <f t="shared" si="141"/>
        <v>0</v>
      </c>
      <c r="S362" s="77">
        <f t="shared" si="141"/>
        <v>0</v>
      </c>
    </row>
    <row r="363" spans="1:19" s="15" customFormat="1">
      <c r="A363" s="7"/>
      <c r="B363" s="6" t="s">
        <v>238</v>
      </c>
      <c r="C363" s="18" t="s">
        <v>60</v>
      </c>
      <c r="D363" s="58"/>
      <c r="E363" s="18">
        <v>1</v>
      </c>
      <c r="F363" s="44">
        <f>VLOOKUP(B363,GiaVL!$B$4:'GiaVL'!$D$189,3,0)</f>
        <v>98800000</v>
      </c>
      <c r="G363" s="44">
        <f>F363/G$7</f>
        <v>49400</v>
      </c>
      <c r="H363" s="251">
        <v>6</v>
      </c>
      <c r="I363" s="251">
        <v>6.92</v>
      </c>
      <c r="J363" s="251">
        <v>9.23</v>
      </c>
      <c r="K363" s="251">
        <v>10.16</v>
      </c>
      <c r="L363" s="251"/>
      <c r="M363" s="251"/>
      <c r="N363" s="62">
        <f t="shared" ref="N363:S365" si="142">$E363*$G363*H363</f>
        <v>296400</v>
      </c>
      <c r="O363" s="62">
        <f t="shared" si="142"/>
        <v>341848</v>
      </c>
      <c r="P363" s="62">
        <f t="shared" si="142"/>
        <v>455962</v>
      </c>
      <c r="Q363" s="62">
        <f t="shared" si="142"/>
        <v>501904</v>
      </c>
      <c r="R363" s="62">
        <f t="shared" si="142"/>
        <v>0</v>
      </c>
      <c r="S363" s="75">
        <f t="shared" si="142"/>
        <v>0</v>
      </c>
    </row>
    <row r="364" spans="1:19">
      <c r="A364" s="7"/>
      <c r="B364" s="6" t="s">
        <v>670</v>
      </c>
      <c r="C364" s="18" t="s">
        <v>59</v>
      </c>
      <c r="D364" s="58">
        <v>0.35</v>
      </c>
      <c r="E364" s="18">
        <v>1</v>
      </c>
      <c r="F364" s="44">
        <f>VLOOKUP(B364,GiaVL!$B$4:'GiaVL'!$D$189,3,0)</f>
        <v>13900000</v>
      </c>
      <c r="G364" s="44">
        <f>F364/G$7</f>
        <v>6950</v>
      </c>
      <c r="H364" s="251">
        <v>6</v>
      </c>
      <c r="I364" s="251">
        <v>6.92</v>
      </c>
      <c r="J364" s="251">
        <v>9.23</v>
      </c>
      <c r="K364" s="251">
        <v>10.16</v>
      </c>
      <c r="L364" s="251"/>
      <c r="M364" s="251"/>
      <c r="N364" s="62">
        <f t="shared" si="142"/>
        <v>41700</v>
      </c>
      <c r="O364" s="62">
        <f t="shared" si="142"/>
        <v>48094</v>
      </c>
      <c r="P364" s="62">
        <f t="shared" si="142"/>
        <v>64148.5</v>
      </c>
      <c r="Q364" s="62">
        <f t="shared" si="142"/>
        <v>70612</v>
      </c>
      <c r="R364" s="62">
        <f t="shared" si="142"/>
        <v>0</v>
      </c>
      <c r="S364" s="75">
        <f t="shared" si="142"/>
        <v>0</v>
      </c>
    </row>
    <row r="365" spans="1:19" s="15" customFormat="1">
      <c r="A365" s="7"/>
      <c r="B365" s="6" t="s">
        <v>130</v>
      </c>
      <c r="C365" s="18" t="s">
        <v>59</v>
      </c>
      <c r="D365" s="58"/>
      <c r="E365" s="18">
        <v>1</v>
      </c>
      <c r="F365" s="44">
        <f>F360</f>
        <v>13800000</v>
      </c>
      <c r="G365" s="44">
        <f>F365/G$5</f>
        <v>3942.8571428571427</v>
      </c>
      <c r="H365" s="251">
        <v>0.5</v>
      </c>
      <c r="I365" s="251">
        <v>0.57999999999999996</v>
      </c>
      <c r="J365" s="251">
        <v>0.77</v>
      </c>
      <c r="K365" s="251">
        <v>0.85</v>
      </c>
      <c r="L365" s="251"/>
      <c r="M365" s="251"/>
      <c r="N365" s="62">
        <f t="shared" si="142"/>
        <v>1971.4285714285713</v>
      </c>
      <c r="O365" s="62">
        <f t="shared" si="142"/>
        <v>2286.8571428571427</v>
      </c>
      <c r="P365" s="62">
        <f t="shared" si="142"/>
        <v>3036</v>
      </c>
      <c r="Q365" s="62">
        <f t="shared" si="142"/>
        <v>3351.4285714285711</v>
      </c>
      <c r="R365" s="62">
        <f t="shared" si="142"/>
        <v>0</v>
      </c>
      <c r="S365" s="75">
        <f t="shared" si="142"/>
        <v>0</v>
      </c>
    </row>
    <row r="366" spans="1:19" s="20" customFormat="1" ht="13.5">
      <c r="A366" s="46" t="s">
        <v>43</v>
      </c>
      <c r="B366" s="21" t="s">
        <v>612</v>
      </c>
      <c r="C366" s="22" t="s">
        <v>117</v>
      </c>
      <c r="D366" s="57">
        <v>1</v>
      </c>
      <c r="E366" s="47"/>
      <c r="F366" s="44">
        <f>VLOOKUP(B366,GiaVL!$B$4:'GiaVL'!$D$189,3,0)</f>
        <v>2226</v>
      </c>
      <c r="G366" s="48">
        <f>D366*F366</f>
        <v>2226</v>
      </c>
      <c r="H366" s="251">
        <v>1.5</v>
      </c>
      <c r="I366" s="251">
        <v>1.7</v>
      </c>
      <c r="J366" s="251">
        <v>2.2999999999999998</v>
      </c>
      <c r="K366" s="251">
        <v>2.5</v>
      </c>
      <c r="L366" s="251"/>
      <c r="M366" s="251"/>
      <c r="N366" s="76">
        <f t="shared" ref="N366:S366" si="143">$G366*H366</f>
        <v>3339</v>
      </c>
      <c r="O366" s="76">
        <f t="shared" si="143"/>
        <v>3784.2</v>
      </c>
      <c r="P366" s="76">
        <f t="shared" si="143"/>
        <v>5119.7999999999993</v>
      </c>
      <c r="Q366" s="76">
        <f t="shared" si="143"/>
        <v>5565</v>
      </c>
      <c r="R366" s="76">
        <f t="shared" si="143"/>
        <v>0</v>
      </c>
      <c r="S366" s="74">
        <f t="shared" si="143"/>
        <v>0</v>
      </c>
    </row>
    <row r="367" spans="1:19" s="15" customFormat="1">
      <c r="A367" s="8" t="s">
        <v>37</v>
      </c>
      <c r="B367" s="9" t="s">
        <v>403</v>
      </c>
      <c r="C367" s="25"/>
      <c r="D367" s="56"/>
      <c r="E367" s="25"/>
      <c r="F367" s="45"/>
      <c r="G367" s="45"/>
      <c r="H367" s="249" t="s">
        <v>199</v>
      </c>
      <c r="I367" s="249" t="s">
        <v>199</v>
      </c>
      <c r="J367" s="249" t="s">
        <v>199</v>
      </c>
      <c r="K367" s="249" t="s">
        <v>199</v>
      </c>
      <c r="L367" s="249"/>
      <c r="M367" s="249"/>
      <c r="N367" s="76">
        <f t="shared" ref="N367:S367" si="144">SUM(N368:N370)</f>
        <v>510107.14285714284</v>
      </c>
      <c r="O367" s="76">
        <f t="shared" si="144"/>
        <v>588343.28571428568</v>
      </c>
      <c r="P367" s="76">
        <f t="shared" si="144"/>
        <v>785021.21428571432</v>
      </c>
      <c r="Q367" s="76">
        <f t="shared" si="144"/>
        <v>863820.85714285716</v>
      </c>
      <c r="R367" s="76">
        <f t="shared" si="144"/>
        <v>0</v>
      </c>
      <c r="S367" s="77">
        <f t="shared" si="144"/>
        <v>0</v>
      </c>
    </row>
    <row r="368" spans="1:19" s="15" customFormat="1">
      <c r="A368" s="7"/>
      <c r="B368" s="6" t="s">
        <v>238</v>
      </c>
      <c r="C368" s="18" t="s">
        <v>60</v>
      </c>
      <c r="D368" s="58"/>
      <c r="E368" s="18">
        <v>1</v>
      </c>
      <c r="F368" s="44">
        <f>VLOOKUP(B368,GiaVL!$B$4:'GiaVL'!$D$189,3,0)</f>
        <v>98800000</v>
      </c>
      <c r="G368" s="44">
        <f>F368/G$7</f>
        <v>49400</v>
      </c>
      <c r="H368" s="251">
        <v>9</v>
      </c>
      <c r="I368" s="251">
        <v>10.38</v>
      </c>
      <c r="J368" s="251">
        <v>13.85</v>
      </c>
      <c r="K368" s="251">
        <v>15.24</v>
      </c>
      <c r="L368" s="251"/>
      <c r="M368" s="251"/>
      <c r="N368" s="62">
        <f t="shared" ref="N368:S370" si="145">$E368*$G368*H368</f>
        <v>444600</v>
      </c>
      <c r="O368" s="62">
        <f t="shared" si="145"/>
        <v>512772.00000000006</v>
      </c>
      <c r="P368" s="62">
        <f t="shared" si="145"/>
        <v>684190</v>
      </c>
      <c r="Q368" s="62">
        <f t="shared" si="145"/>
        <v>752856</v>
      </c>
      <c r="R368" s="62">
        <f t="shared" si="145"/>
        <v>0</v>
      </c>
      <c r="S368" s="75">
        <f t="shared" si="145"/>
        <v>0</v>
      </c>
    </row>
    <row r="369" spans="1:19">
      <c r="A369" s="7"/>
      <c r="B369" s="6" t="s">
        <v>670</v>
      </c>
      <c r="C369" s="18" t="s">
        <v>59</v>
      </c>
      <c r="D369" s="58">
        <v>0.35</v>
      </c>
      <c r="E369" s="18">
        <v>1</v>
      </c>
      <c r="F369" s="44">
        <f>VLOOKUP(B369,GiaVL!$B$4:'GiaVL'!$D$189,3,0)</f>
        <v>13900000</v>
      </c>
      <c r="G369" s="44">
        <f>F369/G$7</f>
        <v>6950</v>
      </c>
      <c r="H369" s="251">
        <v>9</v>
      </c>
      <c r="I369" s="251">
        <v>10.38</v>
      </c>
      <c r="J369" s="251">
        <v>13.85</v>
      </c>
      <c r="K369" s="251">
        <v>15.24</v>
      </c>
      <c r="L369" s="251"/>
      <c r="M369" s="251"/>
      <c r="N369" s="62">
        <f t="shared" si="145"/>
        <v>62550</v>
      </c>
      <c r="O369" s="62">
        <f t="shared" si="145"/>
        <v>72141</v>
      </c>
      <c r="P369" s="62">
        <f t="shared" si="145"/>
        <v>96257.5</v>
      </c>
      <c r="Q369" s="62">
        <f t="shared" si="145"/>
        <v>105918</v>
      </c>
      <c r="R369" s="62">
        <f t="shared" si="145"/>
        <v>0</v>
      </c>
      <c r="S369" s="75">
        <f t="shared" si="145"/>
        <v>0</v>
      </c>
    </row>
    <row r="370" spans="1:19" s="15" customFormat="1">
      <c r="A370" s="7"/>
      <c r="B370" s="6" t="s">
        <v>130</v>
      </c>
      <c r="C370" s="18" t="s">
        <v>59</v>
      </c>
      <c r="D370" s="58"/>
      <c r="E370" s="18">
        <v>1</v>
      </c>
      <c r="F370" s="44">
        <f>F365</f>
        <v>13800000</v>
      </c>
      <c r="G370" s="44">
        <f>F370/G$5</f>
        <v>3942.8571428571427</v>
      </c>
      <c r="H370" s="251">
        <v>0.75</v>
      </c>
      <c r="I370" s="251">
        <v>0.87</v>
      </c>
      <c r="J370" s="251">
        <v>1.1599999999999999</v>
      </c>
      <c r="K370" s="251">
        <v>1.28</v>
      </c>
      <c r="L370" s="251"/>
      <c r="M370" s="251"/>
      <c r="N370" s="62">
        <f t="shared" si="145"/>
        <v>2957.1428571428569</v>
      </c>
      <c r="O370" s="62">
        <f t="shared" si="145"/>
        <v>3430.2857142857142</v>
      </c>
      <c r="P370" s="62">
        <f t="shared" si="145"/>
        <v>4573.7142857142853</v>
      </c>
      <c r="Q370" s="62">
        <f t="shared" si="145"/>
        <v>5046.8571428571431</v>
      </c>
      <c r="R370" s="62">
        <f t="shared" si="145"/>
        <v>0</v>
      </c>
      <c r="S370" s="75">
        <f t="shared" si="145"/>
        <v>0</v>
      </c>
    </row>
    <row r="371" spans="1:19" s="20" customFormat="1" ht="13.5">
      <c r="A371" s="46" t="s">
        <v>43</v>
      </c>
      <c r="B371" s="21" t="s">
        <v>612</v>
      </c>
      <c r="C371" s="22" t="s">
        <v>117</v>
      </c>
      <c r="D371" s="57">
        <v>1</v>
      </c>
      <c r="E371" s="47"/>
      <c r="F371" s="44">
        <f>VLOOKUP(B371,GiaVL!$B$4:'GiaVL'!$D$189,3,0)</f>
        <v>2226</v>
      </c>
      <c r="G371" s="48">
        <f>D371*F371</f>
        <v>2226</v>
      </c>
      <c r="H371" s="251">
        <v>1.95</v>
      </c>
      <c r="I371" s="251">
        <v>2.21</v>
      </c>
      <c r="J371" s="251">
        <v>2.99</v>
      </c>
      <c r="K371" s="251">
        <v>3.25</v>
      </c>
      <c r="L371" s="251"/>
      <c r="M371" s="251"/>
      <c r="N371" s="76">
        <f t="shared" ref="N371:S371" si="146">$G371*H371</f>
        <v>4340.7</v>
      </c>
      <c r="O371" s="76">
        <f t="shared" si="146"/>
        <v>4919.46</v>
      </c>
      <c r="P371" s="76">
        <f t="shared" si="146"/>
        <v>6655.7400000000007</v>
      </c>
      <c r="Q371" s="76">
        <f t="shared" si="146"/>
        <v>7234.5</v>
      </c>
      <c r="R371" s="76">
        <f t="shared" si="146"/>
        <v>0</v>
      </c>
      <c r="S371" s="74">
        <f t="shared" si="146"/>
        <v>0</v>
      </c>
    </row>
    <row r="372" spans="1:19" s="20" customFormat="1" ht="13.5">
      <c r="A372" s="46"/>
      <c r="B372" s="33"/>
      <c r="C372" s="12"/>
      <c r="D372" s="57"/>
      <c r="E372" s="47"/>
      <c r="F372" s="48"/>
      <c r="G372" s="48"/>
      <c r="H372" s="251"/>
      <c r="I372" s="251"/>
      <c r="J372" s="251"/>
      <c r="K372" s="251"/>
      <c r="L372" s="251"/>
      <c r="M372" s="251"/>
      <c r="N372" s="76"/>
      <c r="O372" s="76"/>
      <c r="P372" s="76"/>
      <c r="Q372" s="76"/>
      <c r="R372" s="76"/>
      <c r="S372" s="74"/>
    </row>
    <row r="373" spans="1:19" s="20" customFormat="1" ht="30" customHeight="1">
      <c r="A373" s="46"/>
      <c r="B373" s="1166" t="s">
        <v>419</v>
      </c>
      <c r="C373" s="1166"/>
      <c r="D373" s="1166"/>
      <c r="E373" s="1166"/>
      <c r="F373" s="1166"/>
      <c r="G373" s="1166"/>
      <c r="H373" s="1166"/>
      <c r="I373" s="1166"/>
      <c r="J373" s="1166"/>
      <c r="K373" s="1166"/>
      <c r="L373" s="1166"/>
      <c r="M373" s="1166"/>
      <c r="N373" s="1166"/>
      <c r="O373" s="1166"/>
      <c r="P373" s="1166"/>
      <c r="Q373" s="1166"/>
      <c r="R373" s="1166"/>
      <c r="S373" s="1167"/>
    </row>
    <row r="374" spans="1:19" ht="17.25" customHeight="1">
      <c r="A374" s="71"/>
      <c r="B374" s="6"/>
      <c r="C374" s="18"/>
      <c r="D374" s="27"/>
      <c r="E374" s="6"/>
      <c r="F374" s="44"/>
      <c r="G374" s="44"/>
      <c r="H374" s="251"/>
      <c r="I374" s="251"/>
      <c r="J374" s="251"/>
      <c r="K374" s="251"/>
      <c r="L374" s="251"/>
      <c r="M374" s="251"/>
      <c r="N374" s="62"/>
      <c r="O374" s="62"/>
      <c r="P374" s="62"/>
      <c r="Q374" s="62"/>
      <c r="R374" s="62"/>
      <c r="S374" s="75"/>
    </row>
    <row r="375" spans="1:19" s="15" customFormat="1">
      <c r="A375" s="8" t="s">
        <v>220</v>
      </c>
      <c r="B375" s="9" t="s">
        <v>65</v>
      </c>
      <c r="C375" s="25"/>
      <c r="D375" s="56"/>
      <c r="E375" s="25"/>
      <c r="F375" s="28"/>
      <c r="G375" s="28"/>
      <c r="H375" s="249"/>
      <c r="I375" s="249"/>
      <c r="J375" s="249"/>
      <c r="K375" s="249"/>
      <c r="L375" s="249"/>
      <c r="M375" s="249"/>
      <c r="N375" s="76"/>
      <c r="O375" s="76"/>
      <c r="P375" s="76"/>
      <c r="Q375" s="76"/>
      <c r="R375" s="76"/>
      <c r="S375" s="77"/>
    </row>
    <row r="376" spans="1:19" s="15" customFormat="1">
      <c r="A376" s="8">
        <v>2</v>
      </c>
      <c r="B376" s="9" t="s">
        <v>123</v>
      </c>
      <c r="C376" s="25"/>
      <c r="D376" s="56"/>
      <c r="E376" s="25"/>
      <c r="F376" s="28"/>
      <c r="G376" s="28"/>
      <c r="H376" s="249"/>
      <c r="I376" s="249"/>
      <c r="J376" s="249"/>
      <c r="K376" s="249"/>
      <c r="L376" s="249"/>
      <c r="M376" s="249"/>
      <c r="N376" s="76"/>
      <c r="O376" s="76"/>
      <c r="P376" s="76"/>
      <c r="Q376" s="76"/>
      <c r="R376" s="76"/>
      <c r="S376" s="77"/>
    </row>
    <row r="377" spans="1:19" s="15" customFormat="1" ht="24" customHeight="1">
      <c r="A377" s="8">
        <v>2.1</v>
      </c>
      <c r="B377" s="113" t="s">
        <v>683</v>
      </c>
      <c r="C377" s="25"/>
      <c r="D377" s="56"/>
      <c r="E377" s="25"/>
      <c r="F377" s="255"/>
      <c r="G377" s="255"/>
      <c r="H377" s="249"/>
      <c r="I377" s="249"/>
      <c r="J377" s="249"/>
      <c r="K377" s="249"/>
      <c r="L377" s="249"/>
      <c r="M377" s="249"/>
      <c r="N377" s="207"/>
      <c r="O377" s="207"/>
      <c r="P377" s="207"/>
      <c r="Q377" s="207"/>
      <c r="R377" s="207"/>
      <c r="S377" s="949"/>
    </row>
    <row r="378" spans="1:19" s="15" customFormat="1">
      <c r="A378" s="8">
        <v>2.2000000000000002</v>
      </c>
      <c r="B378" s="54" t="s">
        <v>420</v>
      </c>
      <c r="C378" s="25"/>
      <c r="D378" s="56"/>
      <c r="E378" s="25"/>
      <c r="F378" s="45"/>
      <c r="G378" s="45"/>
      <c r="H378" s="249"/>
      <c r="I378" s="249"/>
      <c r="J378" s="249"/>
      <c r="K378" s="249"/>
      <c r="L378" s="249"/>
      <c r="M378" s="249"/>
      <c r="N378" s="76"/>
      <c r="O378" s="76"/>
      <c r="P378" s="76"/>
      <c r="Q378" s="76"/>
      <c r="R378" s="76"/>
      <c r="S378" s="77"/>
    </row>
    <row r="379" spans="1:19" s="15" customFormat="1">
      <c r="A379" s="35" t="s">
        <v>27</v>
      </c>
      <c r="B379" s="32" t="s">
        <v>230</v>
      </c>
      <c r="C379" s="38" t="s">
        <v>43</v>
      </c>
      <c r="D379" s="56"/>
      <c r="E379" s="37"/>
      <c r="F379" s="45"/>
      <c r="G379" s="45"/>
      <c r="H379" s="249"/>
      <c r="I379" s="249"/>
      <c r="J379" s="249"/>
      <c r="K379" s="249"/>
      <c r="L379" s="249"/>
      <c r="M379" s="249"/>
      <c r="N379" s="76">
        <f t="shared" ref="N379:S379" si="147">SUM(N380:N382)</f>
        <v>16060.242499999998</v>
      </c>
      <c r="O379" s="76">
        <f t="shared" si="147"/>
        <v>18083.802857142859</v>
      </c>
      <c r="P379" s="76">
        <f t="shared" si="147"/>
        <v>21494.012857142858</v>
      </c>
      <c r="Q379" s="76">
        <f t="shared" si="147"/>
        <v>24180.256428571429</v>
      </c>
      <c r="R379" s="76">
        <f>SUM(R380:R382)</f>
        <v>0</v>
      </c>
      <c r="S379" s="77">
        <f t="shared" si="147"/>
        <v>0</v>
      </c>
    </row>
    <row r="380" spans="1:19" s="13" customFormat="1">
      <c r="A380" s="34" t="s">
        <v>43</v>
      </c>
      <c r="B380" s="23" t="s">
        <v>264</v>
      </c>
      <c r="C380" s="12" t="s">
        <v>91</v>
      </c>
      <c r="D380" s="58">
        <v>0.35</v>
      </c>
      <c r="E380" s="36">
        <v>1</v>
      </c>
      <c r="F380" s="44">
        <f>VLOOKUP(B380,GiaVL!$B$4:'GiaVL'!$D$189,3,0)</f>
        <v>13127000</v>
      </c>
      <c r="G380" s="44">
        <f>F380/G$5</f>
        <v>3750.5714285714284</v>
      </c>
      <c r="H380" s="251">
        <v>3.64</v>
      </c>
      <c r="I380" s="251">
        <v>4.0999999999999996</v>
      </c>
      <c r="J380" s="251">
        <v>4.87</v>
      </c>
      <c r="K380" s="251">
        <v>5.48</v>
      </c>
      <c r="L380" s="251"/>
      <c r="M380" s="251"/>
      <c r="N380" s="62">
        <f t="shared" ref="N380:S382" si="148">$E380*$G380*H380</f>
        <v>13652.08</v>
      </c>
      <c r="O380" s="62">
        <f t="shared" si="148"/>
        <v>15377.342857142856</v>
      </c>
      <c r="P380" s="62">
        <f t="shared" si="148"/>
        <v>18265.282857142858</v>
      </c>
      <c r="Q380" s="62">
        <f t="shared" si="148"/>
        <v>20553.131428571429</v>
      </c>
      <c r="R380" s="62">
        <f>$E380*$G380*L380</f>
        <v>0</v>
      </c>
      <c r="S380" s="75">
        <f t="shared" si="148"/>
        <v>0</v>
      </c>
    </row>
    <row r="381" spans="1:19" s="13" customFormat="1">
      <c r="A381" s="34"/>
      <c r="B381" s="65" t="s">
        <v>671</v>
      </c>
      <c r="C381" s="12" t="s">
        <v>91</v>
      </c>
      <c r="D381" s="58"/>
      <c r="E381" s="36">
        <v>1</v>
      </c>
      <c r="F381" s="44">
        <f>VLOOKUP(B381,GiaVL!$B$4:'GiaVL'!$D$189,3,0)</f>
        <v>3990000</v>
      </c>
      <c r="G381" s="44">
        <f>F381/G$6</f>
        <v>997.5</v>
      </c>
      <c r="H381" s="251">
        <v>5.0000000000000001E-3</v>
      </c>
      <c r="I381" s="251">
        <v>6.0000000000000001E-3</v>
      </c>
      <c r="J381" s="251">
        <v>8.0000000000000002E-3</v>
      </c>
      <c r="K381" s="251">
        <v>0.01</v>
      </c>
      <c r="L381" s="251"/>
      <c r="M381" s="251"/>
      <c r="N381" s="62">
        <f>$E381*$G381*H381</f>
        <v>4.9874999999999998</v>
      </c>
      <c r="O381" s="62">
        <f>$E381*$G381*I381</f>
        <v>5.9850000000000003</v>
      </c>
      <c r="P381" s="62">
        <f>$E381*$G381*J381</f>
        <v>7.98</v>
      </c>
      <c r="Q381" s="62">
        <f>$E381*$G381*K381</f>
        <v>9.9749999999999996</v>
      </c>
      <c r="R381" s="62">
        <f>$E381*$G381*L381</f>
        <v>0</v>
      </c>
      <c r="S381" s="75"/>
    </row>
    <row r="382" spans="1:19" s="13" customFormat="1">
      <c r="A382" s="34" t="s">
        <v>43</v>
      </c>
      <c r="B382" s="6" t="s">
        <v>645</v>
      </c>
      <c r="C382" s="12" t="s">
        <v>91</v>
      </c>
      <c r="D382" s="58">
        <v>2.2000000000000002</v>
      </c>
      <c r="E382" s="36">
        <v>1</v>
      </c>
      <c r="F382" s="44">
        <f>VLOOKUP(B382,GiaVL!$B$4:'GiaVL'!$D$189,3,0)</f>
        <v>9910000</v>
      </c>
      <c r="G382" s="44">
        <f>F382/8/500</f>
        <v>2477.5</v>
      </c>
      <c r="H382" s="251">
        <v>0.97</v>
      </c>
      <c r="I382" s="251">
        <v>1.0900000000000001</v>
      </c>
      <c r="J382" s="251">
        <v>1.3</v>
      </c>
      <c r="K382" s="251">
        <v>1.46</v>
      </c>
      <c r="L382" s="251"/>
      <c r="M382" s="251"/>
      <c r="N382" s="62">
        <f t="shared" si="148"/>
        <v>2403.1749999999997</v>
      </c>
      <c r="O382" s="62">
        <f t="shared" si="148"/>
        <v>2700.4750000000004</v>
      </c>
      <c r="P382" s="62">
        <f t="shared" si="148"/>
        <v>3220.75</v>
      </c>
      <c r="Q382" s="62">
        <f t="shared" si="148"/>
        <v>3617.15</v>
      </c>
      <c r="R382" s="62">
        <f>$E382*$G382*L382</f>
        <v>0</v>
      </c>
      <c r="S382" s="75">
        <f t="shared" si="148"/>
        <v>0</v>
      </c>
    </row>
    <row r="383" spans="1:19" s="20" customFormat="1" ht="13.5">
      <c r="A383" s="46" t="s">
        <v>43</v>
      </c>
      <c r="B383" s="21" t="s">
        <v>612</v>
      </c>
      <c r="C383" s="22" t="s">
        <v>117</v>
      </c>
      <c r="D383" s="57">
        <v>1</v>
      </c>
      <c r="E383" s="47"/>
      <c r="F383" s="44">
        <f>VLOOKUP(B383,GiaVL!$B$4:'GiaVL'!$D$189,3,0)</f>
        <v>2226</v>
      </c>
      <c r="G383" s="48">
        <f>D383*F383</f>
        <v>2226</v>
      </c>
      <c r="H383" s="251">
        <v>28.72</v>
      </c>
      <c r="I383" s="251">
        <v>32.33</v>
      </c>
      <c r="J383" s="251">
        <v>38.340000000000003</v>
      </c>
      <c r="K383" s="251">
        <v>43.15</v>
      </c>
      <c r="L383" s="250"/>
      <c r="M383" s="250"/>
      <c r="N383" s="76">
        <f t="shared" ref="N383:S383" si="149">$G383*H383</f>
        <v>63930.719999999994</v>
      </c>
      <c r="O383" s="76">
        <f t="shared" si="149"/>
        <v>71966.58</v>
      </c>
      <c r="P383" s="76">
        <f t="shared" si="149"/>
        <v>85344.840000000011</v>
      </c>
      <c r="Q383" s="76">
        <f t="shared" si="149"/>
        <v>96051.9</v>
      </c>
      <c r="R383" s="76">
        <f t="shared" si="149"/>
        <v>0</v>
      </c>
      <c r="S383" s="74">
        <f t="shared" si="149"/>
        <v>0</v>
      </c>
    </row>
    <row r="384" spans="1:19" s="15" customFormat="1">
      <c r="A384" s="35" t="s">
        <v>28</v>
      </c>
      <c r="B384" s="32" t="s">
        <v>231</v>
      </c>
      <c r="C384" s="38" t="s">
        <v>43</v>
      </c>
      <c r="D384" s="56"/>
      <c r="E384" s="37"/>
      <c r="F384" s="45"/>
      <c r="G384" s="45"/>
      <c r="H384" s="249" t="s">
        <v>199</v>
      </c>
      <c r="I384" s="249" t="s">
        <v>199</v>
      </c>
      <c r="J384" s="249" t="s">
        <v>199</v>
      </c>
      <c r="K384" s="249" t="s">
        <v>199</v>
      </c>
      <c r="L384" s="249" t="s">
        <v>199</v>
      </c>
      <c r="M384" s="249"/>
      <c r="N384" s="76">
        <f>SUM(N385:N387)</f>
        <v>12263.928571428571</v>
      </c>
      <c r="O384" s="76">
        <f>SUM(O385:O387)</f>
        <v>13313.713214285714</v>
      </c>
      <c r="P384" s="76">
        <f>SUM(P385:P387)</f>
        <v>15124.970000000001</v>
      </c>
      <c r="Q384" s="76">
        <f>SUM(Q385:Q387)</f>
        <v>17660.193214285715</v>
      </c>
      <c r="R384" s="76">
        <f>SUM(R385:R387)</f>
        <v>20170.641428571427</v>
      </c>
      <c r="S384" s="77">
        <f>SUM(S385:S386)</f>
        <v>0</v>
      </c>
    </row>
    <row r="385" spans="1:19" s="13" customFormat="1">
      <c r="A385" s="34" t="s">
        <v>43</v>
      </c>
      <c r="B385" s="23" t="s">
        <v>264</v>
      </c>
      <c r="C385" s="12" t="s">
        <v>91</v>
      </c>
      <c r="D385" s="58">
        <v>0.35</v>
      </c>
      <c r="E385" s="36">
        <v>1</v>
      </c>
      <c r="F385" s="44">
        <f>VLOOKUP(B385,GiaVL!$B$4:'GiaVL'!$D$189,3,0)</f>
        <v>13127000</v>
      </c>
      <c r="G385" s="44">
        <f>F385/G$5</f>
        <v>3750.5714285714284</v>
      </c>
      <c r="H385" s="251">
        <v>2.78</v>
      </c>
      <c r="I385" s="251">
        <v>3.02</v>
      </c>
      <c r="J385" s="251">
        <v>3.43</v>
      </c>
      <c r="K385" s="251">
        <v>4</v>
      </c>
      <c r="L385" s="251">
        <v>4.57</v>
      </c>
      <c r="M385" s="251"/>
      <c r="N385" s="62">
        <f t="shared" ref="N385:S386" si="150">$E385*$G385*H385</f>
        <v>10426.588571428571</v>
      </c>
      <c r="O385" s="62">
        <f t="shared" si="150"/>
        <v>11326.725714285714</v>
      </c>
      <c r="P385" s="62">
        <f t="shared" si="150"/>
        <v>12864.460000000001</v>
      </c>
      <c r="Q385" s="62">
        <f t="shared" si="150"/>
        <v>15002.285714285714</v>
      </c>
      <c r="R385" s="62">
        <f t="shared" si="150"/>
        <v>17140.111428571428</v>
      </c>
      <c r="S385" s="75">
        <f t="shared" si="150"/>
        <v>0</v>
      </c>
    </row>
    <row r="386" spans="1:19" s="13" customFormat="1">
      <c r="A386" s="34" t="s">
        <v>43</v>
      </c>
      <c r="B386" s="65" t="s">
        <v>671</v>
      </c>
      <c r="C386" s="12" t="s">
        <v>91</v>
      </c>
      <c r="D386" s="58"/>
      <c r="E386" s="36">
        <v>1</v>
      </c>
      <c r="F386" s="44">
        <f>VLOOKUP(B386,GiaVL!$B$4:'GiaVL'!$D$189,3,0)</f>
        <v>3990000</v>
      </c>
      <c r="G386" s="44">
        <f>F386/G$6</f>
        <v>997.5</v>
      </c>
      <c r="H386" s="251">
        <v>4.0000000000000001E-3</v>
      </c>
      <c r="I386" s="251">
        <v>5.0000000000000001E-3</v>
      </c>
      <c r="J386" s="251">
        <v>6.0000000000000001E-3</v>
      </c>
      <c r="K386" s="251">
        <v>7.0000000000000001E-3</v>
      </c>
      <c r="L386" s="251">
        <v>8.0000000000000002E-3</v>
      </c>
      <c r="M386" s="251"/>
      <c r="N386" s="62">
        <f t="shared" si="150"/>
        <v>3.99</v>
      </c>
      <c r="O386" s="62">
        <f t="shared" si="150"/>
        <v>4.9874999999999998</v>
      </c>
      <c r="P386" s="62">
        <f t="shared" si="150"/>
        <v>5.9850000000000003</v>
      </c>
      <c r="Q386" s="62">
        <f t="shared" si="150"/>
        <v>6.9824999999999999</v>
      </c>
      <c r="R386" s="62">
        <f t="shared" si="150"/>
        <v>7.98</v>
      </c>
      <c r="S386" s="75">
        <f t="shared" si="150"/>
        <v>0</v>
      </c>
    </row>
    <row r="387" spans="1:19" s="20" customFormat="1" ht="13.5">
      <c r="A387" s="46" t="s">
        <v>43</v>
      </c>
      <c r="B387" s="6" t="s">
        <v>645</v>
      </c>
      <c r="C387" s="12" t="s">
        <v>91</v>
      </c>
      <c r="D387" s="58">
        <v>2.2000000000000002</v>
      </c>
      <c r="E387" s="36">
        <v>1</v>
      </c>
      <c r="F387" s="44">
        <f>VLOOKUP(B387,GiaVL!$B$4:'GiaVL'!$D$189,3,0)</f>
        <v>9910000</v>
      </c>
      <c r="G387" s="44">
        <f>F387/8/500</f>
        <v>2477.5</v>
      </c>
      <c r="H387" s="251">
        <v>0.74</v>
      </c>
      <c r="I387" s="251">
        <v>0.8</v>
      </c>
      <c r="J387" s="251">
        <v>0.91</v>
      </c>
      <c r="K387" s="251">
        <v>1.07</v>
      </c>
      <c r="L387" s="251">
        <v>1.22</v>
      </c>
      <c r="M387" s="251"/>
      <c r="N387" s="62">
        <f>$E387*$G387*H387</f>
        <v>1833.35</v>
      </c>
      <c r="O387" s="62">
        <f>$E387*$G387*I387</f>
        <v>1982</v>
      </c>
      <c r="P387" s="62">
        <f>$E387*$G387*J387</f>
        <v>2254.5250000000001</v>
      </c>
      <c r="Q387" s="62">
        <f>$E387*$G387*K387</f>
        <v>2650.9250000000002</v>
      </c>
      <c r="R387" s="62">
        <f>$E387*$G387*L387</f>
        <v>3022.5499999999997</v>
      </c>
      <c r="S387" s="74">
        <f>$G387*M387</f>
        <v>0</v>
      </c>
    </row>
    <row r="388" spans="1:19" s="20" customFormat="1" ht="13.5">
      <c r="A388" s="46"/>
      <c r="B388" s="21" t="s">
        <v>612</v>
      </c>
      <c r="C388" s="22" t="s">
        <v>117</v>
      </c>
      <c r="D388" s="57">
        <v>1</v>
      </c>
      <c r="E388" s="47"/>
      <c r="F388" s="44">
        <f>VLOOKUP(B388,GiaVL!$B$4:'GiaVL'!$D$189,3,0)</f>
        <v>2226</v>
      </c>
      <c r="G388" s="48">
        <f>D388*F388</f>
        <v>2226</v>
      </c>
      <c r="H388" s="251">
        <v>21.92</v>
      </c>
      <c r="I388" s="251">
        <v>23.72</v>
      </c>
      <c r="J388" s="251">
        <v>27.02</v>
      </c>
      <c r="K388" s="251">
        <v>31.43</v>
      </c>
      <c r="L388" s="251">
        <v>35.93</v>
      </c>
      <c r="M388" s="250"/>
      <c r="N388" s="76">
        <f>$G388*H388</f>
        <v>48793.920000000006</v>
      </c>
      <c r="O388" s="76">
        <f>$G388*I388</f>
        <v>52800.719999999994</v>
      </c>
      <c r="P388" s="76">
        <f>$G388*J388</f>
        <v>60146.52</v>
      </c>
      <c r="Q388" s="76">
        <f>$G388*K388</f>
        <v>69963.179999999993</v>
      </c>
      <c r="R388" s="76">
        <f>$G388*L388</f>
        <v>79980.179999999993</v>
      </c>
      <c r="S388" s="74"/>
    </row>
    <row r="389" spans="1:19" s="15" customFormat="1">
      <c r="A389" s="35" t="s">
        <v>29</v>
      </c>
      <c r="B389" s="32" t="s">
        <v>235</v>
      </c>
      <c r="C389" s="38" t="s">
        <v>43</v>
      </c>
      <c r="D389" s="56"/>
      <c r="E389" s="37"/>
      <c r="F389" s="45"/>
      <c r="G389" s="45"/>
      <c r="H389" s="249" t="s">
        <v>199</v>
      </c>
      <c r="I389" s="249" t="s">
        <v>199</v>
      </c>
      <c r="J389" s="249" t="s">
        <v>199</v>
      </c>
      <c r="K389" s="249" t="s">
        <v>199</v>
      </c>
      <c r="L389" s="249" t="s">
        <v>199</v>
      </c>
      <c r="M389" s="249"/>
      <c r="N389" s="76">
        <f>SUM(N390:N392)</f>
        <v>9402.887142857142</v>
      </c>
      <c r="O389" s="76">
        <f>SUM(O390:O392)</f>
        <v>9753.4803571428565</v>
      </c>
      <c r="P389" s="76">
        <f>SUM(P390:P392)</f>
        <v>10378.657857142858</v>
      </c>
      <c r="Q389" s="76">
        <f>SUM(Q390:Q392)</f>
        <v>11216.138928571429</v>
      </c>
      <c r="R389" s="76">
        <f>SUM(R390:R392)</f>
        <v>12228.417857142858</v>
      </c>
      <c r="S389" s="77">
        <f>SUM(S390:S391)</f>
        <v>0</v>
      </c>
    </row>
    <row r="390" spans="1:19" s="13" customFormat="1">
      <c r="A390" s="34" t="s">
        <v>43</v>
      </c>
      <c r="B390" s="23" t="s">
        <v>264</v>
      </c>
      <c r="C390" s="12" t="s">
        <v>91</v>
      </c>
      <c r="D390" s="58">
        <v>0.35</v>
      </c>
      <c r="E390" s="36">
        <v>1</v>
      </c>
      <c r="F390" s="44">
        <f>VLOOKUP(B390,GiaVL!$B$4:'GiaVL'!$D$189,3,0)</f>
        <v>13127000</v>
      </c>
      <c r="G390" s="44">
        <f>F390/G$5</f>
        <v>3750.5714285714284</v>
      </c>
      <c r="H390" s="251">
        <v>2.13</v>
      </c>
      <c r="I390" s="251">
        <v>2.21</v>
      </c>
      <c r="J390" s="251">
        <v>2.35</v>
      </c>
      <c r="K390" s="251">
        <v>2.54</v>
      </c>
      <c r="L390" s="251">
        <v>2.77</v>
      </c>
      <c r="M390" s="251"/>
      <c r="N390" s="62">
        <f t="shared" ref="N390:S391" si="151">$E390*$G390*H390</f>
        <v>7988.7171428571419</v>
      </c>
      <c r="O390" s="62">
        <f t="shared" si="151"/>
        <v>8288.7628571428559</v>
      </c>
      <c r="P390" s="62">
        <f t="shared" si="151"/>
        <v>8813.8428571428576</v>
      </c>
      <c r="Q390" s="62">
        <f t="shared" si="151"/>
        <v>9526.4514285714286</v>
      </c>
      <c r="R390" s="62">
        <f t="shared" si="151"/>
        <v>10389.082857142857</v>
      </c>
      <c r="S390" s="75">
        <f t="shared" si="151"/>
        <v>0</v>
      </c>
    </row>
    <row r="391" spans="1:19" s="13" customFormat="1">
      <c r="A391" s="34" t="s">
        <v>43</v>
      </c>
      <c r="B391" s="65" t="s">
        <v>671</v>
      </c>
      <c r="C391" s="12" t="s">
        <v>91</v>
      </c>
      <c r="D391" s="58"/>
      <c r="E391" s="36">
        <v>1</v>
      </c>
      <c r="F391" s="44">
        <f>VLOOKUP(B391,GiaVL!$B$4:'GiaVL'!$D$189,3,0)</f>
        <v>3990000</v>
      </c>
      <c r="G391" s="44">
        <f>F391/G$6</f>
        <v>997.5</v>
      </c>
      <c r="H391" s="251">
        <v>2E-3</v>
      </c>
      <c r="I391" s="251">
        <v>3.0000000000000001E-3</v>
      </c>
      <c r="J391" s="251">
        <v>4.0000000000000001E-3</v>
      </c>
      <c r="K391" s="251">
        <v>5.0000000000000001E-3</v>
      </c>
      <c r="L391" s="251">
        <v>6.0000000000000001E-3</v>
      </c>
      <c r="M391" s="251"/>
      <c r="N391" s="62">
        <f t="shared" si="151"/>
        <v>1.9950000000000001</v>
      </c>
      <c r="O391" s="62">
        <f t="shared" si="151"/>
        <v>2.9925000000000002</v>
      </c>
      <c r="P391" s="62">
        <f t="shared" si="151"/>
        <v>3.99</v>
      </c>
      <c r="Q391" s="62">
        <f t="shared" si="151"/>
        <v>4.9874999999999998</v>
      </c>
      <c r="R391" s="62">
        <f t="shared" si="151"/>
        <v>5.9850000000000003</v>
      </c>
      <c r="S391" s="75">
        <f t="shared" si="151"/>
        <v>0</v>
      </c>
    </row>
    <row r="392" spans="1:19" s="20" customFormat="1" ht="13.5">
      <c r="A392" s="46" t="s">
        <v>43</v>
      </c>
      <c r="B392" s="6" t="s">
        <v>645</v>
      </c>
      <c r="C392" s="12" t="s">
        <v>91</v>
      </c>
      <c r="D392" s="58">
        <v>2.2000000000000002</v>
      </c>
      <c r="E392" s="36">
        <v>1</v>
      </c>
      <c r="F392" s="44">
        <f>VLOOKUP(B392,GiaVL!$B$4:'GiaVL'!$D$189,3,0)</f>
        <v>9910000</v>
      </c>
      <c r="G392" s="44">
        <f>F392/8/500</f>
        <v>2477.5</v>
      </c>
      <c r="H392" s="251">
        <v>0.56999999999999995</v>
      </c>
      <c r="I392" s="251">
        <v>0.59</v>
      </c>
      <c r="J392" s="251">
        <v>0.63</v>
      </c>
      <c r="K392" s="251">
        <v>0.68</v>
      </c>
      <c r="L392" s="251">
        <v>0.74</v>
      </c>
      <c r="M392" s="251"/>
      <c r="N392" s="62">
        <f>$E392*$G392*H392</f>
        <v>1412.175</v>
      </c>
      <c r="O392" s="62">
        <f>$E392*$G392*I392</f>
        <v>1461.7249999999999</v>
      </c>
      <c r="P392" s="62">
        <f>$E392*$G392*J392</f>
        <v>1560.825</v>
      </c>
      <c r="Q392" s="62">
        <f>$E392*$G392*K392</f>
        <v>1684.7</v>
      </c>
      <c r="R392" s="62">
        <f>$E392*$G392*L392</f>
        <v>1833.35</v>
      </c>
      <c r="S392" s="74">
        <f>$G392*M392</f>
        <v>0</v>
      </c>
    </row>
    <row r="393" spans="1:19" s="20" customFormat="1" ht="13.5">
      <c r="A393" s="46"/>
      <c r="B393" s="21" t="s">
        <v>612</v>
      </c>
      <c r="C393" s="22" t="s">
        <v>117</v>
      </c>
      <c r="D393" s="57">
        <v>1</v>
      </c>
      <c r="E393" s="47"/>
      <c r="F393" s="44">
        <f>VLOOKUP(B393,GiaVL!$B$4:'GiaVL'!$D$189,3,0)</f>
        <v>2226</v>
      </c>
      <c r="G393" s="48">
        <f>D393*F393</f>
        <v>2226</v>
      </c>
      <c r="H393" s="251">
        <v>16.809999999999999</v>
      </c>
      <c r="I393" s="251">
        <v>17.41</v>
      </c>
      <c r="J393" s="251">
        <v>18.52</v>
      </c>
      <c r="K393" s="251">
        <v>20.02</v>
      </c>
      <c r="L393" s="251">
        <v>21.83</v>
      </c>
      <c r="M393" s="250"/>
      <c r="N393" s="76">
        <f>$G393*H393</f>
        <v>37419.06</v>
      </c>
      <c r="O393" s="76">
        <f>$G393*I393</f>
        <v>38754.660000000003</v>
      </c>
      <c r="P393" s="76">
        <f>$G393*J393</f>
        <v>41225.519999999997</v>
      </c>
      <c r="Q393" s="76">
        <f>$G393*K393</f>
        <v>44564.52</v>
      </c>
      <c r="R393" s="76">
        <f>$G393*L393</f>
        <v>48593.579999999994</v>
      </c>
      <c r="S393" s="74"/>
    </row>
    <row r="394" spans="1:19" s="15" customFormat="1">
      <c r="A394" s="35" t="s">
        <v>30</v>
      </c>
      <c r="B394" s="32" t="s">
        <v>236</v>
      </c>
      <c r="C394" s="38" t="s">
        <v>43</v>
      </c>
      <c r="D394" s="56"/>
      <c r="E394" s="37"/>
      <c r="F394" s="45"/>
      <c r="G394" s="45"/>
      <c r="H394" s="249" t="s">
        <v>199</v>
      </c>
      <c r="I394" s="249" t="s">
        <v>199</v>
      </c>
      <c r="J394" s="249" t="s">
        <v>199</v>
      </c>
      <c r="K394" s="249" t="s">
        <v>199</v>
      </c>
      <c r="L394" s="249" t="s">
        <v>199</v>
      </c>
      <c r="M394" s="249"/>
      <c r="N394" s="76">
        <f>SUM(N395:N397)</f>
        <v>9714.9771428571439</v>
      </c>
      <c r="O394" s="76">
        <f>SUM(O395:O397)</f>
        <v>10277.873928571427</v>
      </c>
      <c r="P394" s="76">
        <f>SUM(P395:P397)</f>
        <v>10903.051428571429</v>
      </c>
      <c r="Q394" s="76">
        <f>SUM(Q395:Q397)</f>
        <v>11603.240357142855</v>
      </c>
      <c r="R394" s="76">
        <f>SUM(R395:R397)</f>
        <v>13064.901428571429</v>
      </c>
      <c r="S394" s="77">
        <f>SUM(S395:S396)</f>
        <v>0</v>
      </c>
    </row>
    <row r="395" spans="1:19" s="13" customFormat="1">
      <c r="A395" s="34" t="s">
        <v>43</v>
      </c>
      <c r="B395" s="23" t="s">
        <v>264</v>
      </c>
      <c r="C395" s="12" t="s">
        <v>91</v>
      </c>
      <c r="D395" s="58">
        <v>0.35</v>
      </c>
      <c r="E395" s="36">
        <v>1</v>
      </c>
      <c r="F395" s="44">
        <f>VLOOKUP(B395,GiaVL!$B$4:'GiaVL'!$D$189,3,0)</f>
        <v>13127000</v>
      </c>
      <c r="G395" s="44">
        <f>F395/G$5</f>
        <v>3750.5714285714284</v>
      </c>
      <c r="H395" s="251">
        <v>2.2000000000000002</v>
      </c>
      <c r="I395" s="251">
        <v>2.33</v>
      </c>
      <c r="J395" s="251">
        <v>2.4700000000000002</v>
      </c>
      <c r="K395" s="251">
        <v>2.63</v>
      </c>
      <c r="L395" s="251">
        <v>2.96</v>
      </c>
      <c r="M395" s="251"/>
      <c r="N395" s="62">
        <f t="shared" ref="N395:S396" si="152">$E395*$G395*H395</f>
        <v>8251.2571428571428</v>
      </c>
      <c r="O395" s="62">
        <f t="shared" si="152"/>
        <v>8738.8314285714278</v>
      </c>
      <c r="P395" s="62">
        <f t="shared" si="152"/>
        <v>9263.9114285714295</v>
      </c>
      <c r="Q395" s="62">
        <f t="shared" si="152"/>
        <v>9864.0028571428556</v>
      </c>
      <c r="R395" s="62">
        <f t="shared" si="152"/>
        <v>11101.691428571428</v>
      </c>
      <c r="S395" s="75">
        <f t="shared" si="152"/>
        <v>0</v>
      </c>
    </row>
    <row r="396" spans="1:19" s="13" customFormat="1">
      <c r="A396" s="34" t="s">
        <v>43</v>
      </c>
      <c r="B396" s="65" t="s">
        <v>671</v>
      </c>
      <c r="C396" s="12" t="s">
        <v>91</v>
      </c>
      <c r="D396" s="58"/>
      <c r="E396" s="36">
        <v>1</v>
      </c>
      <c r="F396" s="44">
        <f>VLOOKUP(B396,GiaVL!$B$4:'GiaVL'!$D$189,3,0)</f>
        <v>3990000</v>
      </c>
      <c r="G396" s="44">
        <f>F396/G$6</f>
        <v>997.5</v>
      </c>
      <c r="H396" s="251">
        <v>2E-3</v>
      </c>
      <c r="I396" s="251">
        <v>3.0000000000000001E-3</v>
      </c>
      <c r="J396" s="251">
        <v>4.0000000000000001E-3</v>
      </c>
      <c r="K396" s="251">
        <v>5.0000000000000001E-3</v>
      </c>
      <c r="L396" s="251">
        <v>6.0000000000000001E-3</v>
      </c>
      <c r="M396" s="251"/>
      <c r="N396" s="62">
        <f t="shared" si="152"/>
        <v>1.9950000000000001</v>
      </c>
      <c r="O396" s="62">
        <f t="shared" si="152"/>
        <v>2.9925000000000002</v>
      </c>
      <c r="P396" s="62">
        <f t="shared" si="152"/>
        <v>3.99</v>
      </c>
      <c r="Q396" s="62">
        <f t="shared" si="152"/>
        <v>4.9874999999999998</v>
      </c>
      <c r="R396" s="62">
        <f t="shared" si="152"/>
        <v>5.9850000000000003</v>
      </c>
      <c r="S396" s="75">
        <f t="shared" si="152"/>
        <v>0</v>
      </c>
    </row>
    <row r="397" spans="1:19" s="20" customFormat="1" ht="13.5">
      <c r="A397" s="46" t="s">
        <v>43</v>
      </c>
      <c r="B397" s="6" t="s">
        <v>645</v>
      </c>
      <c r="C397" s="12" t="s">
        <v>91</v>
      </c>
      <c r="D397" s="58">
        <v>2.2000000000000002</v>
      </c>
      <c r="E397" s="36">
        <v>1</v>
      </c>
      <c r="F397" s="44">
        <f>VLOOKUP(B397,GiaVL!$B$4:'GiaVL'!$D$189,3,0)</f>
        <v>9910000</v>
      </c>
      <c r="G397" s="44">
        <f>F397/8/500</f>
        <v>2477.5</v>
      </c>
      <c r="H397" s="251">
        <v>0.59</v>
      </c>
      <c r="I397" s="251">
        <v>0.62</v>
      </c>
      <c r="J397" s="251">
        <v>0.66</v>
      </c>
      <c r="K397" s="251">
        <v>0.7</v>
      </c>
      <c r="L397" s="251">
        <v>0.79</v>
      </c>
      <c r="M397" s="251"/>
      <c r="N397" s="62">
        <f>$E397*$G397*H397</f>
        <v>1461.7249999999999</v>
      </c>
      <c r="O397" s="62">
        <f>$E397*$G397*I397</f>
        <v>1536.05</v>
      </c>
      <c r="P397" s="62">
        <f>$E397*$G397*J397</f>
        <v>1635.15</v>
      </c>
      <c r="Q397" s="62">
        <f>$E397*$G397*K397</f>
        <v>1734.25</v>
      </c>
      <c r="R397" s="62">
        <f>$E397*$G397*L397</f>
        <v>1957.2250000000001</v>
      </c>
      <c r="S397" s="74">
        <f>$G397*M397</f>
        <v>0</v>
      </c>
    </row>
    <row r="398" spans="1:19" s="20" customFormat="1" ht="13.5">
      <c r="A398" s="46"/>
      <c r="B398" s="21" t="s">
        <v>612</v>
      </c>
      <c r="C398" s="22" t="s">
        <v>117</v>
      </c>
      <c r="D398" s="57">
        <v>1</v>
      </c>
      <c r="E398" s="47"/>
      <c r="F398" s="44">
        <f>VLOOKUP(B398,GiaVL!$B$4:'GiaVL'!$D$189,3,0)</f>
        <v>2226</v>
      </c>
      <c r="G398" s="48">
        <f>D398*F398</f>
        <v>2226</v>
      </c>
      <c r="H398" s="251">
        <v>17.309999999999999</v>
      </c>
      <c r="I398" s="251">
        <v>18.41</v>
      </c>
      <c r="J398" s="251">
        <v>19.41</v>
      </c>
      <c r="K398" s="251">
        <v>20.72</v>
      </c>
      <c r="L398" s="251">
        <v>21.93</v>
      </c>
      <c r="M398" s="250"/>
      <c r="N398" s="76">
        <f>$G398*H398</f>
        <v>38532.06</v>
      </c>
      <c r="O398" s="76">
        <f>$G398*I398</f>
        <v>40980.660000000003</v>
      </c>
      <c r="P398" s="76">
        <f>$G398*J398</f>
        <v>43206.66</v>
      </c>
      <c r="Q398" s="76">
        <f>$G398*K398</f>
        <v>46122.719999999994</v>
      </c>
      <c r="R398" s="76">
        <f>$G398*L398</f>
        <v>48816.18</v>
      </c>
      <c r="S398" s="74"/>
    </row>
    <row r="399" spans="1:19" s="15" customFormat="1">
      <c r="A399" s="35" t="s">
        <v>31</v>
      </c>
      <c r="B399" s="32" t="s">
        <v>237</v>
      </c>
      <c r="C399" s="38" t="s">
        <v>43</v>
      </c>
      <c r="D399" s="56"/>
      <c r="E399" s="37"/>
      <c r="F399" s="45"/>
      <c r="G399" s="45"/>
      <c r="H399" s="249" t="s">
        <v>199</v>
      </c>
      <c r="I399" s="249" t="s">
        <v>199</v>
      </c>
      <c r="J399" s="249" t="s">
        <v>199</v>
      </c>
      <c r="K399" s="249" t="s">
        <v>199</v>
      </c>
      <c r="L399" s="249"/>
      <c r="M399" s="249"/>
      <c r="N399" s="76">
        <f>SUM(N400:N402)</f>
        <v>11638.751071428573</v>
      </c>
      <c r="O399" s="76">
        <f>SUM(O400:O402)</f>
        <v>12226.422857142858</v>
      </c>
      <c r="P399" s="76">
        <f>SUM(P400:P402)</f>
        <v>13688.083928571428</v>
      </c>
      <c r="Q399" s="76">
        <f>SUM(Q400:Q402)</f>
        <v>14249.983214285712</v>
      </c>
      <c r="R399" s="76">
        <f>SUM(R400:R402)</f>
        <v>0</v>
      </c>
      <c r="S399" s="77">
        <f>SUM(S400:S401)</f>
        <v>0</v>
      </c>
    </row>
    <row r="400" spans="1:19" s="13" customFormat="1">
      <c r="A400" s="34" t="s">
        <v>43</v>
      </c>
      <c r="B400" s="23" t="s">
        <v>264</v>
      </c>
      <c r="C400" s="12" t="s">
        <v>91</v>
      </c>
      <c r="D400" s="58">
        <v>0.35</v>
      </c>
      <c r="E400" s="36">
        <v>1</v>
      </c>
      <c r="F400" s="44">
        <f>VLOOKUP(B400,GiaVL!$B$4:'GiaVL'!$D$189,3,0)</f>
        <v>13127000</v>
      </c>
      <c r="G400" s="44">
        <f>F400/G$5</f>
        <v>3750.5714285714284</v>
      </c>
      <c r="H400" s="251">
        <v>2.64</v>
      </c>
      <c r="I400" s="251">
        <v>2.77</v>
      </c>
      <c r="J400" s="251">
        <v>3.1</v>
      </c>
      <c r="K400" s="251">
        <v>3.23</v>
      </c>
      <c r="L400" s="251"/>
      <c r="M400" s="251"/>
      <c r="N400" s="62">
        <f t="shared" ref="N400:S401" si="153">$E400*$G400*H400</f>
        <v>9901.5085714285724</v>
      </c>
      <c r="O400" s="62">
        <f t="shared" si="153"/>
        <v>10389.082857142857</v>
      </c>
      <c r="P400" s="62">
        <f t="shared" si="153"/>
        <v>11626.771428571428</v>
      </c>
      <c r="Q400" s="62">
        <f t="shared" si="153"/>
        <v>12114.345714285713</v>
      </c>
      <c r="R400" s="62">
        <f t="shared" si="153"/>
        <v>0</v>
      </c>
      <c r="S400" s="75">
        <f t="shared" si="153"/>
        <v>0</v>
      </c>
    </row>
    <row r="401" spans="1:19" s="13" customFormat="1">
      <c r="A401" s="34" t="s">
        <v>43</v>
      </c>
      <c r="B401" s="65" t="s">
        <v>671</v>
      </c>
      <c r="C401" s="12" t="s">
        <v>91</v>
      </c>
      <c r="D401" s="58"/>
      <c r="E401" s="36">
        <v>1</v>
      </c>
      <c r="F401" s="44">
        <f>VLOOKUP(B401,GiaVL!$B$4:'GiaVL'!$D$189,3,0)</f>
        <v>3990000</v>
      </c>
      <c r="G401" s="44">
        <f>F401/G$6</f>
        <v>997.5</v>
      </c>
      <c r="H401" s="251">
        <v>3.0000000000000001E-3</v>
      </c>
      <c r="I401" s="251">
        <v>4.0000000000000001E-3</v>
      </c>
      <c r="J401" s="251">
        <v>5.0000000000000001E-3</v>
      </c>
      <c r="K401" s="251">
        <v>5.0000000000000001E-3</v>
      </c>
      <c r="L401" s="251"/>
      <c r="M401" s="251"/>
      <c r="N401" s="62">
        <f t="shared" si="153"/>
        <v>2.9925000000000002</v>
      </c>
      <c r="O401" s="62">
        <f t="shared" si="153"/>
        <v>3.99</v>
      </c>
      <c r="P401" s="62">
        <f t="shared" si="153"/>
        <v>4.9874999999999998</v>
      </c>
      <c r="Q401" s="62">
        <f t="shared" si="153"/>
        <v>4.9874999999999998</v>
      </c>
      <c r="R401" s="62">
        <f t="shared" si="153"/>
        <v>0</v>
      </c>
      <c r="S401" s="75">
        <f t="shared" si="153"/>
        <v>0</v>
      </c>
    </row>
    <row r="402" spans="1:19" s="20" customFormat="1" ht="13.5">
      <c r="A402" s="46" t="s">
        <v>43</v>
      </c>
      <c r="B402" s="6" t="s">
        <v>645</v>
      </c>
      <c r="C402" s="12" t="s">
        <v>91</v>
      </c>
      <c r="D402" s="58">
        <v>2.2000000000000002</v>
      </c>
      <c r="E402" s="36">
        <v>1</v>
      </c>
      <c r="F402" s="44">
        <f>VLOOKUP(B402,GiaVL!$B$4:'GiaVL'!$D$189,3,0)</f>
        <v>9910000</v>
      </c>
      <c r="G402" s="44">
        <f>F402/8/500</f>
        <v>2477.5</v>
      </c>
      <c r="H402" s="251">
        <v>0.7</v>
      </c>
      <c r="I402" s="251">
        <v>0.74</v>
      </c>
      <c r="J402" s="251">
        <v>0.83</v>
      </c>
      <c r="K402" s="251">
        <v>0.86</v>
      </c>
      <c r="L402" s="251"/>
      <c r="M402" s="251"/>
      <c r="N402" s="62">
        <f>$E402*$G402*H402</f>
        <v>1734.25</v>
      </c>
      <c r="O402" s="62">
        <f>$E402*$G402*I402</f>
        <v>1833.35</v>
      </c>
      <c r="P402" s="62">
        <f>$E402*$G402*J402</f>
        <v>2056.3249999999998</v>
      </c>
      <c r="Q402" s="62">
        <f>$E402*$G402*K402</f>
        <v>2130.65</v>
      </c>
      <c r="R402" s="62">
        <f>$E402*$G402*L402</f>
        <v>0</v>
      </c>
      <c r="S402" s="74">
        <f>$G402*M402</f>
        <v>0</v>
      </c>
    </row>
    <row r="403" spans="1:19" s="13" customFormat="1" ht="13.5">
      <c r="A403" s="34" t="s">
        <v>43</v>
      </c>
      <c r="B403" s="21" t="s">
        <v>612</v>
      </c>
      <c r="C403" s="22" t="s">
        <v>117</v>
      </c>
      <c r="D403" s="57">
        <v>1</v>
      </c>
      <c r="E403" s="47"/>
      <c r="F403" s="44">
        <f>VLOOKUP(B403,GiaVL!$B$4:'GiaVL'!$D$189,3,0)</f>
        <v>2226</v>
      </c>
      <c r="G403" s="48">
        <f>D403*F403</f>
        <v>2226</v>
      </c>
      <c r="H403" s="251">
        <v>20.81</v>
      </c>
      <c r="I403" s="251">
        <v>21.82</v>
      </c>
      <c r="J403" s="251">
        <v>24.42</v>
      </c>
      <c r="K403" s="251">
        <v>25.42</v>
      </c>
      <c r="L403" s="250"/>
      <c r="M403" s="250"/>
      <c r="N403" s="76">
        <f>$G403*H403</f>
        <v>46323.06</v>
      </c>
      <c r="O403" s="76">
        <f>$G403*I403</f>
        <v>48571.32</v>
      </c>
      <c r="P403" s="76">
        <f>$G403*J403</f>
        <v>54358.920000000006</v>
      </c>
      <c r="Q403" s="76">
        <f>$G403*K403</f>
        <v>56584.920000000006</v>
      </c>
      <c r="R403" s="76">
        <f>$G403*L403</f>
        <v>0</v>
      </c>
      <c r="S403" s="75"/>
    </row>
    <row r="404" spans="1:19" s="15" customFormat="1">
      <c r="A404" s="35" t="s">
        <v>37</v>
      </c>
      <c r="B404" s="32" t="s">
        <v>407</v>
      </c>
      <c r="C404" s="38" t="s">
        <v>43</v>
      </c>
      <c r="D404" s="56"/>
      <c r="E404" s="37"/>
      <c r="F404" s="45"/>
      <c r="G404" s="45"/>
      <c r="H404" s="249" t="s">
        <v>199</v>
      </c>
      <c r="I404" s="249" t="s">
        <v>199</v>
      </c>
      <c r="J404" s="249" t="s">
        <v>199</v>
      </c>
      <c r="K404" s="249" t="s">
        <v>199</v>
      </c>
      <c r="L404" s="249"/>
      <c r="M404" s="249"/>
      <c r="N404" s="76">
        <f>SUM(N405:N407)</f>
        <v>17459.622857142858</v>
      </c>
      <c r="O404" s="76">
        <f>SUM(O405:O407)</f>
        <v>18360.382142857143</v>
      </c>
      <c r="P404" s="76">
        <f>SUM(P405:P407)</f>
        <v>20547.007142857143</v>
      </c>
      <c r="Q404" s="76">
        <f>SUM(Q405:Q407)</f>
        <v>21399.213928571426</v>
      </c>
      <c r="R404" s="76">
        <f>SUM(R405:R407)</f>
        <v>0</v>
      </c>
      <c r="S404" s="77">
        <f>SUM(S405:S406)</f>
        <v>0</v>
      </c>
    </row>
    <row r="405" spans="1:19" s="13" customFormat="1">
      <c r="A405" s="34" t="s">
        <v>43</v>
      </c>
      <c r="B405" s="23" t="s">
        <v>264</v>
      </c>
      <c r="C405" s="12" t="s">
        <v>91</v>
      </c>
      <c r="D405" s="58">
        <v>0.35</v>
      </c>
      <c r="E405" s="36">
        <v>1</v>
      </c>
      <c r="F405" s="44">
        <f>VLOOKUP(B405,GiaVL!$B$4:'GiaVL'!$D$189,3,0)</f>
        <v>13127000</v>
      </c>
      <c r="G405" s="44">
        <f>F405/G$5</f>
        <v>3750.5714285714284</v>
      </c>
      <c r="H405" s="251">
        <v>3.96</v>
      </c>
      <c r="I405" s="251">
        <v>4.16</v>
      </c>
      <c r="J405" s="251">
        <v>4.6500000000000004</v>
      </c>
      <c r="K405" s="251">
        <v>4.8499999999999996</v>
      </c>
      <c r="L405" s="251"/>
      <c r="M405" s="251"/>
      <c r="N405" s="62">
        <f t="shared" ref="N405:S406" si="154">$E405*$G405*H405</f>
        <v>14852.262857142856</v>
      </c>
      <c r="O405" s="62">
        <f t="shared" si="154"/>
        <v>15602.377142857144</v>
      </c>
      <c r="P405" s="62">
        <f t="shared" si="154"/>
        <v>17440.157142857144</v>
      </c>
      <c r="Q405" s="62">
        <f t="shared" si="154"/>
        <v>18190.271428571428</v>
      </c>
      <c r="R405" s="62">
        <f t="shared" si="154"/>
        <v>0</v>
      </c>
      <c r="S405" s="75">
        <f t="shared" si="154"/>
        <v>0</v>
      </c>
    </row>
    <row r="406" spans="1:19" s="13" customFormat="1">
      <c r="A406" s="34" t="s">
        <v>43</v>
      </c>
      <c r="B406" s="65" t="s">
        <v>671</v>
      </c>
      <c r="C406" s="12" t="s">
        <v>91</v>
      </c>
      <c r="D406" s="58"/>
      <c r="E406" s="36">
        <v>1</v>
      </c>
      <c r="F406" s="44">
        <f>VLOOKUP(B406,GiaVL!$B$4:'GiaVL'!$D$189,3,0)</f>
        <v>3990000</v>
      </c>
      <c r="G406" s="44">
        <f>F406/G$6</f>
        <v>997.5</v>
      </c>
      <c r="H406" s="251">
        <v>6.0000000000000001E-3</v>
      </c>
      <c r="I406" s="251">
        <v>8.0000000000000002E-3</v>
      </c>
      <c r="J406" s="251">
        <v>0.01</v>
      </c>
      <c r="K406" s="251">
        <v>1.2999999999999999E-2</v>
      </c>
      <c r="L406" s="251"/>
      <c r="M406" s="251"/>
      <c r="N406" s="62">
        <f t="shared" si="154"/>
        <v>5.9850000000000003</v>
      </c>
      <c r="O406" s="62">
        <f t="shared" si="154"/>
        <v>7.98</v>
      </c>
      <c r="P406" s="62">
        <f t="shared" si="154"/>
        <v>9.9749999999999996</v>
      </c>
      <c r="Q406" s="62">
        <f t="shared" si="154"/>
        <v>12.967499999999999</v>
      </c>
      <c r="R406" s="62">
        <f t="shared" si="154"/>
        <v>0</v>
      </c>
      <c r="S406" s="75">
        <f t="shared" si="154"/>
        <v>0</v>
      </c>
    </row>
    <row r="407" spans="1:19" s="20" customFormat="1" ht="13.5">
      <c r="A407" s="46" t="s">
        <v>43</v>
      </c>
      <c r="B407" s="6" t="s">
        <v>645</v>
      </c>
      <c r="C407" s="12" t="s">
        <v>91</v>
      </c>
      <c r="D407" s="58">
        <v>2.2000000000000002</v>
      </c>
      <c r="E407" s="36">
        <v>1</v>
      </c>
      <c r="F407" s="44">
        <f>VLOOKUP(B407,GiaVL!$B$4:'GiaVL'!$D$189,3,0)</f>
        <v>9910000</v>
      </c>
      <c r="G407" s="44">
        <f>F407/8/500</f>
        <v>2477.5</v>
      </c>
      <c r="H407" s="251">
        <v>1.05</v>
      </c>
      <c r="I407" s="251">
        <v>1.1100000000000001</v>
      </c>
      <c r="J407" s="251">
        <v>1.25</v>
      </c>
      <c r="K407" s="251">
        <v>1.29</v>
      </c>
      <c r="L407" s="251"/>
      <c r="M407" s="251"/>
      <c r="N407" s="62">
        <f>$E407*$G407*H407</f>
        <v>2601.375</v>
      </c>
      <c r="O407" s="62">
        <f>$E407*$G407*I407</f>
        <v>2750.0250000000001</v>
      </c>
      <c r="P407" s="62">
        <f>$E407*$G407*J407</f>
        <v>3096.875</v>
      </c>
      <c r="Q407" s="62">
        <f>$E407*$G407*K407</f>
        <v>3195.9749999999999</v>
      </c>
      <c r="R407" s="62">
        <f>$E407*$G407*L407</f>
        <v>0</v>
      </c>
      <c r="S407" s="74">
        <f>$G407*M407</f>
        <v>0</v>
      </c>
    </row>
    <row r="408" spans="1:19" s="13" customFormat="1" ht="13.5">
      <c r="A408" s="34" t="s">
        <v>43</v>
      </c>
      <c r="B408" s="21" t="s">
        <v>612</v>
      </c>
      <c r="C408" s="22" t="s">
        <v>117</v>
      </c>
      <c r="D408" s="57">
        <v>1</v>
      </c>
      <c r="E408" s="47"/>
      <c r="F408" s="44">
        <f>VLOOKUP(B408,GiaVL!$B$4:'GiaVL'!$D$189,3,0)</f>
        <v>2226</v>
      </c>
      <c r="G408" s="48">
        <f>D408*F408</f>
        <v>2226</v>
      </c>
      <c r="H408" s="251">
        <v>31.22</v>
      </c>
      <c r="I408" s="251">
        <v>32.770000000000003</v>
      </c>
      <c r="J408" s="251">
        <v>36.64</v>
      </c>
      <c r="K408" s="251">
        <v>38.14</v>
      </c>
      <c r="L408" s="250"/>
      <c r="M408" s="250"/>
      <c r="N408" s="76">
        <f>$G408*H408</f>
        <v>69495.72</v>
      </c>
      <c r="O408" s="76">
        <f>$G408*I408</f>
        <v>72946.02</v>
      </c>
      <c r="P408" s="76">
        <f>$G408*J408</f>
        <v>81560.639999999999</v>
      </c>
      <c r="Q408" s="76">
        <f>$G408*K408</f>
        <v>84899.64</v>
      </c>
      <c r="R408" s="76">
        <f>$G408*L408</f>
        <v>0</v>
      </c>
      <c r="S408" s="75"/>
    </row>
    <row r="409" spans="1:19" s="13" customFormat="1" ht="13.5">
      <c r="A409" s="34"/>
      <c r="B409" s="21"/>
      <c r="C409" s="22"/>
      <c r="D409" s="57"/>
      <c r="E409" s="47"/>
      <c r="F409" s="48"/>
      <c r="G409" s="48"/>
      <c r="H409" s="251"/>
      <c r="I409" s="251"/>
      <c r="J409" s="251"/>
      <c r="K409" s="251"/>
      <c r="L409" s="250"/>
      <c r="M409" s="250"/>
      <c r="N409" s="76"/>
      <c r="O409" s="76"/>
      <c r="P409" s="76"/>
      <c r="Q409" s="76"/>
      <c r="R409" s="76"/>
      <c r="S409" s="75"/>
    </row>
    <row r="410" spans="1:19" s="15" customFormat="1">
      <c r="A410" s="8">
        <v>2.2999999999999998</v>
      </c>
      <c r="B410" s="54" t="s">
        <v>295</v>
      </c>
      <c r="C410" s="25"/>
      <c r="D410" s="56"/>
      <c r="E410" s="25"/>
      <c r="F410" s="45"/>
      <c r="G410" s="45"/>
      <c r="H410" s="249"/>
      <c r="I410" s="249"/>
      <c r="J410" s="249"/>
      <c r="K410" s="249"/>
      <c r="L410" s="249"/>
      <c r="M410" s="249"/>
      <c r="N410" s="76"/>
      <c r="O410" s="76"/>
      <c r="P410" s="76"/>
      <c r="Q410" s="76"/>
      <c r="R410" s="76"/>
      <c r="S410" s="77"/>
    </row>
    <row r="411" spans="1:19" s="15" customFormat="1">
      <c r="A411" s="35" t="s">
        <v>27</v>
      </c>
      <c r="B411" s="32" t="s">
        <v>296</v>
      </c>
      <c r="C411" s="38"/>
      <c r="D411" s="56"/>
      <c r="E411" s="37"/>
      <c r="F411" s="45"/>
      <c r="G411" s="45"/>
      <c r="H411" s="249"/>
      <c r="I411" s="249"/>
      <c r="J411" s="249"/>
      <c r="K411" s="249"/>
      <c r="L411" s="249"/>
      <c r="M411" s="249"/>
      <c r="N411" s="76">
        <f t="shared" ref="N411:S411" si="155">SUM(N412:N413)</f>
        <v>6891.4414285714283</v>
      </c>
      <c r="O411" s="76">
        <f t="shared" si="155"/>
        <v>0</v>
      </c>
      <c r="P411" s="76">
        <f t="shared" si="155"/>
        <v>0</v>
      </c>
      <c r="Q411" s="76">
        <f t="shared" si="155"/>
        <v>0</v>
      </c>
      <c r="R411" s="76">
        <f t="shared" si="155"/>
        <v>0</v>
      </c>
      <c r="S411" s="77">
        <f t="shared" si="155"/>
        <v>0</v>
      </c>
    </row>
    <row r="412" spans="1:19" s="13" customFormat="1">
      <c r="A412" s="34" t="s">
        <v>43</v>
      </c>
      <c r="B412" s="23" t="s">
        <v>264</v>
      </c>
      <c r="C412" s="12" t="s">
        <v>91</v>
      </c>
      <c r="D412" s="58">
        <v>0.35</v>
      </c>
      <c r="E412" s="36">
        <v>1</v>
      </c>
      <c r="F412" s="44">
        <f>VLOOKUP(B412,GiaVL!$B$4:'GiaVL'!$D$189,3,0)</f>
        <v>13127000</v>
      </c>
      <c r="G412" s="44">
        <f>F412/G$5</f>
        <v>3750.5714285714284</v>
      </c>
      <c r="H412" s="251">
        <v>1.56</v>
      </c>
      <c r="I412" s="251"/>
      <c r="J412" s="251"/>
      <c r="K412" s="251"/>
      <c r="L412" s="251"/>
      <c r="M412" s="251"/>
      <c r="N412" s="62">
        <f>$E412*$G412*H412</f>
        <v>5850.8914285714282</v>
      </c>
      <c r="O412" s="62">
        <f t="shared" ref="O412:S413" si="156">$E412*$G412*I412</f>
        <v>0</v>
      </c>
      <c r="P412" s="62">
        <f t="shared" si="156"/>
        <v>0</v>
      </c>
      <c r="Q412" s="62">
        <f t="shared" si="156"/>
        <v>0</v>
      </c>
      <c r="R412" s="62">
        <f t="shared" si="156"/>
        <v>0</v>
      </c>
      <c r="S412" s="75">
        <f t="shared" si="156"/>
        <v>0</v>
      </c>
    </row>
    <row r="413" spans="1:19" s="13" customFormat="1">
      <c r="A413" s="34" t="s">
        <v>43</v>
      </c>
      <c r="B413" s="6" t="s">
        <v>645</v>
      </c>
      <c r="C413" s="12" t="s">
        <v>91</v>
      </c>
      <c r="D413" s="58">
        <v>2.2000000000000002</v>
      </c>
      <c r="E413" s="36">
        <v>1</v>
      </c>
      <c r="F413" s="44">
        <f>VLOOKUP(B413,GiaVL!$B$4:'GiaVL'!$D$189,3,0)</f>
        <v>9910000</v>
      </c>
      <c r="G413" s="44">
        <f>F413/8/500</f>
        <v>2477.5</v>
      </c>
      <c r="H413" s="251">
        <v>0.42</v>
      </c>
      <c r="I413" s="251"/>
      <c r="J413" s="251"/>
      <c r="K413" s="251"/>
      <c r="L413" s="251"/>
      <c r="M413" s="251"/>
      <c r="N413" s="62">
        <f>$E413*$G413*H413</f>
        <v>1040.55</v>
      </c>
      <c r="O413" s="62">
        <f t="shared" si="156"/>
        <v>0</v>
      </c>
      <c r="P413" s="62">
        <f t="shared" si="156"/>
        <v>0</v>
      </c>
      <c r="Q413" s="62">
        <f t="shared" si="156"/>
        <v>0</v>
      </c>
      <c r="R413" s="62">
        <f t="shared" si="156"/>
        <v>0</v>
      </c>
      <c r="S413" s="75">
        <f t="shared" si="156"/>
        <v>0</v>
      </c>
    </row>
    <row r="414" spans="1:19" s="20" customFormat="1" ht="13.5">
      <c r="A414" s="46" t="s">
        <v>43</v>
      </c>
      <c r="B414" s="21" t="s">
        <v>612</v>
      </c>
      <c r="C414" s="22" t="s">
        <v>117</v>
      </c>
      <c r="D414" s="57">
        <v>1</v>
      </c>
      <c r="E414" s="47"/>
      <c r="F414" s="44">
        <f>VLOOKUP(B414,GiaVL!$B$4:'GiaVL'!$D$189,3,0)</f>
        <v>2226</v>
      </c>
      <c r="G414" s="48">
        <f>D414*F414</f>
        <v>2226</v>
      </c>
      <c r="H414" s="251">
        <v>12.3</v>
      </c>
      <c r="I414" s="251"/>
      <c r="J414" s="251"/>
      <c r="K414" s="251"/>
      <c r="L414" s="250"/>
      <c r="M414" s="250"/>
      <c r="N414" s="76">
        <f t="shared" ref="N414:S414" si="157">$G414*H414</f>
        <v>27379.800000000003</v>
      </c>
      <c r="O414" s="76">
        <f t="shared" si="157"/>
        <v>0</v>
      </c>
      <c r="P414" s="76">
        <f t="shared" si="157"/>
        <v>0</v>
      </c>
      <c r="Q414" s="76">
        <f t="shared" si="157"/>
        <v>0</v>
      </c>
      <c r="R414" s="76">
        <f t="shared" si="157"/>
        <v>0</v>
      </c>
      <c r="S414" s="74">
        <f t="shared" si="157"/>
        <v>0</v>
      </c>
    </row>
    <row r="415" spans="1:19" s="13" customFormat="1">
      <c r="A415" s="34" t="s">
        <v>43</v>
      </c>
      <c r="B415" s="21" t="s">
        <v>43</v>
      </c>
      <c r="C415" s="12" t="s">
        <v>43</v>
      </c>
      <c r="D415" s="58"/>
      <c r="E415" s="36"/>
      <c r="F415" s="44"/>
      <c r="G415" s="44"/>
      <c r="H415" s="251"/>
      <c r="I415" s="251"/>
      <c r="J415" s="251"/>
      <c r="K415" s="251"/>
      <c r="L415" s="251"/>
      <c r="M415" s="251"/>
      <c r="N415" s="62"/>
      <c r="O415" s="62"/>
      <c r="P415" s="62"/>
      <c r="Q415" s="62"/>
      <c r="R415" s="62"/>
      <c r="S415" s="75"/>
    </row>
    <row r="416" spans="1:19">
      <c r="A416" s="71"/>
      <c r="B416" s="6"/>
      <c r="C416" s="18"/>
      <c r="D416" s="27"/>
      <c r="E416" s="19"/>
      <c r="F416" s="63"/>
      <c r="G416" s="63"/>
      <c r="H416" s="262"/>
      <c r="I416" s="262"/>
      <c r="J416" s="262"/>
      <c r="K416" s="262"/>
      <c r="L416" s="262"/>
      <c r="M416" s="262"/>
      <c r="N416" s="78"/>
      <c r="O416" s="78"/>
      <c r="P416" s="78"/>
      <c r="Q416" s="78"/>
      <c r="R416" s="78"/>
      <c r="S416" s="79"/>
    </row>
    <row r="417" spans="1:19" s="13" customFormat="1">
      <c r="A417" s="35" t="s">
        <v>35</v>
      </c>
      <c r="B417" s="54" t="str">
        <f>Dcu!B294</f>
        <v xml:space="preserve">Biên tập BĐĐC và in; xác nhận hồ sơ các cấp; giao nộp sản phẩm </v>
      </c>
      <c r="C417" s="38"/>
      <c r="D417" s="58"/>
      <c r="E417" s="37"/>
      <c r="F417" s="44"/>
      <c r="G417" s="44"/>
      <c r="H417" s="251"/>
      <c r="I417" s="251"/>
      <c r="J417" s="251"/>
      <c r="K417" s="251"/>
      <c r="L417" s="251"/>
      <c r="M417" s="251"/>
      <c r="N417" s="62"/>
      <c r="O417" s="62"/>
      <c r="P417" s="62"/>
      <c r="Q417" s="62"/>
      <c r="R417" s="62"/>
      <c r="S417" s="75"/>
    </row>
    <row r="418" spans="1:19" s="15" customFormat="1">
      <c r="A418" s="35" t="s">
        <v>27</v>
      </c>
      <c r="B418" s="32" t="s">
        <v>230</v>
      </c>
      <c r="C418" s="38" t="s">
        <v>43</v>
      </c>
      <c r="D418" s="56"/>
      <c r="E418" s="37"/>
      <c r="F418" s="45"/>
      <c r="G418" s="45"/>
      <c r="H418" s="249"/>
      <c r="I418" s="249"/>
      <c r="J418" s="249"/>
      <c r="K418" s="249"/>
      <c r="L418" s="249"/>
      <c r="M418" s="249"/>
      <c r="N418" s="76">
        <f t="shared" ref="N418:S418" si="158">SUM(N419:N421)</f>
        <v>2815.42</v>
      </c>
      <c r="O418" s="76">
        <f t="shared" si="158"/>
        <v>0</v>
      </c>
      <c r="P418" s="76">
        <f t="shared" si="158"/>
        <v>0</v>
      </c>
      <c r="Q418" s="76">
        <f t="shared" si="158"/>
        <v>0</v>
      </c>
      <c r="R418" s="76">
        <f t="shared" si="158"/>
        <v>0</v>
      </c>
      <c r="S418" s="77">
        <f t="shared" si="158"/>
        <v>0</v>
      </c>
    </row>
    <row r="419" spans="1:19" s="13" customFormat="1">
      <c r="A419" s="34" t="s">
        <v>43</v>
      </c>
      <c r="B419" s="23" t="s">
        <v>264</v>
      </c>
      <c r="C419" s="12" t="s">
        <v>91</v>
      </c>
      <c r="D419" s="58">
        <v>0.35</v>
      </c>
      <c r="E419" s="36">
        <v>1</v>
      </c>
      <c r="F419" s="44">
        <f>VLOOKUP(B419,GiaVL!$B$4:'GiaVL'!$D$189,3,0)</f>
        <v>13127000</v>
      </c>
      <c r="G419" s="44">
        <f>F419/G$5</f>
        <v>3750.5714285714284</v>
      </c>
      <c r="H419" s="257">
        <v>0.31</v>
      </c>
      <c r="I419" s="257"/>
      <c r="J419" s="257"/>
      <c r="K419" s="257"/>
      <c r="L419" s="251"/>
      <c r="M419" s="251"/>
      <c r="N419" s="62">
        <f t="shared" ref="N419:S421" si="159">$E419*$G419*H419</f>
        <v>1162.6771428571428</v>
      </c>
      <c r="O419" s="62">
        <f t="shared" si="159"/>
        <v>0</v>
      </c>
      <c r="P419" s="62">
        <f t="shared" si="159"/>
        <v>0</v>
      </c>
      <c r="Q419" s="62">
        <f t="shared" si="159"/>
        <v>0</v>
      </c>
      <c r="R419" s="62">
        <f t="shared" si="159"/>
        <v>0</v>
      </c>
      <c r="S419" s="75">
        <f t="shared" si="159"/>
        <v>0</v>
      </c>
    </row>
    <row r="420" spans="1:19" s="13" customFormat="1">
      <c r="A420" s="34" t="s">
        <v>43</v>
      </c>
      <c r="B420" s="21" t="s">
        <v>247</v>
      </c>
      <c r="C420" s="12" t="s">
        <v>62</v>
      </c>
      <c r="D420" s="58">
        <v>0.4</v>
      </c>
      <c r="E420" s="12" t="s">
        <v>18</v>
      </c>
      <c r="F420" s="44">
        <f>VLOOKUP(B420,GiaVL!$B$4:'GiaVL'!$D$189,3,0)</f>
        <v>101818000</v>
      </c>
      <c r="G420" s="44">
        <f>F420/G$5</f>
        <v>29090.857142857141</v>
      </c>
      <c r="H420" s="257">
        <v>0.05</v>
      </c>
      <c r="I420" s="257"/>
      <c r="J420" s="257"/>
      <c r="K420" s="257"/>
      <c r="L420" s="251"/>
      <c r="M420" s="251"/>
      <c r="N420" s="62">
        <f t="shared" si="159"/>
        <v>1454.5428571428572</v>
      </c>
      <c r="O420" s="62">
        <f t="shared" si="159"/>
        <v>0</v>
      </c>
      <c r="P420" s="62">
        <f t="shared" si="159"/>
        <v>0</v>
      </c>
      <c r="Q420" s="62">
        <f t="shared" si="159"/>
        <v>0</v>
      </c>
      <c r="R420" s="62">
        <f t="shared" si="159"/>
        <v>0</v>
      </c>
      <c r="S420" s="75">
        <f t="shared" si="159"/>
        <v>0</v>
      </c>
    </row>
    <row r="421" spans="1:19" s="13" customFormat="1">
      <c r="A421" s="34" t="s">
        <v>43</v>
      </c>
      <c r="B421" s="6" t="s">
        <v>645</v>
      </c>
      <c r="C421" s="12" t="s">
        <v>62</v>
      </c>
      <c r="D421" s="58">
        <v>2.2000000000000002</v>
      </c>
      <c r="E421" s="36">
        <v>1</v>
      </c>
      <c r="F421" s="44">
        <f>VLOOKUP(B421,GiaVL!$B$4:'GiaVL'!$D$189,3,0)</f>
        <v>9910000</v>
      </c>
      <c r="G421" s="44">
        <f>F421/8/500</f>
        <v>2477.5</v>
      </c>
      <c r="H421" s="257">
        <v>0.08</v>
      </c>
      <c r="I421" s="257"/>
      <c r="J421" s="257"/>
      <c r="K421" s="257"/>
      <c r="L421" s="251"/>
      <c r="M421" s="251"/>
      <c r="N421" s="62">
        <f t="shared" si="159"/>
        <v>198.20000000000002</v>
      </c>
      <c r="O421" s="62">
        <f t="shared" si="159"/>
        <v>0</v>
      </c>
      <c r="P421" s="62">
        <f t="shared" si="159"/>
        <v>0</v>
      </c>
      <c r="Q421" s="62">
        <f t="shared" si="159"/>
        <v>0</v>
      </c>
      <c r="R421" s="62">
        <f t="shared" si="159"/>
        <v>0</v>
      </c>
      <c r="S421" s="75">
        <f t="shared" si="159"/>
        <v>0</v>
      </c>
    </row>
    <row r="422" spans="1:19" s="20" customFormat="1" ht="13.5">
      <c r="A422" s="46" t="s">
        <v>43</v>
      </c>
      <c r="B422" s="21" t="s">
        <v>612</v>
      </c>
      <c r="C422" s="22" t="s">
        <v>117</v>
      </c>
      <c r="D422" s="57">
        <v>1</v>
      </c>
      <c r="E422" s="12" t="s">
        <v>43</v>
      </c>
      <c r="F422" s="44">
        <f>VLOOKUP(B422,GiaVL!$B$4:'GiaVL'!$D$189,3,0)</f>
        <v>2226</v>
      </c>
      <c r="G422" s="48">
        <f>D422*F422</f>
        <v>2226</v>
      </c>
      <c r="H422" s="257">
        <v>2.6</v>
      </c>
      <c r="I422" s="257"/>
      <c r="J422" s="257"/>
      <c r="K422" s="257"/>
      <c r="L422" s="250"/>
      <c r="M422" s="250"/>
      <c r="N422" s="76">
        <f t="shared" ref="N422:S422" si="160">$G422*H422</f>
        <v>5787.6</v>
      </c>
      <c r="O422" s="76">
        <f t="shared" si="160"/>
        <v>0</v>
      </c>
      <c r="P422" s="76">
        <f t="shared" si="160"/>
        <v>0</v>
      </c>
      <c r="Q422" s="76">
        <f t="shared" si="160"/>
        <v>0</v>
      </c>
      <c r="R422" s="76">
        <f t="shared" si="160"/>
        <v>0</v>
      </c>
      <c r="S422" s="74">
        <f t="shared" si="160"/>
        <v>0</v>
      </c>
    </row>
    <row r="423" spans="1:19" s="15" customFormat="1">
      <c r="A423" s="35" t="s">
        <v>28</v>
      </c>
      <c r="B423" s="32" t="s">
        <v>231</v>
      </c>
      <c r="C423" s="38" t="s">
        <v>43</v>
      </c>
      <c r="D423" s="56"/>
      <c r="E423" s="12" t="s">
        <v>43</v>
      </c>
      <c r="F423" s="45"/>
      <c r="G423" s="45"/>
      <c r="H423" s="258" t="s">
        <v>199</v>
      </c>
      <c r="I423" s="258"/>
      <c r="J423" s="258"/>
      <c r="K423" s="258"/>
      <c r="L423" s="249"/>
      <c r="M423" s="249"/>
      <c r="N423" s="76">
        <f t="shared" ref="N423:S423" si="161">SUM(N424:N426)</f>
        <v>488.3997714285714</v>
      </c>
      <c r="O423" s="76">
        <f t="shared" si="161"/>
        <v>0</v>
      </c>
      <c r="P423" s="76">
        <f t="shared" si="161"/>
        <v>0</v>
      </c>
      <c r="Q423" s="76">
        <f t="shared" si="161"/>
        <v>0</v>
      </c>
      <c r="R423" s="76">
        <f t="shared" si="161"/>
        <v>0</v>
      </c>
      <c r="S423" s="77">
        <f t="shared" si="161"/>
        <v>0</v>
      </c>
    </row>
    <row r="424" spans="1:19" s="13" customFormat="1">
      <c r="A424" s="34" t="s">
        <v>43</v>
      </c>
      <c r="B424" s="23" t="s">
        <v>264</v>
      </c>
      <c r="C424" s="12" t="s">
        <v>91</v>
      </c>
      <c r="D424" s="58">
        <v>0.35</v>
      </c>
      <c r="E424" s="36">
        <v>1</v>
      </c>
      <c r="F424" s="44">
        <f>VLOOKUP(B424,GiaVL!$B$4:'GiaVL'!$D$189,3,0)</f>
        <v>13127000</v>
      </c>
      <c r="G424" s="44">
        <f>F424/G$5</f>
        <v>3750.5714285714284</v>
      </c>
      <c r="H424" s="257">
        <v>0.36</v>
      </c>
      <c r="I424" s="257"/>
      <c r="J424" s="257"/>
      <c r="K424" s="257"/>
      <c r="L424" s="257"/>
      <c r="M424" s="257"/>
      <c r="N424" s="62">
        <f>$E424*$G424*H424/6.25</f>
        <v>216.0329142857143</v>
      </c>
      <c r="O424" s="62">
        <f t="shared" ref="O424:S426" si="162">$E424*$G424*I424</f>
        <v>0</v>
      </c>
      <c r="P424" s="62">
        <f t="shared" si="162"/>
        <v>0</v>
      </c>
      <c r="Q424" s="62">
        <f t="shared" si="162"/>
        <v>0</v>
      </c>
      <c r="R424" s="62">
        <f t="shared" si="162"/>
        <v>0</v>
      </c>
      <c r="S424" s="75">
        <f t="shared" si="162"/>
        <v>0</v>
      </c>
    </row>
    <row r="425" spans="1:19" s="13" customFormat="1">
      <c r="A425" s="34" t="s">
        <v>43</v>
      </c>
      <c r="B425" s="21" t="s">
        <v>247</v>
      </c>
      <c r="C425" s="12" t="s">
        <v>62</v>
      </c>
      <c r="D425" s="58">
        <v>0.4</v>
      </c>
      <c r="E425" s="12" t="s">
        <v>18</v>
      </c>
      <c r="F425" s="44">
        <f>VLOOKUP(B425,GiaVL!$B$4:'GiaVL'!$D$189,3,0)</f>
        <v>101818000</v>
      </c>
      <c r="G425" s="44">
        <f>F425/G$5</f>
        <v>29090.857142857141</v>
      </c>
      <c r="H425" s="257">
        <v>0.05</v>
      </c>
      <c r="I425" s="257"/>
      <c r="J425" s="257"/>
      <c r="K425" s="257"/>
      <c r="L425" s="257"/>
      <c r="M425" s="257"/>
      <c r="N425" s="62">
        <f>$E425*$G425*H425/6.25</f>
        <v>232.72685714285714</v>
      </c>
      <c r="O425" s="62">
        <f t="shared" si="162"/>
        <v>0</v>
      </c>
      <c r="P425" s="62">
        <f t="shared" si="162"/>
        <v>0</v>
      </c>
      <c r="Q425" s="62">
        <f t="shared" si="162"/>
        <v>0</v>
      </c>
      <c r="R425" s="62">
        <f t="shared" si="162"/>
        <v>0</v>
      </c>
      <c r="S425" s="75">
        <f t="shared" si="162"/>
        <v>0</v>
      </c>
    </row>
    <row r="426" spans="1:19" s="13" customFormat="1">
      <c r="A426" s="34" t="s">
        <v>43</v>
      </c>
      <c r="B426" s="6" t="s">
        <v>645</v>
      </c>
      <c r="C426" s="12" t="s">
        <v>62</v>
      </c>
      <c r="D426" s="58">
        <v>2.2000000000000002</v>
      </c>
      <c r="E426" s="36">
        <v>1</v>
      </c>
      <c r="F426" s="44">
        <f>VLOOKUP(B426,GiaVL!$B$4:'GiaVL'!$D$189,3,0)</f>
        <v>9910000</v>
      </c>
      <c r="G426" s="44">
        <f>F426/8/500</f>
        <v>2477.5</v>
      </c>
      <c r="H426" s="257">
        <v>0.1</v>
      </c>
      <c r="I426" s="257"/>
      <c r="J426" s="257"/>
      <c r="K426" s="257"/>
      <c r="L426" s="257"/>
      <c r="M426" s="257"/>
      <c r="N426" s="62">
        <f>$E426*$G426*H426/6.25</f>
        <v>39.64</v>
      </c>
      <c r="O426" s="62">
        <f t="shared" si="162"/>
        <v>0</v>
      </c>
      <c r="P426" s="62">
        <f t="shared" si="162"/>
        <v>0</v>
      </c>
      <c r="Q426" s="62">
        <f t="shared" si="162"/>
        <v>0</v>
      </c>
      <c r="R426" s="62">
        <f t="shared" si="162"/>
        <v>0</v>
      </c>
      <c r="S426" s="75">
        <f t="shared" si="162"/>
        <v>0</v>
      </c>
    </row>
    <row r="427" spans="1:19" s="20" customFormat="1" ht="13.5">
      <c r="A427" s="46" t="s">
        <v>43</v>
      </c>
      <c r="B427" s="21" t="s">
        <v>612</v>
      </c>
      <c r="C427" s="22" t="s">
        <v>117</v>
      </c>
      <c r="D427" s="57">
        <v>1</v>
      </c>
      <c r="E427" s="12" t="s">
        <v>43</v>
      </c>
      <c r="F427" s="44">
        <f>VLOOKUP(B427,GiaVL!$B$4:'GiaVL'!$D$189,3,0)</f>
        <v>2226</v>
      </c>
      <c r="G427" s="48">
        <f>D427*F427</f>
        <v>2226</v>
      </c>
      <c r="H427" s="257">
        <v>3</v>
      </c>
      <c r="I427" s="257"/>
      <c r="J427" s="257"/>
      <c r="K427" s="257"/>
      <c r="L427" s="257"/>
      <c r="M427" s="257"/>
      <c r="N427" s="76">
        <f>$G427*H427/6.25</f>
        <v>1068.48</v>
      </c>
      <c r="O427" s="76">
        <f>$G427*I427</f>
        <v>0</v>
      </c>
      <c r="P427" s="76">
        <f>$G427*J427</f>
        <v>0</v>
      </c>
      <c r="Q427" s="76">
        <f>$G427*K427</f>
        <v>0</v>
      </c>
      <c r="R427" s="76">
        <f>$G427*L427</f>
        <v>0</v>
      </c>
      <c r="S427" s="74">
        <f>$G427*M427</f>
        <v>0</v>
      </c>
    </row>
    <row r="428" spans="1:19" s="15" customFormat="1">
      <c r="A428" s="35" t="s">
        <v>29</v>
      </c>
      <c r="B428" s="32" t="s">
        <v>235</v>
      </c>
      <c r="C428" s="38" t="s">
        <v>43</v>
      </c>
      <c r="D428" s="56"/>
      <c r="E428" s="12" t="s">
        <v>43</v>
      </c>
      <c r="F428" s="45"/>
      <c r="G428" s="45"/>
      <c r="H428" s="258" t="s">
        <v>199</v>
      </c>
      <c r="I428" s="258"/>
      <c r="J428" s="258"/>
      <c r="K428" s="258"/>
      <c r="L428" s="258"/>
      <c r="M428" s="258"/>
      <c r="N428" s="76">
        <f t="shared" ref="N428:S428" si="163">SUM(N429:N431)</f>
        <v>130.5920857142857</v>
      </c>
      <c r="O428" s="76">
        <f t="shared" si="163"/>
        <v>0</v>
      </c>
      <c r="P428" s="76">
        <f t="shared" si="163"/>
        <v>0</v>
      </c>
      <c r="Q428" s="76">
        <f t="shared" si="163"/>
        <v>0</v>
      </c>
      <c r="R428" s="76">
        <f t="shared" si="163"/>
        <v>0</v>
      </c>
      <c r="S428" s="77">
        <f t="shared" si="163"/>
        <v>0</v>
      </c>
    </row>
    <row r="429" spans="1:19" s="13" customFormat="1">
      <c r="A429" s="34" t="s">
        <v>43</v>
      </c>
      <c r="B429" s="23" t="s">
        <v>264</v>
      </c>
      <c r="C429" s="12" t="s">
        <v>91</v>
      </c>
      <c r="D429" s="58">
        <v>0.35</v>
      </c>
      <c r="E429" s="36">
        <v>1</v>
      </c>
      <c r="F429" s="44">
        <f>VLOOKUP(B429,GiaVL!$B$4:'GiaVL'!$D$189,3,0)</f>
        <v>13127000</v>
      </c>
      <c r="G429" s="44">
        <f>F429/G$5</f>
        <v>3750.5714285714284</v>
      </c>
      <c r="H429" s="257">
        <v>0.41</v>
      </c>
      <c r="I429" s="257"/>
      <c r="J429" s="257"/>
      <c r="K429" s="257"/>
      <c r="L429" s="257"/>
      <c r="M429" s="257"/>
      <c r="N429" s="62">
        <f>$E429*$G429*H429/25</f>
        <v>61.50937142857142</v>
      </c>
      <c r="O429" s="62">
        <f t="shared" ref="O429:S431" si="164">$E429*$G429*I429</f>
        <v>0</v>
      </c>
      <c r="P429" s="62">
        <f t="shared" si="164"/>
        <v>0</v>
      </c>
      <c r="Q429" s="62">
        <f t="shared" si="164"/>
        <v>0</v>
      </c>
      <c r="R429" s="62">
        <f t="shared" si="164"/>
        <v>0</v>
      </c>
      <c r="S429" s="75">
        <f t="shared" si="164"/>
        <v>0</v>
      </c>
    </row>
    <row r="430" spans="1:19" s="13" customFormat="1">
      <c r="A430" s="34" t="s">
        <v>43</v>
      </c>
      <c r="B430" s="21" t="s">
        <v>247</v>
      </c>
      <c r="C430" s="12" t="s">
        <v>62</v>
      </c>
      <c r="D430" s="58">
        <v>0.4</v>
      </c>
      <c r="E430" s="12" t="s">
        <v>18</v>
      </c>
      <c r="F430" s="44">
        <f>VLOOKUP(B430,GiaVL!$B$4:'GiaVL'!$D$189,3,0)</f>
        <v>101818000</v>
      </c>
      <c r="G430" s="44">
        <f>F430/G$5</f>
        <v>29090.857142857141</v>
      </c>
      <c r="H430" s="257">
        <v>0.05</v>
      </c>
      <c r="I430" s="257"/>
      <c r="J430" s="257"/>
      <c r="K430" s="257"/>
      <c r="L430" s="257"/>
      <c r="M430" s="257"/>
      <c r="N430" s="62">
        <f>$E430*$G430*H430/25</f>
        <v>58.181714285714285</v>
      </c>
      <c r="O430" s="62">
        <f t="shared" si="164"/>
        <v>0</v>
      </c>
      <c r="P430" s="62">
        <f t="shared" si="164"/>
        <v>0</v>
      </c>
      <c r="Q430" s="62">
        <f t="shared" si="164"/>
        <v>0</v>
      </c>
      <c r="R430" s="62">
        <f t="shared" si="164"/>
        <v>0</v>
      </c>
      <c r="S430" s="75">
        <f t="shared" si="164"/>
        <v>0</v>
      </c>
    </row>
    <row r="431" spans="1:19" s="13" customFormat="1">
      <c r="A431" s="34" t="s">
        <v>43</v>
      </c>
      <c r="B431" s="6" t="s">
        <v>645</v>
      </c>
      <c r="C431" s="12" t="s">
        <v>62</v>
      </c>
      <c r="D431" s="58">
        <v>2.2000000000000002</v>
      </c>
      <c r="E431" s="36">
        <v>1</v>
      </c>
      <c r="F431" s="44">
        <f>VLOOKUP(B431,GiaVL!$B$4:'GiaVL'!$D$189,3,0)</f>
        <v>9910000</v>
      </c>
      <c r="G431" s="44">
        <f>F431/8/500</f>
        <v>2477.5</v>
      </c>
      <c r="H431" s="257">
        <v>0.11</v>
      </c>
      <c r="I431" s="257"/>
      <c r="J431" s="257"/>
      <c r="K431" s="257"/>
      <c r="L431" s="257"/>
      <c r="M431" s="257"/>
      <c r="N431" s="62">
        <f>$E431*$G431*H431/25</f>
        <v>10.901</v>
      </c>
      <c r="O431" s="62">
        <f t="shared" si="164"/>
        <v>0</v>
      </c>
      <c r="P431" s="62">
        <f t="shared" si="164"/>
        <v>0</v>
      </c>
      <c r="Q431" s="62">
        <f t="shared" si="164"/>
        <v>0</v>
      </c>
      <c r="R431" s="62">
        <f t="shared" si="164"/>
        <v>0</v>
      </c>
      <c r="S431" s="75">
        <f t="shared" si="164"/>
        <v>0</v>
      </c>
    </row>
    <row r="432" spans="1:19" s="20" customFormat="1" ht="13.5">
      <c r="A432" s="46" t="s">
        <v>43</v>
      </c>
      <c r="B432" s="21" t="s">
        <v>612</v>
      </c>
      <c r="C432" s="22" t="s">
        <v>117</v>
      </c>
      <c r="D432" s="57">
        <v>1</v>
      </c>
      <c r="E432" s="12" t="s">
        <v>43</v>
      </c>
      <c r="F432" s="44">
        <f>VLOOKUP(B432,GiaVL!$B$4:'GiaVL'!$D$189,3,0)</f>
        <v>2226</v>
      </c>
      <c r="G432" s="48">
        <f>D432*F432</f>
        <v>2226</v>
      </c>
      <c r="H432" s="257">
        <v>3.4</v>
      </c>
      <c r="I432" s="257"/>
      <c r="J432" s="257"/>
      <c r="K432" s="257"/>
      <c r="L432" s="257"/>
      <c r="M432" s="257"/>
      <c r="N432" s="76">
        <f>$G432*H432/25</f>
        <v>302.73599999999999</v>
      </c>
      <c r="O432" s="76">
        <f>$G432*I432</f>
        <v>0</v>
      </c>
      <c r="P432" s="76">
        <f>$G432*J432</f>
        <v>0</v>
      </c>
      <c r="Q432" s="76">
        <f>$G432*K432</f>
        <v>0</v>
      </c>
      <c r="R432" s="76">
        <f>$G432*L432</f>
        <v>0</v>
      </c>
      <c r="S432" s="74">
        <f>$G432*M432</f>
        <v>0</v>
      </c>
    </row>
    <row r="433" spans="1:19" s="15" customFormat="1">
      <c r="A433" s="35" t="s">
        <v>30</v>
      </c>
      <c r="B433" s="32" t="s">
        <v>236</v>
      </c>
      <c r="C433" s="38" t="s">
        <v>43</v>
      </c>
      <c r="D433" s="56"/>
      <c r="E433" s="12" t="s">
        <v>43</v>
      </c>
      <c r="F433" s="45"/>
      <c r="G433" s="45"/>
      <c r="H433" s="258" t="s">
        <v>199</v>
      </c>
      <c r="I433" s="258"/>
      <c r="J433" s="258"/>
      <c r="K433" s="258"/>
      <c r="L433" s="249"/>
      <c r="M433" s="249"/>
      <c r="N433" s="76">
        <f t="shared" ref="N433:S433" si="165">SUM(N434:N436)</f>
        <v>34.771057142857146</v>
      </c>
      <c r="O433" s="76">
        <f t="shared" si="165"/>
        <v>0</v>
      </c>
      <c r="P433" s="76">
        <f t="shared" si="165"/>
        <v>0</v>
      </c>
      <c r="Q433" s="76">
        <f t="shared" si="165"/>
        <v>0</v>
      </c>
      <c r="R433" s="76">
        <f t="shared" si="165"/>
        <v>0</v>
      </c>
      <c r="S433" s="77">
        <f t="shared" si="165"/>
        <v>0</v>
      </c>
    </row>
    <row r="434" spans="1:19" s="13" customFormat="1">
      <c r="A434" s="34" t="s">
        <v>43</v>
      </c>
      <c r="B434" s="23" t="s">
        <v>264</v>
      </c>
      <c r="C434" s="12" t="s">
        <v>91</v>
      </c>
      <c r="D434" s="58">
        <v>0.35</v>
      </c>
      <c r="E434" s="36">
        <v>1</v>
      </c>
      <c r="F434" s="44">
        <f>VLOOKUP(B434,GiaVL!$B$4:'GiaVL'!$D$189,3,0)</f>
        <v>13127000</v>
      </c>
      <c r="G434" s="44">
        <f>F434/G$5</f>
        <v>3750.5714285714284</v>
      </c>
      <c r="H434" s="257">
        <v>0.46</v>
      </c>
      <c r="I434" s="257"/>
      <c r="J434" s="257"/>
      <c r="K434" s="257"/>
      <c r="L434" s="251"/>
      <c r="M434" s="251"/>
      <c r="N434" s="62">
        <f>$E434*$G434*H434/100</f>
        <v>17.252628571428573</v>
      </c>
      <c r="O434" s="62">
        <f t="shared" ref="O434:S436" si="166">$E434*$G434*I434</f>
        <v>0</v>
      </c>
      <c r="P434" s="62">
        <f t="shared" si="166"/>
        <v>0</v>
      </c>
      <c r="Q434" s="62">
        <f t="shared" si="166"/>
        <v>0</v>
      </c>
      <c r="R434" s="62">
        <f t="shared" si="166"/>
        <v>0</v>
      </c>
      <c r="S434" s="75">
        <f t="shared" si="166"/>
        <v>0</v>
      </c>
    </row>
    <row r="435" spans="1:19" s="13" customFormat="1">
      <c r="A435" s="34" t="s">
        <v>43</v>
      </c>
      <c r="B435" s="21" t="s">
        <v>247</v>
      </c>
      <c r="C435" s="12" t="s">
        <v>62</v>
      </c>
      <c r="D435" s="58">
        <v>0.4</v>
      </c>
      <c r="E435" s="12" t="s">
        <v>18</v>
      </c>
      <c r="F435" s="44">
        <f>VLOOKUP(B435,GiaVL!$B$4:'GiaVL'!$D$189,3,0)</f>
        <v>101818000</v>
      </c>
      <c r="G435" s="44">
        <f>F435/G$5</f>
        <v>29090.857142857141</v>
      </c>
      <c r="H435" s="257">
        <v>0.05</v>
      </c>
      <c r="I435" s="257"/>
      <c r="J435" s="257"/>
      <c r="K435" s="257"/>
      <c r="L435" s="251"/>
      <c r="M435" s="251"/>
      <c r="N435" s="62">
        <f>$E435*$G435*H435/100</f>
        <v>14.545428571428571</v>
      </c>
      <c r="O435" s="62">
        <f t="shared" si="166"/>
        <v>0</v>
      </c>
      <c r="P435" s="62">
        <f t="shared" si="166"/>
        <v>0</v>
      </c>
      <c r="Q435" s="62">
        <f t="shared" si="166"/>
        <v>0</v>
      </c>
      <c r="R435" s="62">
        <f t="shared" si="166"/>
        <v>0</v>
      </c>
      <c r="S435" s="75">
        <f t="shared" si="166"/>
        <v>0</v>
      </c>
    </row>
    <row r="436" spans="1:19" s="13" customFormat="1">
      <c r="A436" s="34" t="s">
        <v>43</v>
      </c>
      <c r="B436" s="6" t="s">
        <v>645</v>
      </c>
      <c r="C436" s="12" t="s">
        <v>62</v>
      </c>
      <c r="D436" s="58">
        <v>2.2000000000000002</v>
      </c>
      <c r="E436" s="36">
        <v>1</v>
      </c>
      <c r="F436" s="44">
        <f>VLOOKUP(B436,GiaVL!$B$4:'GiaVL'!$D$189,3,0)</f>
        <v>9910000</v>
      </c>
      <c r="G436" s="44">
        <f>F436/8/500</f>
        <v>2477.5</v>
      </c>
      <c r="H436" s="257">
        <v>0.12</v>
      </c>
      <c r="I436" s="257"/>
      <c r="J436" s="257"/>
      <c r="K436" s="257"/>
      <c r="L436" s="251"/>
      <c r="M436" s="251"/>
      <c r="N436" s="62">
        <f>$E436*$G436*H436/100</f>
        <v>2.9730000000000003</v>
      </c>
      <c r="O436" s="62">
        <f t="shared" si="166"/>
        <v>0</v>
      </c>
      <c r="P436" s="62">
        <f t="shared" si="166"/>
        <v>0</v>
      </c>
      <c r="Q436" s="62">
        <f t="shared" si="166"/>
        <v>0</v>
      </c>
      <c r="R436" s="62">
        <f t="shared" si="166"/>
        <v>0</v>
      </c>
      <c r="S436" s="75">
        <f t="shared" si="166"/>
        <v>0</v>
      </c>
    </row>
    <row r="437" spans="1:19" s="20" customFormat="1" ht="13.5">
      <c r="A437" s="46" t="s">
        <v>43</v>
      </c>
      <c r="B437" s="21" t="s">
        <v>612</v>
      </c>
      <c r="C437" s="22" t="s">
        <v>117</v>
      </c>
      <c r="D437" s="57">
        <v>1</v>
      </c>
      <c r="E437" s="12" t="s">
        <v>43</v>
      </c>
      <c r="F437" s="44">
        <f>VLOOKUP(B437,GiaVL!$B$4:'GiaVL'!$D$189,3,0)</f>
        <v>2226</v>
      </c>
      <c r="G437" s="48">
        <f>D437*F437</f>
        <v>2226</v>
      </c>
      <c r="H437" s="257">
        <v>3.8</v>
      </c>
      <c r="I437" s="257"/>
      <c r="J437" s="257"/>
      <c r="K437" s="257"/>
      <c r="L437" s="257"/>
      <c r="M437" s="257"/>
      <c r="N437" s="76">
        <f>$G437*H437/100</f>
        <v>84.587999999999994</v>
      </c>
      <c r="O437" s="76">
        <f>$G437*I437</f>
        <v>0</v>
      </c>
      <c r="P437" s="76">
        <f>$G437*J437</f>
        <v>0</v>
      </c>
      <c r="Q437" s="76">
        <f>$G437*K437</f>
        <v>0</v>
      </c>
      <c r="R437" s="76">
        <f>$G437*L437</f>
        <v>0</v>
      </c>
      <c r="S437" s="74">
        <f>$G437*M437</f>
        <v>0</v>
      </c>
    </row>
    <row r="438" spans="1:19" s="15" customFormat="1">
      <c r="A438" s="35" t="s">
        <v>31</v>
      </c>
      <c r="B438" s="32" t="s">
        <v>237</v>
      </c>
      <c r="C438" s="38" t="s">
        <v>43</v>
      </c>
      <c r="D438" s="56"/>
      <c r="E438" s="12" t="s">
        <v>43</v>
      </c>
      <c r="F438" s="45"/>
      <c r="G438" s="45"/>
      <c r="H438" s="258" t="s">
        <v>199</v>
      </c>
      <c r="I438" s="259"/>
      <c r="J438" s="259"/>
      <c r="K438" s="259"/>
      <c r="L438" s="249"/>
      <c r="M438" s="249"/>
      <c r="N438" s="76">
        <f t="shared" ref="N438:S438" si="167">SUM(N439:N441)</f>
        <v>4.1268714285714285</v>
      </c>
      <c r="O438" s="76">
        <f t="shared" si="167"/>
        <v>0</v>
      </c>
      <c r="P438" s="76">
        <f t="shared" si="167"/>
        <v>0</v>
      </c>
      <c r="Q438" s="76">
        <f t="shared" si="167"/>
        <v>0</v>
      </c>
      <c r="R438" s="76">
        <f t="shared" si="167"/>
        <v>0</v>
      </c>
      <c r="S438" s="77">
        <f t="shared" si="167"/>
        <v>0</v>
      </c>
    </row>
    <row r="439" spans="1:19" s="13" customFormat="1">
      <c r="A439" s="34" t="s">
        <v>43</v>
      </c>
      <c r="B439" s="23" t="s">
        <v>264</v>
      </c>
      <c r="C439" s="12" t="s">
        <v>91</v>
      </c>
      <c r="D439" s="58">
        <v>0.35</v>
      </c>
      <c r="E439" s="36">
        <v>1</v>
      </c>
      <c r="F439" s="44">
        <f>VLOOKUP(B439,GiaVL!$B$4:'GiaVL'!$D$189,3,0)</f>
        <v>13127000</v>
      </c>
      <c r="G439" s="44">
        <f>F439/G$5</f>
        <v>3750.5714285714284</v>
      </c>
      <c r="H439" s="257">
        <v>0.51</v>
      </c>
      <c r="I439" s="257"/>
      <c r="J439" s="257"/>
      <c r="K439" s="257"/>
      <c r="L439" s="251"/>
      <c r="M439" s="251"/>
      <c r="N439" s="62">
        <f>$E439*$G439*H439/900</f>
        <v>2.1253238095238096</v>
      </c>
      <c r="O439" s="62">
        <f t="shared" ref="O439:S441" si="168">$E439*$G439*I439</f>
        <v>0</v>
      </c>
      <c r="P439" s="62">
        <f t="shared" si="168"/>
        <v>0</v>
      </c>
      <c r="Q439" s="62">
        <f t="shared" si="168"/>
        <v>0</v>
      </c>
      <c r="R439" s="62">
        <f t="shared" si="168"/>
        <v>0</v>
      </c>
      <c r="S439" s="75">
        <f t="shared" si="168"/>
        <v>0</v>
      </c>
    </row>
    <row r="440" spans="1:19" s="13" customFormat="1">
      <c r="A440" s="34" t="s">
        <v>43</v>
      </c>
      <c r="B440" s="21" t="s">
        <v>247</v>
      </c>
      <c r="C440" s="12" t="s">
        <v>62</v>
      </c>
      <c r="D440" s="58">
        <v>0.4</v>
      </c>
      <c r="E440" s="12" t="s">
        <v>18</v>
      </c>
      <c r="F440" s="44">
        <f>VLOOKUP(B440,GiaVL!$B$4:'GiaVL'!$D$189,3,0)</f>
        <v>101818000</v>
      </c>
      <c r="G440" s="44">
        <f>F440/G$5</f>
        <v>29090.857142857141</v>
      </c>
      <c r="H440" s="257">
        <v>0.05</v>
      </c>
      <c r="I440" s="257"/>
      <c r="J440" s="257"/>
      <c r="K440" s="257"/>
      <c r="L440" s="251"/>
      <c r="M440" s="251"/>
      <c r="N440" s="62">
        <f>$E440*$G440*H440/900</f>
        <v>1.6161587301587301</v>
      </c>
      <c r="O440" s="62">
        <f t="shared" si="168"/>
        <v>0</v>
      </c>
      <c r="P440" s="62">
        <f t="shared" si="168"/>
        <v>0</v>
      </c>
      <c r="Q440" s="62">
        <f t="shared" si="168"/>
        <v>0</v>
      </c>
      <c r="R440" s="62">
        <f t="shared" si="168"/>
        <v>0</v>
      </c>
      <c r="S440" s="75">
        <f t="shared" si="168"/>
        <v>0</v>
      </c>
    </row>
    <row r="441" spans="1:19" s="13" customFormat="1">
      <c r="A441" s="34" t="s">
        <v>43</v>
      </c>
      <c r="B441" s="6" t="s">
        <v>645</v>
      </c>
      <c r="C441" s="12" t="s">
        <v>62</v>
      </c>
      <c r="D441" s="58">
        <v>2.2000000000000002</v>
      </c>
      <c r="E441" s="36">
        <v>1</v>
      </c>
      <c r="F441" s="44">
        <f>VLOOKUP(B441,GiaVL!$B$4:'GiaVL'!$D$189,3,0)</f>
        <v>9910000</v>
      </c>
      <c r="G441" s="44">
        <f>F441/8/500</f>
        <v>2477.5</v>
      </c>
      <c r="H441" s="257">
        <v>0.14000000000000001</v>
      </c>
      <c r="I441" s="257"/>
      <c r="J441" s="257"/>
      <c r="K441" s="257"/>
      <c r="L441" s="251"/>
      <c r="M441" s="251"/>
      <c r="N441" s="62">
        <f>$E441*$G441*H441/900</f>
        <v>0.38538888888888889</v>
      </c>
      <c r="O441" s="62">
        <f t="shared" si="168"/>
        <v>0</v>
      </c>
      <c r="P441" s="62">
        <f t="shared" si="168"/>
        <v>0</v>
      </c>
      <c r="Q441" s="62">
        <f t="shared" si="168"/>
        <v>0</v>
      </c>
      <c r="R441" s="62">
        <f t="shared" si="168"/>
        <v>0</v>
      </c>
      <c r="S441" s="75">
        <f t="shared" si="168"/>
        <v>0</v>
      </c>
    </row>
    <row r="442" spans="1:19" s="20" customFormat="1" ht="13.5">
      <c r="A442" s="46" t="s">
        <v>43</v>
      </c>
      <c r="B442" s="21" t="s">
        <v>612</v>
      </c>
      <c r="C442" s="22" t="s">
        <v>117</v>
      </c>
      <c r="D442" s="57">
        <v>1</v>
      </c>
      <c r="E442" s="12" t="s">
        <v>43</v>
      </c>
      <c r="F442" s="44">
        <f>VLOOKUP(B442,GiaVL!$B$4:'GiaVL'!$D$189,3,0)</f>
        <v>2226</v>
      </c>
      <c r="G442" s="48">
        <f>D442*F442</f>
        <v>2226</v>
      </c>
      <c r="H442" s="257">
        <v>4.2</v>
      </c>
      <c r="I442" s="257"/>
      <c r="J442" s="257"/>
      <c r="K442" s="257"/>
      <c r="L442" s="250"/>
      <c r="M442" s="250"/>
      <c r="N442" s="76">
        <f>$G442*H442/900</f>
        <v>10.388000000000002</v>
      </c>
      <c r="O442" s="76">
        <f>$G442*I442</f>
        <v>0</v>
      </c>
      <c r="P442" s="76">
        <f>$G442*J442</f>
        <v>0</v>
      </c>
      <c r="Q442" s="76">
        <f>$G442*K442</f>
        <v>0</v>
      </c>
      <c r="R442" s="76">
        <f>$G442*L442</f>
        <v>0</v>
      </c>
      <c r="S442" s="74">
        <f>$G442*M442</f>
        <v>0</v>
      </c>
    </row>
    <row r="443" spans="1:19" s="15" customFormat="1">
      <c r="A443" s="35" t="s">
        <v>37</v>
      </c>
      <c r="B443" s="32" t="s">
        <v>407</v>
      </c>
      <c r="C443" s="38" t="s">
        <v>43</v>
      </c>
      <c r="D443" s="56"/>
      <c r="E443" s="12" t="s">
        <v>43</v>
      </c>
      <c r="F443" s="45"/>
      <c r="G443" s="45"/>
      <c r="H443" s="258" t="s">
        <v>199</v>
      </c>
      <c r="I443" s="259"/>
      <c r="J443" s="259"/>
      <c r="K443" s="259"/>
      <c r="L443" s="249"/>
      <c r="M443" s="249"/>
      <c r="N443" s="76">
        <f t="shared" ref="N443:S443" si="169">SUM(N444:N446)</f>
        <v>1.5326767857142858</v>
      </c>
      <c r="O443" s="76">
        <f t="shared" si="169"/>
        <v>0</v>
      </c>
      <c r="P443" s="76">
        <f t="shared" si="169"/>
        <v>0</v>
      </c>
      <c r="Q443" s="76">
        <f t="shared" si="169"/>
        <v>0</v>
      </c>
      <c r="R443" s="76">
        <f t="shared" si="169"/>
        <v>0</v>
      </c>
      <c r="S443" s="77">
        <f t="shared" si="169"/>
        <v>0</v>
      </c>
    </row>
    <row r="444" spans="1:19" s="13" customFormat="1">
      <c r="A444" s="34" t="s">
        <v>43</v>
      </c>
      <c r="B444" s="23" t="s">
        <v>264</v>
      </c>
      <c r="C444" s="12" t="s">
        <v>91</v>
      </c>
      <c r="D444" s="58">
        <v>0.35</v>
      </c>
      <c r="E444" s="36">
        <v>1</v>
      </c>
      <c r="F444" s="44">
        <f>VLOOKUP(B444,GiaVL!$B$4:'GiaVL'!$D$189,3,0)</f>
        <v>13127000</v>
      </c>
      <c r="G444" s="44">
        <f>F444/G$5</f>
        <v>3750.5714285714284</v>
      </c>
      <c r="H444" s="257">
        <v>0.56999999999999995</v>
      </c>
      <c r="I444" s="257"/>
      <c r="J444" s="257"/>
      <c r="K444" s="257"/>
      <c r="L444" s="251"/>
      <c r="M444" s="251"/>
      <c r="N444" s="62">
        <f>$E444*$G444*H444/3600</f>
        <v>0.5938404761904762</v>
      </c>
      <c r="O444" s="62">
        <f t="shared" ref="O444:S446" si="170">$E444*$G444*I444</f>
        <v>0</v>
      </c>
      <c r="P444" s="62">
        <f t="shared" si="170"/>
        <v>0</v>
      </c>
      <c r="Q444" s="62">
        <f t="shared" si="170"/>
        <v>0</v>
      </c>
      <c r="R444" s="62">
        <f t="shared" si="170"/>
        <v>0</v>
      </c>
      <c r="S444" s="75">
        <f t="shared" si="170"/>
        <v>0</v>
      </c>
    </row>
    <row r="445" spans="1:19" s="13" customFormat="1">
      <c r="A445" s="34" t="s">
        <v>43</v>
      </c>
      <c r="B445" s="21" t="s">
        <v>247</v>
      </c>
      <c r="C445" s="12" t="s">
        <v>62</v>
      </c>
      <c r="D445" s="58">
        <v>0.4</v>
      </c>
      <c r="E445" s="12" t="s">
        <v>18</v>
      </c>
      <c r="F445" s="44">
        <f>VLOOKUP(B445,GiaVL!$B$4:'GiaVL'!$D$189,3,0)</f>
        <v>101818000</v>
      </c>
      <c r="G445" s="44">
        <f>F445/G$5</f>
        <v>29090.857142857141</v>
      </c>
      <c r="H445" s="257">
        <v>0.1</v>
      </c>
      <c r="I445" s="257"/>
      <c r="J445" s="257"/>
      <c r="K445" s="257"/>
      <c r="L445" s="251"/>
      <c r="M445" s="251"/>
      <c r="N445" s="62">
        <f>$E445*$G445*H445/3600</f>
        <v>0.80807936507936506</v>
      </c>
      <c r="O445" s="62">
        <f t="shared" si="170"/>
        <v>0</v>
      </c>
      <c r="P445" s="62">
        <f t="shared" si="170"/>
        <v>0</v>
      </c>
      <c r="Q445" s="62">
        <f t="shared" si="170"/>
        <v>0</v>
      </c>
      <c r="R445" s="62">
        <f t="shared" si="170"/>
        <v>0</v>
      </c>
      <c r="S445" s="75">
        <f t="shared" si="170"/>
        <v>0</v>
      </c>
    </row>
    <row r="446" spans="1:19" s="13" customFormat="1">
      <c r="A446" s="34" t="s">
        <v>43</v>
      </c>
      <c r="B446" s="6" t="s">
        <v>645</v>
      </c>
      <c r="C446" s="12" t="s">
        <v>62</v>
      </c>
      <c r="D446" s="58">
        <v>2.2000000000000002</v>
      </c>
      <c r="E446" s="36">
        <v>1</v>
      </c>
      <c r="F446" s="44">
        <f>VLOOKUP(B446,GiaVL!$B$4:'GiaVL'!$D$189,3,0)</f>
        <v>9910000</v>
      </c>
      <c r="G446" s="44">
        <f>F446/8/500</f>
        <v>2477.5</v>
      </c>
      <c r="H446" s="257">
        <v>0.19</v>
      </c>
      <c r="I446" s="257"/>
      <c r="J446" s="257"/>
      <c r="K446" s="257"/>
      <c r="L446" s="251"/>
      <c r="M446" s="251"/>
      <c r="N446" s="62">
        <f>$E446*$G446*H446/3600</f>
        <v>0.13075694444444444</v>
      </c>
      <c r="O446" s="62">
        <f t="shared" si="170"/>
        <v>0</v>
      </c>
      <c r="P446" s="62">
        <f t="shared" si="170"/>
        <v>0</v>
      </c>
      <c r="Q446" s="62">
        <f t="shared" si="170"/>
        <v>0</v>
      </c>
      <c r="R446" s="62">
        <f t="shared" si="170"/>
        <v>0</v>
      </c>
      <c r="S446" s="75">
        <f t="shared" si="170"/>
        <v>0</v>
      </c>
    </row>
    <row r="447" spans="1:19" s="20" customFormat="1" ht="13.5">
      <c r="A447" s="46" t="s">
        <v>43</v>
      </c>
      <c r="B447" s="21" t="s">
        <v>612</v>
      </c>
      <c r="C447" s="22" t="s">
        <v>117</v>
      </c>
      <c r="D447" s="57">
        <v>1</v>
      </c>
      <c r="E447" s="12" t="s">
        <v>43</v>
      </c>
      <c r="F447" s="44">
        <f>VLOOKUP(B447,GiaVL!$B$4:'GiaVL'!$D$189,3,0)</f>
        <v>2226</v>
      </c>
      <c r="G447" s="48">
        <f>D447*F447</f>
        <v>2226</v>
      </c>
      <c r="H447" s="257">
        <v>4.25</v>
      </c>
      <c r="I447" s="257"/>
      <c r="J447" s="257"/>
      <c r="K447" s="257"/>
      <c r="L447" s="250"/>
      <c r="M447" s="250"/>
      <c r="N447" s="76">
        <f>$G447*H447/3600</f>
        <v>2.6279166666666667</v>
      </c>
      <c r="O447" s="76">
        <f>$G447*I447</f>
        <v>0</v>
      </c>
      <c r="P447" s="76">
        <f>$G447*J447</f>
        <v>0</v>
      </c>
      <c r="Q447" s="76">
        <f>$G447*K447</f>
        <v>0</v>
      </c>
      <c r="R447" s="76">
        <f>$G447*L447</f>
        <v>0</v>
      </c>
      <c r="S447" s="74">
        <f>$G447*M447</f>
        <v>0</v>
      </c>
    </row>
    <row r="448" spans="1:19" s="13" customFormat="1" ht="13.5" thickBot="1">
      <c r="A448" s="60" t="s">
        <v>43</v>
      </c>
      <c r="B448" s="72" t="s">
        <v>43</v>
      </c>
      <c r="C448" s="17" t="s">
        <v>43</v>
      </c>
      <c r="D448" s="59"/>
      <c r="E448" s="73"/>
      <c r="F448" s="49"/>
      <c r="G448" s="49"/>
      <c r="H448" s="263"/>
      <c r="I448" s="263"/>
      <c r="J448" s="263"/>
      <c r="K448" s="263"/>
      <c r="L448" s="263"/>
      <c r="M448" s="263"/>
      <c r="N448" s="80"/>
      <c r="O448" s="80"/>
      <c r="P448" s="80"/>
      <c r="Q448" s="80"/>
      <c r="R448" s="80"/>
      <c r="S448" s="81"/>
    </row>
  </sheetData>
  <mergeCells count="16">
    <mergeCell ref="A62:A64"/>
    <mergeCell ref="B339:S339"/>
    <mergeCell ref="B373:S373"/>
    <mergeCell ref="H3:M3"/>
    <mergeCell ref="A1:R1"/>
    <mergeCell ref="B24:S24"/>
    <mergeCell ref="B81:S81"/>
    <mergeCell ref="B181:E181"/>
    <mergeCell ref="N3:R3"/>
    <mergeCell ref="A3:A4"/>
    <mergeCell ref="B3:B4"/>
    <mergeCell ref="C3:C4"/>
    <mergeCell ref="D3:D4"/>
    <mergeCell ref="E3:E4"/>
    <mergeCell ref="F3:F4"/>
    <mergeCell ref="G3:G4"/>
  </mergeCells>
  <phoneticPr fontId="0" type="noConversion"/>
  <printOptions horizontalCentered="1"/>
  <pageMargins left="0.51181102362204722" right="0.19685039370078741" top="0.62992125984251968" bottom="0.39370078740157483" header="0.27559055118110237" footer="0.15748031496062992"/>
  <pageSetup paperSize="9" scale="80" firstPageNumber="94" orientation="landscape" useFirstPageNumber="1" horizontalDpi="4294967295" verticalDpi="4294967295" r:id="rId1"/>
  <headerFooter alignWithMargins="0">
    <oddFooter>&amp;C&amp;".VnArial,Regular"&amp;P</oddFooter>
  </headerFooter>
  <ignoredErrors>
    <ignoredError sqref="F19 F33:G33 G32 N12:R22 R77 G96:G17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R181"/>
  <sheetViews>
    <sheetView showZeros="0" topLeftCell="A159" zoomScale="145" zoomScaleNormal="145" workbookViewId="0">
      <selection activeCell="F112" sqref="F112:J112"/>
    </sheetView>
  </sheetViews>
  <sheetFormatPr defaultColWidth="9" defaultRowHeight="13"/>
  <cols>
    <col min="1" max="1" width="4.84375" style="14" customWidth="1"/>
    <col min="2" max="2" width="36.69140625" style="14" customWidth="1"/>
    <col min="3" max="3" width="8.4609375" style="13" customWidth="1"/>
    <col min="4" max="4" width="11.07421875" style="14" customWidth="1"/>
    <col min="5" max="5" width="8.23046875" style="14" customWidth="1"/>
    <col min="6" max="6" width="11.69140625" style="14" customWidth="1"/>
    <col min="7" max="7" width="6.07421875" style="14" bestFit="1" customWidth="1"/>
    <col min="8" max="8" width="7" style="24" bestFit="1" customWidth="1"/>
    <col min="9" max="9" width="7.4609375" style="14" bestFit="1" customWidth="1"/>
    <col min="10" max="10" width="7.69140625" style="14" bestFit="1" customWidth="1"/>
    <col min="11" max="11" width="7.765625" style="14" bestFit="1" customWidth="1"/>
    <col min="12" max="12" width="8.765625" style="14" bestFit="1" customWidth="1"/>
    <col min="13" max="16" width="9.07421875" style="14" bestFit="1" customWidth="1"/>
    <col min="17" max="16384" width="9" style="14"/>
  </cols>
  <sheetData>
    <row r="1" spans="1:16" s="5" customFormat="1" ht="18">
      <c r="A1" s="1139" t="s">
        <v>619</v>
      </c>
      <c r="B1" s="1139"/>
      <c r="C1" s="1139"/>
      <c r="D1" s="1139"/>
      <c r="E1" s="1139"/>
      <c r="F1" s="1139"/>
      <c r="G1" s="1139"/>
      <c r="H1" s="1139"/>
      <c r="I1" s="1139"/>
      <c r="J1" s="1139"/>
      <c r="K1" s="1139"/>
      <c r="L1" s="1139"/>
      <c r="M1" s="571"/>
      <c r="N1" s="571"/>
      <c r="O1" s="571"/>
      <c r="P1" s="571"/>
    </row>
    <row r="2" spans="1:16" s="50" customFormat="1" ht="17.25" customHeight="1">
      <c r="A2" s="734" t="str">
        <f>L_CViec!A7</f>
        <v>I</v>
      </c>
      <c r="B2" s="726" t="str">
        <f>L_CViec!B7</f>
        <v>LƯỚI ĐỊA CHÍNH:</v>
      </c>
      <c r="C2" s="734"/>
      <c r="D2" s="734"/>
      <c r="E2" s="734"/>
      <c r="F2" s="734"/>
      <c r="G2" s="734"/>
      <c r="H2" s="735"/>
      <c r="I2" s="734"/>
      <c r="J2" s="734"/>
      <c r="K2" s="734"/>
      <c r="L2" s="734"/>
      <c r="M2" s="734"/>
      <c r="N2" s="734"/>
      <c r="O2" s="734"/>
      <c r="P2" s="734"/>
    </row>
    <row r="3" spans="1:16" s="15" customFormat="1" ht="13.5" thickBot="1">
      <c r="A3" s="577">
        <v>3.1</v>
      </c>
      <c r="B3" s="576" t="s">
        <v>397</v>
      </c>
      <c r="C3" s="577"/>
      <c r="D3" s="577"/>
      <c r="E3" s="577"/>
      <c r="F3" s="577"/>
      <c r="G3" s="577"/>
      <c r="H3" s="579"/>
      <c r="I3" s="577"/>
      <c r="J3" s="577"/>
      <c r="K3" s="577"/>
      <c r="L3" s="577"/>
      <c r="M3" s="577"/>
      <c r="N3" s="577"/>
      <c r="O3" s="577"/>
      <c r="P3" s="577"/>
    </row>
    <row r="4" spans="1:16" s="51" customFormat="1" ht="12.75" customHeight="1">
      <c r="A4" s="1101" t="s">
        <v>88</v>
      </c>
      <c r="B4" s="1099" t="s">
        <v>86</v>
      </c>
      <c r="C4" s="1099" t="s">
        <v>70</v>
      </c>
      <c r="D4" s="1099" t="s">
        <v>89</v>
      </c>
      <c r="E4" s="1099" t="s">
        <v>241</v>
      </c>
      <c r="F4" s="1099"/>
      <c r="G4" s="1099"/>
      <c r="H4" s="1099"/>
      <c r="I4" s="1099" t="s">
        <v>80</v>
      </c>
      <c r="J4" s="1099"/>
      <c r="K4" s="1099"/>
      <c r="L4" s="1181"/>
      <c r="M4" s="369"/>
      <c r="N4" s="369"/>
      <c r="O4" s="369"/>
      <c r="P4" s="369"/>
    </row>
    <row r="5" spans="1:16" s="51" customFormat="1" ht="51.75" customHeight="1">
      <c r="A5" s="1102"/>
      <c r="B5" s="1100"/>
      <c r="C5" s="1100"/>
      <c r="D5" s="1100"/>
      <c r="E5" s="374" t="str">
        <f>L_CViec!B8</f>
        <v xml:space="preserve">Chọn vị trí điểm, chôn mốc </v>
      </c>
      <c r="F5" s="374" t="str">
        <f>L_CViec!B9</f>
        <v>Xây tường vây</v>
      </c>
      <c r="G5" s="374" t="str">
        <f>L_CViec!B10</f>
        <v>Tiếp điểm</v>
      </c>
      <c r="H5" s="374" t="str">
        <f>L_CViec!B11</f>
        <v>Đo ngắm</v>
      </c>
      <c r="I5" s="374" t="str">
        <f>E5</f>
        <v xml:space="preserve">Chọn vị trí điểm, chôn mốc </v>
      </c>
      <c r="J5" s="374" t="str">
        <f>F5</f>
        <v>Xây tường vây</v>
      </c>
      <c r="K5" s="374" t="str">
        <f>G5</f>
        <v>Tiếp điểm</v>
      </c>
      <c r="L5" s="532" t="str">
        <f>H5</f>
        <v>Đo ngắm</v>
      </c>
      <c r="M5" s="369"/>
      <c r="N5" s="369"/>
      <c r="O5" s="369"/>
      <c r="P5" s="369"/>
    </row>
    <row r="6" spans="1:16">
      <c r="A6" s="533">
        <v>1</v>
      </c>
      <c r="B6" s="534" t="s">
        <v>133</v>
      </c>
      <c r="C6" s="535" t="s">
        <v>134</v>
      </c>
      <c r="D6" s="611">
        <f>VLOOKUP(B6,GiaVL!$B$4:'GiaVL'!$D$159,3,0)</f>
        <v>400000</v>
      </c>
      <c r="E6" s="534">
        <v>0.05</v>
      </c>
      <c r="F6" s="534">
        <v>0.05</v>
      </c>
      <c r="G6" s="534">
        <v>0.05</v>
      </c>
      <c r="H6" s="736">
        <v>0.05</v>
      </c>
      <c r="I6" s="737">
        <f>$D6*E6</f>
        <v>20000</v>
      </c>
      <c r="J6" s="738">
        <f t="shared" ref="J6:J25" si="0">$D6*F6</f>
        <v>20000</v>
      </c>
      <c r="K6" s="737">
        <f t="shared" ref="K6:K25" si="1">$D6*G6</f>
        <v>20000</v>
      </c>
      <c r="L6" s="739">
        <f t="shared" ref="L6:L25" si="2">$D6*H6</f>
        <v>20000</v>
      </c>
      <c r="M6" s="573"/>
      <c r="N6" s="573"/>
      <c r="O6" s="573"/>
      <c r="P6" s="573"/>
    </row>
    <row r="7" spans="1:16">
      <c r="A7" s="533">
        <v>2</v>
      </c>
      <c r="B7" s="540" t="s">
        <v>135</v>
      </c>
      <c r="C7" s="541" t="s">
        <v>136</v>
      </c>
      <c r="D7" s="611">
        <f>VLOOKUP(B7,GiaVL!$B$4:'GiaVL'!$D$159,3,0)</f>
        <v>10000</v>
      </c>
      <c r="E7" s="540">
        <v>0.1</v>
      </c>
      <c r="F7" s="540">
        <v>0.01</v>
      </c>
      <c r="G7" s="540">
        <v>0.1</v>
      </c>
      <c r="H7" s="740">
        <v>0.1</v>
      </c>
      <c r="I7" s="741">
        <f t="shared" ref="I7:I25" si="3">$D7*E7</f>
        <v>1000</v>
      </c>
      <c r="J7" s="741">
        <f t="shared" si="0"/>
        <v>100</v>
      </c>
      <c r="K7" s="741">
        <f t="shared" si="1"/>
        <v>1000</v>
      </c>
      <c r="L7" s="742">
        <f t="shared" si="2"/>
        <v>1000</v>
      </c>
      <c r="M7" s="573"/>
      <c r="N7" s="573"/>
      <c r="O7" s="573"/>
      <c r="P7" s="573"/>
    </row>
    <row r="8" spans="1:16">
      <c r="A8" s="533">
        <v>3</v>
      </c>
      <c r="B8" s="540" t="s">
        <v>395</v>
      </c>
      <c r="C8" s="541" t="s">
        <v>134</v>
      </c>
      <c r="D8" s="611">
        <f>VLOOKUP(B8,GiaVL!$B$4:'GiaVL'!$D$159,3,0)</f>
        <v>10000</v>
      </c>
      <c r="E8" s="540"/>
      <c r="F8" s="540"/>
      <c r="G8" s="540"/>
      <c r="H8" s="740">
        <v>0.02</v>
      </c>
      <c r="I8" s="741">
        <f t="shared" si="3"/>
        <v>0</v>
      </c>
      <c r="J8" s="741">
        <f t="shared" si="0"/>
        <v>0</v>
      </c>
      <c r="K8" s="741">
        <f t="shared" si="1"/>
        <v>0</v>
      </c>
      <c r="L8" s="742">
        <f t="shared" si="2"/>
        <v>200</v>
      </c>
      <c r="M8" s="573"/>
      <c r="N8" s="573"/>
      <c r="O8" s="573"/>
      <c r="P8" s="573"/>
    </row>
    <row r="9" spans="1:16">
      <c r="A9" s="533">
        <v>4</v>
      </c>
      <c r="B9" s="540" t="s">
        <v>396</v>
      </c>
      <c r="C9" s="541" t="s">
        <v>94</v>
      </c>
      <c r="D9" s="611">
        <f>VLOOKUP(B9,GiaVL!$B$4:'GiaVL'!$D$159,3,0)</f>
        <v>20000</v>
      </c>
      <c r="E9" s="540"/>
      <c r="F9" s="540"/>
      <c r="G9" s="653">
        <v>1</v>
      </c>
      <c r="H9" s="740"/>
      <c r="I9" s="741">
        <f t="shared" si="3"/>
        <v>0</v>
      </c>
      <c r="J9" s="741">
        <f t="shared" si="0"/>
        <v>0</v>
      </c>
      <c r="K9" s="741">
        <f t="shared" si="1"/>
        <v>20000</v>
      </c>
      <c r="L9" s="742">
        <f t="shared" si="2"/>
        <v>0</v>
      </c>
      <c r="M9" s="573"/>
      <c r="N9" s="573"/>
      <c r="O9" s="573"/>
      <c r="P9" s="573"/>
    </row>
    <row r="10" spans="1:16">
      <c r="A10" s="533">
        <v>5</v>
      </c>
      <c r="B10" s="540" t="s">
        <v>138</v>
      </c>
      <c r="C10" s="541" t="s">
        <v>94</v>
      </c>
      <c r="D10" s="611">
        <f>VLOOKUP(B10,GiaVL!$B$4:'GiaVL'!$D$159,3,0)</f>
        <v>20000</v>
      </c>
      <c r="E10" s="540"/>
      <c r="F10" s="540"/>
      <c r="G10" s="653">
        <v>1</v>
      </c>
      <c r="H10" s="740"/>
      <c r="I10" s="741">
        <f t="shared" si="3"/>
        <v>0</v>
      </c>
      <c r="J10" s="741">
        <f t="shared" si="0"/>
        <v>0</v>
      </c>
      <c r="K10" s="741">
        <f t="shared" si="1"/>
        <v>20000</v>
      </c>
      <c r="L10" s="742">
        <f t="shared" si="2"/>
        <v>0</v>
      </c>
      <c r="M10" s="573"/>
      <c r="N10" s="573"/>
      <c r="O10" s="573"/>
      <c r="P10" s="573"/>
    </row>
    <row r="11" spans="1:16" s="944" customFormat="1">
      <c r="A11" s="936">
        <v>6</v>
      </c>
      <c r="B11" s="937" t="s">
        <v>654</v>
      </c>
      <c r="C11" s="938" t="s">
        <v>94</v>
      </c>
      <c r="D11" s="939">
        <f>VLOOKUP(B11,GiaVL!$B$4:'GiaVL'!$D$159,3,0)</f>
        <v>1000</v>
      </c>
      <c r="E11" s="940">
        <v>2</v>
      </c>
      <c r="F11" s="937"/>
      <c r="G11" s="937"/>
      <c r="H11" s="941"/>
      <c r="I11" s="942">
        <f t="shared" si="3"/>
        <v>2000</v>
      </c>
      <c r="J11" s="942"/>
      <c r="K11" s="942"/>
      <c r="L11" s="943"/>
    </row>
    <row r="12" spans="1:16">
      <c r="A12" s="883">
        <v>7</v>
      </c>
      <c r="B12" s="6" t="s">
        <v>165</v>
      </c>
      <c r="C12" s="18" t="s">
        <v>139</v>
      </c>
      <c r="D12" s="893">
        <f>VLOOKUP(B12,GiaVL!$B$4:'GiaVL'!$D$159,3,0)</f>
        <v>70000</v>
      </c>
      <c r="E12" s="6">
        <v>0.01</v>
      </c>
      <c r="F12" s="6"/>
      <c r="G12" s="6">
        <v>0.01</v>
      </c>
      <c r="H12" s="945">
        <v>0.01</v>
      </c>
      <c r="I12" s="19">
        <f t="shared" si="3"/>
        <v>700</v>
      </c>
      <c r="J12" s="19">
        <f t="shared" si="0"/>
        <v>0</v>
      </c>
      <c r="K12" s="19">
        <f t="shared" si="1"/>
        <v>700</v>
      </c>
      <c r="L12" s="946">
        <f t="shared" si="2"/>
        <v>700</v>
      </c>
    </row>
    <row r="13" spans="1:16">
      <c r="A13" s="883">
        <v>8</v>
      </c>
      <c r="B13" s="6" t="s">
        <v>164</v>
      </c>
      <c r="C13" s="18" t="s">
        <v>16</v>
      </c>
      <c r="D13" s="893">
        <f>VLOOKUP(B13,GiaVL!$B$4:'GiaVL'!$D$159,3,0)</f>
        <v>225000</v>
      </c>
      <c r="E13" s="6">
        <v>1E-3</v>
      </c>
      <c r="F13" s="6"/>
      <c r="G13" s="6"/>
      <c r="H13" s="945"/>
      <c r="I13" s="19">
        <f t="shared" si="3"/>
        <v>225</v>
      </c>
      <c r="J13" s="19">
        <f t="shared" si="0"/>
        <v>0</v>
      </c>
      <c r="K13" s="19">
        <f t="shared" si="1"/>
        <v>0</v>
      </c>
      <c r="L13" s="946">
        <f t="shared" si="2"/>
        <v>0</v>
      </c>
    </row>
    <row r="14" spans="1:16">
      <c r="A14" s="883">
        <v>9</v>
      </c>
      <c r="B14" s="6" t="s">
        <v>651</v>
      </c>
      <c r="C14" s="18" t="s">
        <v>140</v>
      </c>
      <c r="D14" s="893">
        <f>VLOOKUP(B14,GiaVL!$B$4:'GiaVL'!$D$159,3,0)</f>
        <v>8500</v>
      </c>
      <c r="E14" s="6"/>
      <c r="F14" s="6"/>
      <c r="G14" s="6"/>
      <c r="H14" s="947">
        <v>0.2</v>
      </c>
      <c r="I14" s="19"/>
      <c r="J14" s="19"/>
      <c r="K14" s="19"/>
      <c r="L14" s="946">
        <f t="shared" si="2"/>
        <v>1700</v>
      </c>
    </row>
    <row r="15" spans="1:16">
      <c r="A15" s="883">
        <v>10</v>
      </c>
      <c r="B15" s="6" t="s">
        <v>652</v>
      </c>
      <c r="C15" s="18" t="s">
        <v>140</v>
      </c>
      <c r="D15" s="893">
        <f>VLOOKUP(B15,GiaVL!$B$4:'GiaVL'!$D$159,3,0)</f>
        <v>8500</v>
      </c>
      <c r="E15" s="6"/>
      <c r="F15" s="6"/>
      <c r="G15" s="6"/>
      <c r="H15" s="947">
        <v>0.15</v>
      </c>
      <c r="I15" s="19"/>
      <c r="J15" s="19"/>
      <c r="K15" s="19"/>
      <c r="L15" s="946">
        <f t="shared" si="2"/>
        <v>1275</v>
      </c>
    </row>
    <row r="16" spans="1:16">
      <c r="A16" s="883">
        <v>11</v>
      </c>
      <c r="B16" s="6" t="s">
        <v>141</v>
      </c>
      <c r="C16" s="18" t="s">
        <v>140</v>
      </c>
      <c r="D16" s="893">
        <f>VLOOKUP(B16,GiaVL!$B$4:'GiaVL'!$D$159,3,0)</f>
        <v>10000</v>
      </c>
      <c r="E16" s="6">
        <v>0.05</v>
      </c>
      <c r="F16" s="6"/>
      <c r="G16" s="6">
        <v>0.05</v>
      </c>
      <c r="H16" s="945">
        <v>0.05</v>
      </c>
      <c r="I16" s="19">
        <f t="shared" si="3"/>
        <v>500</v>
      </c>
      <c r="J16" s="19">
        <f t="shared" si="0"/>
        <v>0</v>
      </c>
      <c r="K16" s="19">
        <f t="shared" si="1"/>
        <v>500</v>
      </c>
      <c r="L16" s="946">
        <f t="shared" si="2"/>
        <v>500</v>
      </c>
    </row>
    <row r="17" spans="1:16">
      <c r="A17" s="883">
        <v>12</v>
      </c>
      <c r="B17" s="6" t="s">
        <v>142</v>
      </c>
      <c r="C17" s="18" t="s">
        <v>16</v>
      </c>
      <c r="D17" s="893">
        <f>VLOOKUP(B17,GiaVL!$B$4:'GiaVL'!$D$159,3,0)</f>
        <v>1650</v>
      </c>
      <c r="E17" s="6">
        <v>39</v>
      </c>
      <c r="F17" s="6">
        <v>107</v>
      </c>
      <c r="G17" s="6"/>
      <c r="H17" s="945"/>
      <c r="I17" s="19">
        <f t="shared" si="3"/>
        <v>64350</v>
      </c>
      <c r="J17" s="19">
        <f t="shared" si="0"/>
        <v>176550</v>
      </c>
      <c r="K17" s="19">
        <f t="shared" si="1"/>
        <v>0</v>
      </c>
      <c r="L17" s="946">
        <f t="shared" si="2"/>
        <v>0</v>
      </c>
    </row>
    <row r="18" spans="1:16">
      <c r="A18" s="883">
        <v>13</v>
      </c>
      <c r="B18" s="6" t="s">
        <v>143</v>
      </c>
      <c r="C18" s="18" t="s">
        <v>14</v>
      </c>
      <c r="D18" s="893">
        <f>VLOOKUP(B18,GiaVL!$B$4:'GiaVL'!$D$159,3,0)</f>
        <v>317262</v>
      </c>
      <c r="E18" s="6">
        <v>0.04</v>
      </c>
      <c r="F18" s="6">
        <v>0.14000000000000001</v>
      </c>
      <c r="G18" s="6"/>
      <c r="H18" s="945"/>
      <c r="I18" s="19">
        <f t="shared" si="3"/>
        <v>12690.48</v>
      </c>
      <c r="J18" s="19">
        <f t="shared" si="0"/>
        <v>44416.680000000008</v>
      </c>
      <c r="K18" s="19">
        <f t="shared" si="1"/>
        <v>0</v>
      </c>
      <c r="L18" s="946">
        <f t="shared" si="2"/>
        <v>0</v>
      </c>
    </row>
    <row r="19" spans="1:16">
      <c r="A19" s="883">
        <v>14</v>
      </c>
      <c r="B19" s="6" t="s">
        <v>144</v>
      </c>
      <c r="C19" s="18" t="s">
        <v>14</v>
      </c>
      <c r="D19" s="893">
        <f>VLOOKUP(B19,GiaVL!$B$4:'GiaVL'!$D$159,3,0)</f>
        <v>240741</v>
      </c>
      <c r="E19" s="27">
        <v>2E-3</v>
      </c>
      <c r="F19" s="6">
        <v>0.28000000000000003</v>
      </c>
      <c r="G19" s="27"/>
      <c r="H19" s="945"/>
      <c r="I19" s="19">
        <f t="shared" si="3"/>
        <v>481.48200000000003</v>
      </c>
      <c r="J19" s="19">
        <f t="shared" si="0"/>
        <v>67407.48000000001</v>
      </c>
      <c r="K19" s="19">
        <f t="shared" si="1"/>
        <v>0</v>
      </c>
      <c r="L19" s="946">
        <f t="shared" si="2"/>
        <v>0</v>
      </c>
    </row>
    <row r="20" spans="1:16">
      <c r="A20" s="883">
        <v>15</v>
      </c>
      <c r="B20" s="6" t="s">
        <v>145</v>
      </c>
      <c r="C20" s="18" t="s">
        <v>91</v>
      </c>
      <c r="D20" s="893">
        <f>VLOOKUP(B20,GiaVL!$B$4:'GiaVL'!$D$159,3,0)</f>
        <v>4000</v>
      </c>
      <c r="E20" s="6">
        <v>1</v>
      </c>
      <c r="F20" s="6"/>
      <c r="G20" s="6"/>
      <c r="H20" s="945"/>
      <c r="I20" s="19">
        <f t="shared" si="3"/>
        <v>4000</v>
      </c>
      <c r="J20" s="19">
        <f t="shared" si="0"/>
        <v>0</v>
      </c>
      <c r="K20" s="19">
        <f t="shared" si="1"/>
        <v>0</v>
      </c>
      <c r="L20" s="946">
        <f t="shared" si="2"/>
        <v>0</v>
      </c>
    </row>
    <row r="21" spans="1:16">
      <c r="A21" s="883">
        <v>16</v>
      </c>
      <c r="B21" s="6" t="s">
        <v>653</v>
      </c>
      <c r="C21" s="18" t="s">
        <v>14</v>
      </c>
      <c r="D21" s="893">
        <f>VLOOKUP(B21,GiaVL!$B$4:'GiaVL'!$D$159,3,0)</f>
        <v>5455000</v>
      </c>
      <c r="E21" s="945">
        <v>2E-3</v>
      </c>
      <c r="F21" s="945">
        <v>3.0000000000000001E-3</v>
      </c>
      <c r="G21" s="6"/>
      <c r="H21" s="945"/>
      <c r="I21" s="19">
        <f t="shared" si="3"/>
        <v>10910</v>
      </c>
      <c r="J21" s="19">
        <f t="shared" si="0"/>
        <v>16365</v>
      </c>
      <c r="K21" s="19"/>
      <c r="L21" s="946"/>
    </row>
    <row r="22" spans="1:16">
      <c r="A22" s="533">
        <v>17</v>
      </c>
      <c r="B22" s="540" t="s">
        <v>146</v>
      </c>
      <c r="C22" s="541" t="s">
        <v>16</v>
      </c>
      <c r="D22" s="611">
        <f>VLOOKUP(B22,GiaVL!$B$4:'GiaVL'!$D$159,3,0)</f>
        <v>24000</v>
      </c>
      <c r="E22" s="540">
        <v>0.05</v>
      </c>
      <c r="F22" s="540"/>
      <c r="G22" s="540"/>
      <c r="H22" s="740"/>
      <c r="I22" s="741">
        <f t="shared" si="3"/>
        <v>1200</v>
      </c>
      <c r="J22" s="741">
        <f t="shared" si="0"/>
        <v>0</v>
      </c>
      <c r="K22" s="741">
        <f t="shared" si="1"/>
        <v>0</v>
      </c>
      <c r="L22" s="742">
        <f t="shared" si="2"/>
        <v>0</v>
      </c>
      <c r="M22" s="573"/>
      <c r="N22" s="573"/>
      <c r="O22" s="573"/>
      <c r="P22" s="573"/>
    </row>
    <row r="23" spans="1:16">
      <c r="A23" s="533">
        <v>18</v>
      </c>
      <c r="B23" s="540" t="s">
        <v>147</v>
      </c>
      <c r="C23" s="541" t="s">
        <v>16</v>
      </c>
      <c r="D23" s="611">
        <f>VLOOKUP(B23,GiaVL!$B$4:'GiaVL'!$D$159,3,0)</f>
        <v>14500</v>
      </c>
      <c r="E23" s="540">
        <v>0.93</v>
      </c>
      <c r="F23" s="540"/>
      <c r="G23" s="540"/>
      <c r="H23" s="740"/>
      <c r="I23" s="741">
        <f t="shared" si="3"/>
        <v>13485</v>
      </c>
      <c r="J23" s="741">
        <f t="shared" si="0"/>
        <v>0</v>
      </c>
      <c r="K23" s="741">
        <f t="shared" si="1"/>
        <v>0</v>
      </c>
      <c r="L23" s="742">
        <f t="shared" si="2"/>
        <v>0</v>
      </c>
      <c r="M23" s="573"/>
      <c r="N23" s="573"/>
      <c r="O23" s="573"/>
      <c r="P23" s="573"/>
    </row>
    <row r="24" spans="1:16">
      <c r="A24" s="533">
        <v>19</v>
      </c>
      <c r="B24" s="540" t="s">
        <v>148</v>
      </c>
      <c r="C24" s="541" t="s">
        <v>149</v>
      </c>
      <c r="D24" s="611">
        <f>VLOOKUP(B24,GiaVL!$B$4:'GiaVL'!$D$159,3,0)</f>
        <v>24820</v>
      </c>
      <c r="E24" s="540">
        <v>3</v>
      </c>
      <c r="F24" s="540">
        <v>7</v>
      </c>
      <c r="G24" s="540">
        <v>3</v>
      </c>
      <c r="H24" s="740"/>
      <c r="I24" s="741">
        <f t="shared" si="3"/>
        <v>74460</v>
      </c>
      <c r="J24" s="741">
        <f t="shared" si="0"/>
        <v>173740</v>
      </c>
      <c r="K24" s="741">
        <f t="shared" si="1"/>
        <v>74460</v>
      </c>
      <c r="L24" s="742">
        <f t="shared" si="2"/>
        <v>0</v>
      </c>
      <c r="M24" s="573"/>
      <c r="N24" s="573"/>
      <c r="O24" s="573"/>
      <c r="P24" s="573"/>
    </row>
    <row r="25" spans="1:16">
      <c r="A25" s="533">
        <v>20</v>
      </c>
      <c r="B25" s="540" t="s">
        <v>150</v>
      </c>
      <c r="C25" s="541" t="s">
        <v>149</v>
      </c>
      <c r="D25" s="611">
        <f>VLOOKUP(B25,GiaVL!$B$4:'GiaVL'!$D$159,3,0)</f>
        <v>79000</v>
      </c>
      <c r="E25" s="653">
        <v>0.15</v>
      </c>
      <c r="F25" s="540">
        <v>0.35</v>
      </c>
      <c r="G25" s="540">
        <v>0.15</v>
      </c>
      <c r="H25" s="740"/>
      <c r="I25" s="741">
        <f t="shared" si="3"/>
        <v>11850</v>
      </c>
      <c r="J25" s="741">
        <f t="shared" si="0"/>
        <v>27650</v>
      </c>
      <c r="K25" s="741">
        <f t="shared" si="1"/>
        <v>11850</v>
      </c>
      <c r="L25" s="742">
        <f t="shared" si="2"/>
        <v>0</v>
      </c>
      <c r="M25" s="573"/>
      <c r="N25" s="573"/>
      <c r="O25" s="573"/>
      <c r="P25" s="573"/>
    </row>
    <row r="26" spans="1:16" hidden="1">
      <c r="A26" s="539"/>
      <c r="B26" s="540"/>
      <c r="C26" s="541"/>
      <c r="D26" s="611"/>
      <c r="E26" s="653"/>
      <c r="F26" s="540"/>
      <c r="G26" s="540"/>
      <c r="H26" s="740"/>
      <c r="I26" s="741"/>
      <c r="J26" s="741"/>
      <c r="K26" s="741"/>
      <c r="L26" s="742"/>
      <c r="M26" s="573"/>
      <c r="N26" s="573"/>
      <c r="O26" s="573"/>
      <c r="P26" s="573"/>
    </row>
    <row r="27" spans="1:16" hidden="1">
      <c r="A27" s="539"/>
      <c r="B27" s="540"/>
      <c r="C27" s="541"/>
      <c r="D27" s="611"/>
      <c r="E27" s="540"/>
      <c r="F27" s="540"/>
      <c r="G27" s="540"/>
      <c r="H27" s="740"/>
      <c r="I27" s="741"/>
      <c r="J27" s="741"/>
      <c r="K27" s="741"/>
      <c r="L27" s="742"/>
      <c r="M27" s="573"/>
      <c r="N27" s="573"/>
      <c r="O27" s="573"/>
      <c r="P27" s="573"/>
    </row>
    <row r="28" spans="1:16" s="16" customFormat="1">
      <c r="A28" s="547"/>
      <c r="B28" s="548" t="s">
        <v>519</v>
      </c>
      <c r="C28" s="549"/>
      <c r="D28" s="548"/>
      <c r="E28" s="548"/>
      <c r="F28" s="552"/>
      <c r="G28" s="552"/>
      <c r="H28" s="626"/>
      <c r="I28" s="743">
        <f>SUM(I6:I27)</f>
        <v>217851.962</v>
      </c>
      <c r="J28" s="743">
        <f>SUM(J6:J27)</f>
        <v>526229.16</v>
      </c>
      <c r="K28" s="743">
        <f>SUM(K6:K27)</f>
        <v>148510</v>
      </c>
      <c r="L28" s="744">
        <f>SUM(L6:L27)</f>
        <v>25375</v>
      </c>
      <c r="M28" s="576"/>
      <c r="N28" s="576"/>
      <c r="O28" s="576"/>
      <c r="P28" s="576"/>
    </row>
    <row r="29" spans="1:16" s="16" customFormat="1" ht="13.5">
      <c r="A29" s="745" t="s">
        <v>27</v>
      </c>
      <c r="B29" s="746" t="s">
        <v>153</v>
      </c>
      <c r="C29" s="747"/>
      <c r="D29" s="746"/>
      <c r="E29" s="746"/>
      <c r="F29" s="746"/>
      <c r="G29" s="746"/>
      <c r="H29" s="748"/>
      <c r="I29" s="749">
        <f>I28+I30</f>
        <v>285351.962</v>
      </c>
      <c r="J29" s="749"/>
      <c r="K29" s="749"/>
      <c r="L29" s="750"/>
      <c r="M29" s="576"/>
      <c r="N29" s="576"/>
      <c r="O29" s="576"/>
      <c r="P29" s="576"/>
    </row>
    <row r="30" spans="1:16">
      <c r="A30" s="539"/>
      <c r="B30" s="640" t="s">
        <v>242</v>
      </c>
      <c r="C30" s="541" t="s">
        <v>59</v>
      </c>
      <c r="D30" s="611">
        <f>VLOOKUP(B30,GiaVL!$B$4:'GiaVL'!$D$159,3,0)</f>
        <v>7500</v>
      </c>
      <c r="E30" s="540">
        <v>9</v>
      </c>
      <c r="F30" s="540"/>
      <c r="G30" s="540"/>
      <c r="H30" s="740"/>
      <c r="I30" s="741">
        <f>$D30*E30</f>
        <v>67500</v>
      </c>
      <c r="J30" s="741">
        <f>$D30*F30</f>
        <v>0</v>
      </c>
      <c r="K30" s="741">
        <f>$D30*G30</f>
        <v>0</v>
      </c>
      <c r="L30" s="742">
        <f>$D30*H30</f>
        <v>0</v>
      </c>
      <c r="M30" s="573"/>
      <c r="N30" s="573"/>
      <c r="O30" s="573"/>
      <c r="P30" s="573"/>
    </row>
    <row r="31" spans="1:16" s="16" customFormat="1" ht="13.5">
      <c r="A31" s="745" t="s">
        <v>28</v>
      </c>
      <c r="B31" s="746" t="s">
        <v>154</v>
      </c>
      <c r="C31" s="747"/>
      <c r="D31" s="746"/>
      <c r="E31" s="751"/>
      <c r="F31" s="751"/>
      <c r="G31" s="751"/>
      <c r="H31" s="752"/>
      <c r="I31" s="749">
        <f>I28-SUM(I17:I19)</f>
        <v>140330</v>
      </c>
      <c r="J31" s="749"/>
      <c r="K31" s="749"/>
      <c r="L31" s="750"/>
      <c r="M31" s="576"/>
      <c r="N31" s="576"/>
      <c r="O31" s="576"/>
      <c r="P31" s="576"/>
    </row>
    <row r="32" spans="1:16" ht="13.5" thickBot="1">
      <c r="A32" s="753"/>
      <c r="B32" s="754"/>
      <c r="C32" s="755"/>
      <c r="D32" s="754"/>
      <c r="E32" s="754"/>
      <c r="F32" s="754"/>
      <c r="G32" s="754"/>
      <c r="H32" s="756"/>
      <c r="I32" s="757"/>
      <c r="J32" s="757"/>
      <c r="K32" s="757"/>
      <c r="L32" s="758"/>
      <c r="M32" s="573"/>
      <c r="N32" s="573"/>
      <c r="O32" s="573"/>
      <c r="P32" s="573"/>
    </row>
    <row r="33" spans="1:16" s="15" customFormat="1" ht="18.75" customHeight="1">
      <c r="A33" s="734">
        <v>3.2</v>
      </c>
      <c r="B33" s="305" t="str">
        <f>L_CViec!B12</f>
        <v>Tính toán, bình sai</v>
      </c>
      <c r="C33" s="577"/>
      <c r="D33" s="759"/>
      <c r="E33" s="577"/>
      <c r="F33" s="577"/>
      <c r="G33" s="577"/>
      <c r="H33" s="579"/>
      <c r="I33" s="577"/>
      <c r="J33" s="577"/>
      <c r="K33" s="577"/>
      <c r="L33" s="577"/>
      <c r="M33" s="577"/>
      <c r="N33" s="577"/>
      <c r="O33" s="577"/>
      <c r="P33" s="577"/>
    </row>
    <row r="34" spans="1:16" s="51" customFormat="1" ht="24.75" customHeight="1">
      <c r="A34" s="1100" t="s">
        <v>88</v>
      </c>
      <c r="B34" s="1100" t="s">
        <v>86</v>
      </c>
      <c r="C34" s="1100" t="s">
        <v>70</v>
      </c>
      <c r="D34" s="1100" t="s">
        <v>89</v>
      </c>
      <c r="E34" s="1100" t="s">
        <v>241</v>
      </c>
      <c r="F34" s="1100" t="s">
        <v>80</v>
      </c>
      <c r="G34" s="356"/>
      <c r="H34" s="356"/>
      <c r="I34" s="369"/>
      <c r="J34" s="356"/>
      <c r="K34" s="356"/>
      <c r="L34" s="356"/>
      <c r="M34" s="369"/>
      <c r="N34" s="369"/>
      <c r="O34" s="369"/>
      <c r="P34" s="369"/>
    </row>
    <row r="35" spans="1:16" s="51" customFormat="1" ht="24.75" customHeight="1">
      <c r="A35" s="1100"/>
      <c r="B35" s="1100"/>
      <c r="C35" s="1100"/>
      <c r="D35" s="1100"/>
      <c r="E35" s="1100"/>
      <c r="F35" s="1100"/>
      <c r="G35" s="369"/>
      <c r="H35" s="369"/>
      <c r="I35" s="369"/>
      <c r="J35" s="369"/>
      <c r="K35" s="369"/>
      <c r="L35" s="369"/>
      <c r="M35" s="369"/>
      <c r="N35" s="369"/>
      <c r="O35" s="369"/>
      <c r="P35" s="369"/>
    </row>
    <row r="36" spans="1:16">
      <c r="A36" s="587">
        <v>1</v>
      </c>
      <c r="B36" s="588" t="s">
        <v>160</v>
      </c>
      <c r="C36" s="587" t="s">
        <v>91</v>
      </c>
      <c r="D36" s="859">
        <f>VLOOKUP(B36,GiaVL!$B$4:'GiaVL'!$D$159,3,0)</f>
        <v>1000</v>
      </c>
      <c r="E36" s="861">
        <v>0.1</v>
      </c>
      <c r="F36" s="760">
        <f t="shared" ref="F36:F42" si="4">$D36*E36</f>
        <v>100</v>
      </c>
      <c r="G36" s="573"/>
      <c r="H36" s="733"/>
      <c r="I36" s="732"/>
      <c r="J36" s="732"/>
      <c r="K36" s="732"/>
      <c r="L36" s="732"/>
      <c r="M36" s="573"/>
      <c r="N36" s="573"/>
      <c r="O36" s="573"/>
      <c r="P36" s="573"/>
    </row>
    <row r="37" spans="1:16">
      <c r="A37" s="587">
        <v>2</v>
      </c>
      <c r="B37" s="588" t="s">
        <v>168</v>
      </c>
      <c r="C37" s="587" t="s">
        <v>134</v>
      </c>
      <c r="D37" s="859">
        <f>VLOOKUP(B37,GiaVL!$B$4:'GiaVL'!$D$159,3,0)</f>
        <v>12000</v>
      </c>
      <c r="E37" s="588">
        <v>0.03</v>
      </c>
      <c r="F37" s="760">
        <f t="shared" si="4"/>
        <v>360</v>
      </c>
      <c r="G37" s="573"/>
      <c r="H37" s="733"/>
      <c r="I37" s="732"/>
      <c r="J37" s="732"/>
      <c r="K37" s="732"/>
      <c r="L37" s="732"/>
      <c r="M37" s="573"/>
      <c r="N37" s="573"/>
      <c r="O37" s="573"/>
      <c r="P37" s="573"/>
    </row>
    <row r="38" spans="1:16">
      <c r="A38" s="587">
        <v>3</v>
      </c>
      <c r="B38" s="588" t="s">
        <v>165</v>
      </c>
      <c r="C38" s="587" t="s">
        <v>139</v>
      </c>
      <c r="D38" s="859">
        <f>VLOOKUP(B38,GiaVL!$B$4:'GiaVL'!$D$159,3,0)</f>
        <v>70000</v>
      </c>
      <c r="E38" s="588">
        <v>0.01</v>
      </c>
      <c r="F38" s="760">
        <f t="shared" si="4"/>
        <v>700</v>
      </c>
      <c r="G38" s="573"/>
      <c r="H38" s="733"/>
      <c r="I38" s="732"/>
      <c r="J38" s="732"/>
      <c r="K38" s="732"/>
      <c r="L38" s="732"/>
      <c r="M38" s="573"/>
      <c r="N38" s="573"/>
      <c r="O38" s="573"/>
      <c r="P38" s="573"/>
    </row>
    <row r="39" spans="1:16">
      <c r="A39" s="587">
        <v>4</v>
      </c>
      <c r="B39" s="588" t="s">
        <v>398</v>
      </c>
      <c r="C39" s="587" t="s">
        <v>167</v>
      </c>
      <c r="D39" s="859">
        <f>VLOOKUP(B39,GiaVL!$B$4:'GiaVL'!$D$159,3,0)</f>
        <v>1600000</v>
      </c>
      <c r="E39" s="588">
        <v>1E-3</v>
      </c>
      <c r="F39" s="760">
        <f t="shared" si="4"/>
        <v>1600</v>
      </c>
      <c r="G39" s="573"/>
      <c r="H39" s="733"/>
      <c r="I39" s="732"/>
      <c r="J39" s="732"/>
      <c r="K39" s="732"/>
      <c r="L39" s="732"/>
      <c r="M39" s="573"/>
      <c r="N39" s="573"/>
      <c r="O39" s="573"/>
      <c r="P39" s="573"/>
    </row>
    <row r="40" spans="1:16">
      <c r="A40" s="587">
        <v>5</v>
      </c>
      <c r="B40" s="588" t="s">
        <v>141</v>
      </c>
      <c r="C40" s="587" t="s">
        <v>140</v>
      </c>
      <c r="D40" s="859">
        <f>VLOOKUP(B40,GiaVL!$B$4:'GiaVL'!$D$159,3,0)</f>
        <v>10000</v>
      </c>
      <c r="E40" s="588">
        <v>0.05</v>
      </c>
      <c r="F40" s="760">
        <f t="shared" si="4"/>
        <v>500</v>
      </c>
      <c r="G40" s="573"/>
      <c r="H40" s="733"/>
      <c r="I40" s="732"/>
      <c r="J40" s="732"/>
      <c r="K40" s="732"/>
      <c r="L40" s="732"/>
      <c r="M40" s="573"/>
      <c r="N40" s="573"/>
      <c r="O40" s="573"/>
      <c r="P40" s="573"/>
    </row>
    <row r="41" spans="1:16">
      <c r="A41" s="587">
        <v>6</v>
      </c>
      <c r="B41" s="588" t="s">
        <v>399</v>
      </c>
      <c r="C41" s="587" t="s">
        <v>218</v>
      </c>
      <c r="D41" s="859">
        <f>VLOOKUP(B41,GiaVL!$B$4:'GiaVL'!$D$159,3,0)</f>
        <v>120000</v>
      </c>
      <c r="E41" s="861">
        <v>0.1</v>
      </c>
      <c r="F41" s="760">
        <f t="shared" si="4"/>
        <v>12000</v>
      </c>
      <c r="G41" s="573"/>
      <c r="H41" s="733"/>
      <c r="I41" s="732"/>
      <c r="J41" s="732"/>
      <c r="K41" s="732"/>
      <c r="L41" s="732"/>
      <c r="M41" s="573"/>
      <c r="N41" s="573"/>
      <c r="O41" s="573"/>
      <c r="P41" s="573"/>
    </row>
    <row r="42" spans="1:16">
      <c r="A42" s="587">
        <v>7</v>
      </c>
      <c r="B42" s="588" t="s">
        <v>400</v>
      </c>
      <c r="C42" s="587" t="s">
        <v>218</v>
      </c>
      <c r="D42" s="859">
        <f>VLOOKUP(B42,GiaVL!$B$4:'GiaVL'!$D$159,3,0)</f>
        <v>120000</v>
      </c>
      <c r="E42" s="861">
        <v>0.1</v>
      </c>
      <c r="F42" s="760">
        <f t="shared" si="4"/>
        <v>12000</v>
      </c>
      <c r="G42" s="573"/>
      <c r="H42" s="733"/>
      <c r="I42" s="732"/>
      <c r="J42" s="732"/>
      <c r="K42" s="732"/>
      <c r="L42" s="732"/>
      <c r="M42" s="573"/>
      <c r="N42" s="573"/>
      <c r="O42" s="573"/>
      <c r="P42" s="573"/>
    </row>
    <row r="43" spans="1:16" s="16" customFormat="1">
      <c r="A43" s="693"/>
      <c r="B43" s="693" t="s">
        <v>519</v>
      </c>
      <c r="C43" s="601"/>
      <c r="D43" s="693"/>
      <c r="E43" s="693"/>
      <c r="F43" s="761">
        <f>SUM(F36:F42)</f>
        <v>27260</v>
      </c>
      <c r="G43" s="762"/>
      <c r="H43" s="762"/>
      <c r="I43" s="762"/>
      <c r="J43" s="762"/>
      <c r="K43" s="762"/>
      <c r="L43" s="762"/>
      <c r="M43" s="576"/>
      <c r="N43" s="576"/>
      <c r="O43" s="576"/>
      <c r="P43" s="576"/>
    </row>
    <row r="44" spans="1:16">
      <c r="A44" s="731"/>
      <c r="B44" s="763"/>
      <c r="C44" s="731"/>
      <c r="D44" s="764"/>
      <c r="E44" s="573"/>
      <c r="F44" s="765"/>
      <c r="G44" s="765"/>
      <c r="H44" s="733"/>
      <c r="I44" s="766"/>
      <c r="J44" s="767"/>
      <c r="K44" s="768"/>
      <c r="L44" s="766"/>
      <c r="M44" s="573"/>
      <c r="N44" s="573"/>
      <c r="O44" s="573"/>
      <c r="P44" s="573"/>
    </row>
    <row r="45" spans="1:16" s="50" customFormat="1" ht="13.5" thickBot="1">
      <c r="A45" s="734" t="str">
        <f>L_CViec!A14</f>
        <v>II</v>
      </c>
      <c r="B45" s="726" t="str">
        <f>L_CViec!B14</f>
        <v>ĐO ĐẠC THÀNH LẬP BẢN ĐỒ ĐỊA CHÍNH</v>
      </c>
      <c r="C45" s="734"/>
      <c r="D45" s="734"/>
      <c r="E45" s="734"/>
      <c r="F45" s="734"/>
      <c r="G45" s="734"/>
      <c r="H45" s="735"/>
      <c r="I45" s="734"/>
      <c r="J45" s="734"/>
      <c r="K45" s="734"/>
      <c r="L45" s="734"/>
      <c r="M45" s="734"/>
      <c r="N45" s="734"/>
      <c r="O45" s="734"/>
      <c r="P45" s="734"/>
    </row>
    <row r="46" spans="1:16" s="51" customFormat="1" ht="18.75" customHeight="1">
      <c r="A46" s="1101" t="s">
        <v>88</v>
      </c>
      <c r="B46" s="1099" t="s">
        <v>86</v>
      </c>
      <c r="C46" s="1099" t="s">
        <v>70</v>
      </c>
      <c r="D46" s="1099" t="s">
        <v>89</v>
      </c>
      <c r="E46" s="1099" t="s">
        <v>241</v>
      </c>
      <c r="F46" s="1099"/>
      <c r="G46" s="1099"/>
      <c r="H46" s="1099"/>
      <c r="I46" s="1099"/>
      <c r="J46" s="1099"/>
      <c r="K46" s="1099" t="s">
        <v>80</v>
      </c>
      <c r="L46" s="1099"/>
      <c r="M46" s="1099"/>
      <c r="N46" s="1099"/>
      <c r="O46" s="1099"/>
      <c r="P46" s="1181"/>
    </row>
    <row r="47" spans="1:16" s="51" customFormat="1" ht="18.75" customHeight="1">
      <c r="A47" s="1102"/>
      <c r="B47" s="1100"/>
      <c r="C47" s="1100"/>
      <c r="D47" s="1100"/>
      <c r="E47" s="601" t="s">
        <v>22</v>
      </c>
      <c r="F47" s="601" t="s">
        <v>23</v>
      </c>
      <c r="G47" s="601" t="s">
        <v>32</v>
      </c>
      <c r="H47" s="601" t="s">
        <v>24</v>
      </c>
      <c r="I47" s="601" t="s">
        <v>25</v>
      </c>
      <c r="J47" s="601" t="s">
        <v>401</v>
      </c>
      <c r="K47" s="601" t="s">
        <v>22</v>
      </c>
      <c r="L47" s="601" t="s">
        <v>23</v>
      </c>
      <c r="M47" s="601" t="s">
        <v>32</v>
      </c>
      <c r="N47" s="601" t="s">
        <v>24</v>
      </c>
      <c r="O47" s="601" t="s">
        <v>25</v>
      </c>
      <c r="P47" s="602" t="s">
        <v>401</v>
      </c>
    </row>
    <row r="48" spans="1:16" s="16" customFormat="1" ht="15" customHeight="1">
      <c r="A48" s="719" t="s">
        <v>220</v>
      </c>
      <c r="B48" s="769" t="s">
        <v>63</v>
      </c>
      <c r="C48" s="610"/>
      <c r="D48" s="770"/>
      <c r="E48" s="771"/>
      <c r="F48" s="771"/>
      <c r="G48" s="771"/>
      <c r="H48" s="772"/>
      <c r="I48" s="772"/>
      <c r="J48" s="772"/>
      <c r="K48" s="773"/>
      <c r="L48" s="774"/>
      <c r="M48" s="774"/>
      <c r="N48" s="773"/>
      <c r="O48" s="773"/>
      <c r="P48" s="775"/>
    </row>
    <row r="49" spans="1:16" ht="15" customHeight="1">
      <c r="A49" s="539">
        <v>1</v>
      </c>
      <c r="B49" s="640" t="s">
        <v>135</v>
      </c>
      <c r="C49" s="541" t="s">
        <v>136</v>
      </c>
      <c r="D49" s="611">
        <f>VLOOKUP(B49,GiaVL!$B$4:'GiaVL'!$D$159,3,0)</f>
        <v>10000</v>
      </c>
      <c r="E49" s="653">
        <v>0.18</v>
      </c>
      <c r="F49" s="653">
        <v>0.23</v>
      </c>
      <c r="G49" s="653">
        <v>0.36</v>
      </c>
      <c r="H49" s="723">
        <v>0.5</v>
      </c>
      <c r="I49" s="723">
        <v>0.88</v>
      </c>
      <c r="J49" s="723">
        <v>1.2</v>
      </c>
      <c r="K49" s="776">
        <f t="shared" ref="K49:K64" si="5">$D49*E49</f>
        <v>1800</v>
      </c>
      <c r="L49" s="777">
        <f t="shared" ref="L49:L64" si="6">$D49*F49</f>
        <v>2300</v>
      </c>
      <c r="M49" s="777">
        <f t="shared" ref="M49:M64" si="7">$D49*G49</f>
        <v>3600</v>
      </c>
      <c r="N49" s="776">
        <f t="shared" ref="N49:N64" si="8">$D49*H49</f>
        <v>5000</v>
      </c>
      <c r="O49" s="776">
        <f t="shared" ref="O49:O64" si="9">$D49*I49</f>
        <v>8800</v>
      </c>
      <c r="P49" s="778">
        <f t="shared" ref="P49:P64" si="10">$D49*J49</f>
        <v>12000</v>
      </c>
    </row>
    <row r="50" spans="1:16" ht="15" customHeight="1">
      <c r="A50" s="539">
        <v>2</v>
      </c>
      <c r="B50" s="640" t="s">
        <v>160</v>
      </c>
      <c r="C50" s="541" t="s">
        <v>91</v>
      </c>
      <c r="D50" s="611">
        <f>VLOOKUP(B50,GiaVL!$B$4:'GiaVL'!$D$159,3,0)</f>
        <v>1000</v>
      </c>
      <c r="E50" s="653">
        <v>1.35</v>
      </c>
      <c r="F50" s="653">
        <v>1.35</v>
      </c>
      <c r="G50" s="653">
        <v>1.35</v>
      </c>
      <c r="H50" s="723">
        <v>1.5</v>
      </c>
      <c r="I50" s="723">
        <v>1.65</v>
      </c>
      <c r="J50" s="723">
        <v>2.25</v>
      </c>
      <c r="K50" s="776">
        <f t="shared" si="5"/>
        <v>1350</v>
      </c>
      <c r="L50" s="777">
        <f t="shared" si="6"/>
        <v>1350</v>
      </c>
      <c r="M50" s="777">
        <f t="shared" si="7"/>
        <v>1350</v>
      </c>
      <c r="N50" s="776">
        <f t="shared" si="8"/>
        <v>1500</v>
      </c>
      <c r="O50" s="776">
        <f t="shared" si="9"/>
        <v>1650</v>
      </c>
      <c r="P50" s="778">
        <f t="shared" si="10"/>
        <v>2250</v>
      </c>
    </row>
    <row r="51" spans="1:16" ht="15" customHeight="1">
      <c r="A51" s="539">
        <v>3</v>
      </c>
      <c r="B51" s="640" t="s">
        <v>242</v>
      </c>
      <c r="C51" s="541" t="s">
        <v>91</v>
      </c>
      <c r="D51" s="611">
        <f>VLOOKUP(B51,GiaVL!$B$4:'GiaVL'!$D$159,3,0)</f>
        <v>7500</v>
      </c>
      <c r="E51" s="653">
        <v>9</v>
      </c>
      <c r="F51" s="653">
        <v>27</v>
      </c>
      <c r="G51" s="653">
        <v>54</v>
      </c>
      <c r="H51" s="723">
        <v>80</v>
      </c>
      <c r="I51" s="723">
        <v>110</v>
      </c>
      <c r="J51" s="723">
        <v>150</v>
      </c>
      <c r="K51" s="776">
        <f t="shared" si="5"/>
        <v>67500</v>
      </c>
      <c r="L51" s="777">
        <f t="shared" si="6"/>
        <v>202500</v>
      </c>
      <c r="M51" s="777">
        <f t="shared" si="7"/>
        <v>405000</v>
      </c>
      <c r="N51" s="776">
        <f t="shared" si="8"/>
        <v>600000</v>
      </c>
      <c r="O51" s="776">
        <f t="shared" si="9"/>
        <v>825000</v>
      </c>
      <c r="P51" s="778">
        <f t="shared" si="10"/>
        <v>1125000</v>
      </c>
    </row>
    <row r="52" spans="1:16" ht="15" customHeight="1">
      <c r="A52" s="539">
        <v>4</v>
      </c>
      <c r="B52" s="640" t="s">
        <v>137</v>
      </c>
      <c r="C52" s="541" t="s">
        <v>94</v>
      </c>
      <c r="D52" s="611">
        <f>VLOOKUP(B52,GiaVL!$B$4:'GiaVL'!$D$159,3,0)</f>
        <v>20000</v>
      </c>
      <c r="E52" s="653">
        <v>0.27</v>
      </c>
      <c r="F52" s="653">
        <v>0.36</v>
      </c>
      <c r="G52" s="653">
        <v>0.45</v>
      </c>
      <c r="H52" s="723">
        <v>1</v>
      </c>
      <c r="I52" s="723">
        <v>2.2000000000000002</v>
      </c>
      <c r="J52" s="723">
        <v>3</v>
      </c>
      <c r="K52" s="776">
        <f t="shared" si="5"/>
        <v>5400</v>
      </c>
      <c r="L52" s="777">
        <f t="shared" si="6"/>
        <v>7200</v>
      </c>
      <c r="M52" s="777">
        <f t="shared" si="7"/>
        <v>9000</v>
      </c>
      <c r="N52" s="776">
        <f t="shared" si="8"/>
        <v>20000</v>
      </c>
      <c r="O52" s="776">
        <f t="shared" si="9"/>
        <v>44000</v>
      </c>
      <c r="P52" s="778">
        <f t="shared" si="10"/>
        <v>60000</v>
      </c>
    </row>
    <row r="53" spans="1:16" s="828" customFormat="1" ht="15" customHeight="1">
      <c r="A53" s="539">
        <v>5</v>
      </c>
      <c r="B53" s="948" t="s">
        <v>656</v>
      </c>
      <c r="C53" s="831" t="s">
        <v>116</v>
      </c>
      <c r="D53" s="611">
        <f>VLOOKUP(B53,GiaVL!$B$4:'GiaVL'!$D$159,3,0)</f>
        <v>8500</v>
      </c>
      <c r="E53" s="857">
        <v>1.8</v>
      </c>
      <c r="F53" s="857">
        <v>2.7</v>
      </c>
      <c r="G53" s="857">
        <v>2.7</v>
      </c>
      <c r="H53" s="858">
        <v>5</v>
      </c>
      <c r="I53" s="858">
        <v>6.6</v>
      </c>
      <c r="J53" s="858">
        <v>9</v>
      </c>
      <c r="K53" s="776">
        <f t="shared" ref="K53" si="11">$D53*E53</f>
        <v>15300</v>
      </c>
      <c r="L53" s="777">
        <f t="shared" ref="L53" si="12">$D53*F53</f>
        <v>22950</v>
      </c>
      <c r="M53" s="777">
        <f t="shared" ref="M53" si="13">$D53*G53</f>
        <v>22950</v>
      </c>
      <c r="N53" s="776">
        <f t="shared" ref="N53" si="14">$D53*H53</f>
        <v>42500</v>
      </c>
      <c r="O53" s="776">
        <f t="shared" ref="O53" si="15">$D53*I53</f>
        <v>56100</v>
      </c>
      <c r="P53" s="778">
        <f t="shared" ref="P53" si="16">$D53*J53</f>
        <v>76500</v>
      </c>
    </row>
    <row r="54" spans="1:16" ht="15" customHeight="1">
      <c r="A54" s="539">
        <v>6</v>
      </c>
      <c r="B54" s="640" t="s">
        <v>141</v>
      </c>
      <c r="C54" s="18" t="s">
        <v>116</v>
      </c>
      <c r="D54" s="611">
        <f>VLOOKUP(B54,GiaVL!$B$4:'GiaVL'!$D$159,3,0)</f>
        <v>10000</v>
      </c>
      <c r="E54" s="653">
        <v>0.01</v>
      </c>
      <c r="F54" s="653">
        <v>0.06</v>
      </c>
      <c r="G54" s="653">
        <v>0.08</v>
      </c>
      <c r="H54" s="723">
        <v>0.2</v>
      </c>
      <c r="I54" s="723">
        <v>0.77</v>
      </c>
      <c r="J54" s="723">
        <v>1.05</v>
      </c>
      <c r="K54" s="776">
        <f t="shared" si="5"/>
        <v>100</v>
      </c>
      <c r="L54" s="777">
        <f t="shared" si="6"/>
        <v>600</v>
      </c>
      <c r="M54" s="777">
        <f t="shared" si="7"/>
        <v>800</v>
      </c>
      <c r="N54" s="776">
        <f t="shared" si="8"/>
        <v>2000</v>
      </c>
      <c r="O54" s="776">
        <f t="shared" si="9"/>
        <v>7700</v>
      </c>
      <c r="P54" s="778">
        <f t="shared" si="10"/>
        <v>10500</v>
      </c>
    </row>
    <row r="55" spans="1:16" ht="15" customHeight="1">
      <c r="A55" s="539">
        <v>7</v>
      </c>
      <c r="B55" s="540" t="s">
        <v>408</v>
      </c>
      <c r="C55" s="541" t="s">
        <v>94</v>
      </c>
      <c r="D55" s="611">
        <f>VLOOKUP(B55,GiaVL!$B$4:'GiaVL'!$D$159,3,0)</f>
        <v>160000</v>
      </c>
      <c r="E55" s="653">
        <v>0.45</v>
      </c>
      <c r="F55" s="653">
        <v>0.45</v>
      </c>
      <c r="G55" s="653">
        <v>0.45</v>
      </c>
      <c r="H55" s="723">
        <v>0.5</v>
      </c>
      <c r="I55" s="723">
        <v>0.55000000000000004</v>
      </c>
      <c r="J55" s="723">
        <v>0.75</v>
      </c>
      <c r="K55" s="776">
        <f t="shared" si="5"/>
        <v>72000</v>
      </c>
      <c r="L55" s="777">
        <f t="shared" si="6"/>
        <v>72000</v>
      </c>
      <c r="M55" s="777">
        <f t="shared" si="7"/>
        <v>72000</v>
      </c>
      <c r="N55" s="776">
        <f t="shared" si="8"/>
        <v>80000</v>
      </c>
      <c r="O55" s="776">
        <f t="shared" si="9"/>
        <v>88000</v>
      </c>
      <c r="P55" s="778">
        <f t="shared" si="10"/>
        <v>120000</v>
      </c>
    </row>
    <row r="56" spans="1:16" ht="15" customHeight="1">
      <c r="A56" s="539">
        <v>8</v>
      </c>
      <c r="B56" s="540" t="s">
        <v>243</v>
      </c>
      <c r="C56" s="541" t="s">
        <v>91</v>
      </c>
      <c r="D56" s="611">
        <f>VLOOKUP(B56,GiaVL!$B$4:'GiaVL'!$D$159,3,0)</f>
        <v>500000</v>
      </c>
      <c r="E56" s="653">
        <v>36</v>
      </c>
      <c r="F56" s="653">
        <v>36</v>
      </c>
      <c r="G56" s="653">
        <v>27</v>
      </c>
      <c r="H56" s="723">
        <v>0</v>
      </c>
      <c r="I56" s="723">
        <v>0</v>
      </c>
      <c r="J56" s="723"/>
      <c r="K56" s="776">
        <f t="shared" si="5"/>
        <v>18000000</v>
      </c>
      <c r="L56" s="777">
        <f t="shared" si="6"/>
        <v>18000000</v>
      </c>
      <c r="M56" s="777">
        <f t="shared" si="7"/>
        <v>13500000</v>
      </c>
      <c r="N56" s="776">
        <f t="shared" si="8"/>
        <v>0</v>
      </c>
      <c r="O56" s="776">
        <f t="shared" si="9"/>
        <v>0</v>
      </c>
      <c r="P56" s="779">
        <f>$D56*J56</f>
        <v>0</v>
      </c>
    </row>
    <row r="57" spans="1:16" ht="15" customHeight="1">
      <c r="A57" s="539">
        <v>9</v>
      </c>
      <c r="B57" s="540" t="s">
        <v>164</v>
      </c>
      <c r="C57" s="541" t="s">
        <v>16</v>
      </c>
      <c r="D57" s="611">
        <f>VLOOKUP(B57,GiaVL!$B$4:'GiaVL'!$D$159,3,0)</f>
        <v>225000</v>
      </c>
      <c r="E57" s="653">
        <v>0.09</v>
      </c>
      <c r="F57" s="653">
        <v>0.05</v>
      </c>
      <c r="G57" s="653">
        <v>0.05</v>
      </c>
      <c r="H57" s="723">
        <v>0.05</v>
      </c>
      <c r="I57" s="723">
        <v>0.06</v>
      </c>
      <c r="J57" s="723">
        <v>7.0000000000000007E-2</v>
      </c>
      <c r="K57" s="776">
        <f t="shared" si="5"/>
        <v>20250</v>
      </c>
      <c r="L57" s="777">
        <f t="shared" si="6"/>
        <v>11250</v>
      </c>
      <c r="M57" s="777">
        <f t="shared" si="7"/>
        <v>11250</v>
      </c>
      <c r="N57" s="776">
        <f t="shared" si="8"/>
        <v>11250</v>
      </c>
      <c r="O57" s="776">
        <f t="shared" si="9"/>
        <v>13500</v>
      </c>
      <c r="P57" s="778">
        <f t="shared" si="10"/>
        <v>15750.000000000002</v>
      </c>
    </row>
    <row r="58" spans="1:16" s="828" customFormat="1" ht="14.25" customHeight="1">
      <c r="A58" s="539">
        <v>10</v>
      </c>
      <c r="B58" s="830" t="s">
        <v>655</v>
      </c>
      <c r="C58" s="831" t="s">
        <v>94</v>
      </c>
      <c r="D58" s="611">
        <f>VLOOKUP(B58,GiaVL!$B$4:'GiaVL'!$D$159,3,0)</f>
        <v>150000</v>
      </c>
      <c r="E58" s="857">
        <v>0.22</v>
      </c>
      <c r="F58" s="857">
        <v>1.44</v>
      </c>
      <c r="G58" s="857">
        <v>1.8</v>
      </c>
      <c r="H58" s="858">
        <v>4</v>
      </c>
      <c r="I58" s="858">
        <v>13.2</v>
      </c>
      <c r="J58" s="858">
        <v>18</v>
      </c>
      <c r="K58" s="862"/>
      <c r="L58" s="777">
        <f t="shared" ref="L58" si="17">$D58*F58</f>
        <v>216000</v>
      </c>
      <c r="M58" s="777">
        <f t="shared" ref="M58" si="18">$D58*G58</f>
        <v>270000</v>
      </c>
      <c r="N58" s="776">
        <f t="shared" ref="N58" si="19">$D58*H58</f>
        <v>600000</v>
      </c>
      <c r="O58" s="776">
        <f t="shared" ref="O58" si="20">$D58*I58</f>
        <v>1980000</v>
      </c>
      <c r="P58" s="778">
        <f t="shared" ref="P58" si="21">$D58*J58</f>
        <v>2700000</v>
      </c>
    </row>
    <row r="59" spans="1:16" ht="15" customHeight="1">
      <c r="A59" s="539">
        <v>11</v>
      </c>
      <c r="B59" s="540" t="s">
        <v>165</v>
      </c>
      <c r="C59" s="541" t="s">
        <v>19</v>
      </c>
      <c r="D59" s="611">
        <f>VLOOKUP(B59,GiaVL!$B$4:'GiaVL'!$D$159,3,0)</f>
        <v>70000</v>
      </c>
      <c r="E59" s="653">
        <v>0.18</v>
      </c>
      <c r="F59" s="653">
        <v>0.27</v>
      </c>
      <c r="G59" s="653">
        <v>0.36</v>
      </c>
      <c r="H59" s="723">
        <v>0.5</v>
      </c>
      <c r="I59" s="723">
        <v>0.66</v>
      </c>
      <c r="J59" s="723">
        <v>0.9</v>
      </c>
      <c r="K59" s="776">
        <f t="shared" si="5"/>
        <v>12600</v>
      </c>
      <c r="L59" s="777">
        <f t="shared" si="6"/>
        <v>18900</v>
      </c>
      <c r="M59" s="777">
        <f t="shared" si="7"/>
        <v>25200</v>
      </c>
      <c r="N59" s="776">
        <f t="shared" si="8"/>
        <v>35000</v>
      </c>
      <c r="O59" s="776">
        <f t="shared" si="9"/>
        <v>46200</v>
      </c>
      <c r="P59" s="778">
        <f t="shared" si="10"/>
        <v>63000</v>
      </c>
    </row>
    <row r="60" spans="1:16" ht="15" customHeight="1">
      <c r="A60" s="539">
        <v>12</v>
      </c>
      <c r="B60" s="540" t="s">
        <v>166</v>
      </c>
      <c r="C60" s="541" t="s">
        <v>19</v>
      </c>
      <c r="D60" s="611">
        <f>VLOOKUP(B60,GiaVL!$B$4:'GiaVL'!$D$159,3,0)</f>
        <v>140000</v>
      </c>
      <c r="E60" s="653">
        <v>0.09</v>
      </c>
      <c r="F60" s="653">
        <v>0.14000000000000001</v>
      </c>
      <c r="G60" s="653">
        <v>0.18</v>
      </c>
      <c r="H60" s="723">
        <v>0.3</v>
      </c>
      <c r="I60" s="723">
        <v>0.44</v>
      </c>
      <c r="J60" s="723">
        <v>0.6</v>
      </c>
      <c r="K60" s="776">
        <f t="shared" si="5"/>
        <v>12600</v>
      </c>
      <c r="L60" s="777">
        <f t="shared" si="6"/>
        <v>19600.000000000004</v>
      </c>
      <c r="M60" s="777">
        <f t="shared" si="7"/>
        <v>25200</v>
      </c>
      <c r="N60" s="776">
        <f t="shared" si="8"/>
        <v>42000</v>
      </c>
      <c r="O60" s="776">
        <f t="shared" si="9"/>
        <v>61600</v>
      </c>
      <c r="P60" s="778">
        <f t="shared" si="10"/>
        <v>84000</v>
      </c>
    </row>
    <row r="61" spans="1:16" ht="15" customHeight="1">
      <c r="A61" s="539">
        <v>13</v>
      </c>
      <c r="B61" s="540" t="s">
        <v>244</v>
      </c>
      <c r="C61" s="541" t="s">
        <v>66</v>
      </c>
      <c r="D61" s="611">
        <f>VLOOKUP(B61,GiaVL!$B$4:'GiaVL'!$D$159,3,0)</f>
        <v>1420000</v>
      </c>
      <c r="E61" s="653">
        <v>0.04</v>
      </c>
      <c r="F61" s="653">
        <v>0.05</v>
      </c>
      <c r="G61" s="653">
        <v>7.0000000000000007E-2</v>
      </c>
      <c r="H61" s="723">
        <v>0.1</v>
      </c>
      <c r="I61" s="723">
        <v>0.13</v>
      </c>
      <c r="J61" s="723">
        <v>0.18</v>
      </c>
      <c r="K61" s="776">
        <f>$D61*E61</f>
        <v>56800</v>
      </c>
      <c r="L61" s="777">
        <f t="shared" si="6"/>
        <v>71000</v>
      </c>
      <c r="M61" s="777">
        <f t="shared" si="7"/>
        <v>99400.000000000015</v>
      </c>
      <c r="N61" s="776">
        <f t="shared" si="8"/>
        <v>142000</v>
      </c>
      <c r="O61" s="776">
        <f t="shared" si="9"/>
        <v>184600</v>
      </c>
      <c r="P61" s="778">
        <f t="shared" si="10"/>
        <v>255600</v>
      </c>
    </row>
    <row r="62" spans="1:16" ht="15" customHeight="1">
      <c r="A62" s="539">
        <v>14</v>
      </c>
      <c r="B62" s="540" t="s">
        <v>245</v>
      </c>
      <c r="C62" s="541" t="s">
        <v>66</v>
      </c>
      <c r="D62" s="611">
        <f>VLOOKUP(B62,GiaVL!$B$4:'GiaVL'!$D$159,3,0)</f>
        <v>990000</v>
      </c>
      <c r="E62" s="540">
        <v>0.02</v>
      </c>
      <c r="F62" s="653">
        <v>0.03</v>
      </c>
      <c r="G62" s="653">
        <v>0.04</v>
      </c>
      <c r="H62" s="740">
        <v>0.06</v>
      </c>
      <c r="I62" s="740">
        <v>0.09</v>
      </c>
      <c r="J62" s="740">
        <v>0.12</v>
      </c>
      <c r="K62" s="776">
        <f>$D62*E62</f>
        <v>19800</v>
      </c>
      <c r="L62" s="777">
        <f>$D62*F62</f>
        <v>29700</v>
      </c>
      <c r="M62" s="777">
        <f t="shared" si="7"/>
        <v>39600</v>
      </c>
      <c r="N62" s="776">
        <f t="shared" si="8"/>
        <v>59400</v>
      </c>
      <c r="O62" s="776">
        <f t="shared" si="9"/>
        <v>89100</v>
      </c>
      <c r="P62" s="778">
        <f t="shared" si="10"/>
        <v>118800</v>
      </c>
    </row>
    <row r="63" spans="1:16" ht="15" customHeight="1">
      <c r="A63" s="539">
        <v>15</v>
      </c>
      <c r="B63" s="540" t="s">
        <v>138</v>
      </c>
      <c r="C63" s="541" t="s">
        <v>94</v>
      </c>
      <c r="D63" s="611">
        <f>VLOOKUP(B63,GiaVL!$B$4:'GiaVL'!$D$159,3,0)</f>
        <v>20000</v>
      </c>
      <c r="E63" s="540">
        <v>0.27</v>
      </c>
      <c r="F63" s="653">
        <v>0.36</v>
      </c>
      <c r="G63" s="653">
        <v>0.45</v>
      </c>
      <c r="H63" s="740">
        <v>1</v>
      </c>
      <c r="I63" s="740">
        <v>2.2000000000000002</v>
      </c>
      <c r="J63" s="740">
        <v>3</v>
      </c>
      <c r="K63" s="776">
        <f t="shared" si="5"/>
        <v>5400</v>
      </c>
      <c r="L63" s="777">
        <f t="shared" si="6"/>
        <v>7200</v>
      </c>
      <c r="M63" s="777">
        <f t="shared" si="7"/>
        <v>9000</v>
      </c>
      <c r="N63" s="776">
        <f t="shared" si="8"/>
        <v>20000</v>
      </c>
      <c r="O63" s="776">
        <f t="shared" si="9"/>
        <v>44000</v>
      </c>
      <c r="P63" s="778">
        <f t="shared" si="10"/>
        <v>60000</v>
      </c>
    </row>
    <row r="64" spans="1:16" ht="15" customHeight="1">
      <c r="A64" s="539">
        <v>16</v>
      </c>
      <c r="B64" s="540" t="s">
        <v>163</v>
      </c>
      <c r="C64" s="541" t="s">
        <v>94</v>
      </c>
      <c r="D64" s="611">
        <f>VLOOKUP(B64,GiaVL!$B$4:'GiaVL'!$D$159,3,0)</f>
        <v>160000</v>
      </c>
      <c r="E64" s="540">
        <v>0.45</v>
      </c>
      <c r="F64" s="653">
        <v>0.45</v>
      </c>
      <c r="G64" s="653">
        <v>0.45</v>
      </c>
      <c r="H64" s="740">
        <v>0.5</v>
      </c>
      <c r="I64" s="740">
        <v>0.55000000000000004</v>
      </c>
      <c r="J64" s="740">
        <v>0.75</v>
      </c>
      <c r="K64" s="776">
        <f t="shared" si="5"/>
        <v>72000</v>
      </c>
      <c r="L64" s="777">
        <f t="shared" si="6"/>
        <v>72000</v>
      </c>
      <c r="M64" s="777">
        <f t="shared" si="7"/>
        <v>72000</v>
      </c>
      <c r="N64" s="776">
        <f t="shared" si="8"/>
        <v>80000</v>
      </c>
      <c r="O64" s="776">
        <f t="shared" si="9"/>
        <v>88000</v>
      </c>
      <c r="P64" s="778">
        <f t="shared" si="10"/>
        <v>120000</v>
      </c>
    </row>
    <row r="65" spans="1:16" ht="15" customHeight="1">
      <c r="A65" s="547"/>
      <c r="B65" s="548" t="s">
        <v>519</v>
      </c>
      <c r="C65" s="549" t="s">
        <v>317</v>
      </c>
      <c r="D65" s="548"/>
      <c r="E65" s="548"/>
      <c r="F65" s="548"/>
      <c r="G65" s="548"/>
      <c r="H65" s="551"/>
      <c r="I65" s="551"/>
      <c r="J65" s="551"/>
      <c r="K65" s="780">
        <f>SUM(K49:K64)</f>
        <v>18362900</v>
      </c>
      <c r="L65" s="780">
        <f>SUM(L49:L64)/6.25</f>
        <v>3000728</v>
      </c>
      <c r="M65" s="780">
        <f>SUM(M49:M64)/25</f>
        <v>582654</v>
      </c>
      <c r="N65" s="780">
        <f>SUM(N49:N64)/100</f>
        <v>17406.5</v>
      </c>
      <c r="O65" s="780">
        <f>SUM(O49:O64)/900</f>
        <v>3931.3888888888887</v>
      </c>
      <c r="P65" s="781">
        <f>SUM(P49:P64)/3600</f>
        <v>1339.8333333333333</v>
      </c>
    </row>
    <row r="66" spans="1:16" s="16" customFormat="1" ht="15" customHeight="1">
      <c r="A66" s="555">
        <v>1</v>
      </c>
      <c r="B66" s="548" t="str">
        <f>L_CViec!B16</f>
        <v>Công tác chuẩn bị</v>
      </c>
      <c r="C66" s="549"/>
      <c r="D66" s="548"/>
      <c r="E66" s="782"/>
      <c r="F66" s="548"/>
      <c r="G66" s="548"/>
      <c r="H66" s="783"/>
      <c r="I66" s="723">
        <v>0.15</v>
      </c>
      <c r="J66" s="723"/>
      <c r="K66" s="780">
        <f t="shared" ref="K66:P71" si="22">$I66*K$65</f>
        <v>2754435</v>
      </c>
      <c r="L66" s="780">
        <f>$I66*L$65</f>
        <v>450109.2</v>
      </c>
      <c r="M66" s="780">
        <f t="shared" si="22"/>
        <v>87398.099999999991</v>
      </c>
      <c r="N66" s="780">
        <f t="shared" si="22"/>
        <v>2610.9749999999999</v>
      </c>
      <c r="O66" s="780">
        <f t="shared" si="22"/>
        <v>589.70833333333326</v>
      </c>
      <c r="P66" s="781">
        <f t="shared" si="22"/>
        <v>200.97499999999999</v>
      </c>
    </row>
    <row r="67" spans="1:16" s="16" customFormat="1" ht="15" customHeight="1">
      <c r="A67" s="555">
        <v>2</v>
      </c>
      <c r="B67" s="548" t="str">
        <f>L_CViec!B17</f>
        <v>Lập lưới khống chế đo vẽ</v>
      </c>
      <c r="C67" s="549"/>
      <c r="D67" s="548"/>
      <c r="E67" s="548"/>
      <c r="F67" s="782"/>
      <c r="G67" s="548"/>
      <c r="H67" s="783"/>
      <c r="I67" s="723">
        <v>0.1</v>
      </c>
      <c r="J67" s="723"/>
      <c r="K67" s="780">
        <f>$I67*K$65</f>
        <v>1836290</v>
      </c>
      <c r="L67" s="780">
        <f t="shared" si="22"/>
        <v>300072.8</v>
      </c>
      <c r="M67" s="780">
        <f t="shared" si="22"/>
        <v>58265.4</v>
      </c>
      <c r="N67" s="780">
        <f t="shared" si="22"/>
        <v>1740.65</v>
      </c>
      <c r="O67" s="780">
        <f t="shared" si="22"/>
        <v>393.13888888888891</v>
      </c>
      <c r="P67" s="781">
        <f t="shared" si="22"/>
        <v>133.98333333333332</v>
      </c>
    </row>
    <row r="68" spans="1:16" s="16" customFormat="1" ht="15" customHeight="1">
      <c r="A68" s="555">
        <v>3</v>
      </c>
      <c r="B68" s="548" t="str">
        <f>L_CViec!B18</f>
        <v>Xác định ranh giới thửa đất trên thực địa</v>
      </c>
      <c r="C68" s="549"/>
      <c r="D68" s="548"/>
      <c r="E68" s="548"/>
      <c r="F68" s="548"/>
      <c r="G68" s="548"/>
      <c r="H68" s="783"/>
      <c r="I68" s="723">
        <v>0.25</v>
      </c>
      <c r="J68" s="723"/>
      <c r="K68" s="780">
        <f t="shared" si="22"/>
        <v>4590725</v>
      </c>
      <c r="L68" s="780">
        <f t="shared" si="22"/>
        <v>750182</v>
      </c>
      <c r="M68" s="780">
        <f t="shared" si="22"/>
        <v>145663.5</v>
      </c>
      <c r="N68" s="780">
        <f t="shared" si="22"/>
        <v>4351.625</v>
      </c>
      <c r="O68" s="780">
        <f t="shared" si="22"/>
        <v>982.84722222222217</v>
      </c>
      <c r="P68" s="781">
        <f t="shared" si="22"/>
        <v>334.95833333333331</v>
      </c>
    </row>
    <row r="69" spans="1:16" s="16" customFormat="1" ht="15" customHeight="1">
      <c r="A69" s="555">
        <v>4</v>
      </c>
      <c r="B69" s="548" t="str">
        <f>L_CViec!B19</f>
        <v>Đo đạc ranh giới thửa đất và các đối tượng địa lý có liên quan</v>
      </c>
      <c r="C69" s="549"/>
      <c r="D69" s="548"/>
      <c r="E69" s="782"/>
      <c r="F69" s="548"/>
      <c r="G69" s="548"/>
      <c r="H69" s="783"/>
      <c r="I69" s="723">
        <v>0.25</v>
      </c>
      <c r="J69" s="723"/>
      <c r="K69" s="780">
        <f t="shared" si="22"/>
        <v>4590725</v>
      </c>
      <c r="L69" s="780">
        <f t="shared" si="22"/>
        <v>750182</v>
      </c>
      <c r="M69" s="780">
        <f t="shared" si="22"/>
        <v>145663.5</v>
      </c>
      <c r="N69" s="780">
        <f t="shared" si="22"/>
        <v>4351.625</v>
      </c>
      <c r="O69" s="780">
        <f t="shared" si="22"/>
        <v>982.84722222222217</v>
      </c>
      <c r="P69" s="781">
        <f t="shared" si="22"/>
        <v>334.95833333333331</v>
      </c>
    </row>
    <row r="70" spans="1:16" s="16" customFormat="1" ht="15" customHeight="1">
      <c r="A70" s="555">
        <v>5</v>
      </c>
      <c r="B70" s="548" t="str">
        <f>L_CViec!B20</f>
        <v>Đối soát, kiểm tra</v>
      </c>
      <c r="C70" s="549"/>
      <c r="D70" s="548"/>
      <c r="E70" s="548"/>
      <c r="F70" s="782"/>
      <c r="G70" s="548"/>
      <c r="H70" s="783"/>
      <c r="I70" s="858">
        <v>0.13</v>
      </c>
      <c r="J70" s="723"/>
      <c r="K70" s="780">
        <f t="shared" si="22"/>
        <v>2387177</v>
      </c>
      <c r="L70" s="780">
        <f t="shared" si="22"/>
        <v>390094.64</v>
      </c>
      <c r="M70" s="780">
        <f t="shared" si="22"/>
        <v>75745.02</v>
      </c>
      <c r="N70" s="780">
        <f t="shared" si="22"/>
        <v>2262.8450000000003</v>
      </c>
      <c r="O70" s="780">
        <f t="shared" si="22"/>
        <v>511.08055555555552</v>
      </c>
      <c r="P70" s="781">
        <f t="shared" si="22"/>
        <v>174.17833333333334</v>
      </c>
    </row>
    <row r="71" spans="1:16" s="16" customFormat="1" ht="15" customHeight="1">
      <c r="A71" s="555">
        <v>6</v>
      </c>
      <c r="B71" s="548" t="str">
        <f>L_CViec!B21</f>
        <v>Giao nhận Phiếu kết quả đo đạc hiện trạng thửa đất</v>
      </c>
      <c r="C71" s="549"/>
      <c r="D71" s="548"/>
      <c r="E71" s="548"/>
      <c r="F71" s="548"/>
      <c r="G71" s="548"/>
      <c r="H71" s="783"/>
      <c r="I71" s="858">
        <v>0.13</v>
      </c>
      <c r="J71" s="723"/>
      <c r="K71" s="780">
        <f t="shared" si="22"/>
        <v>2387177</v>
      </c>
      <c r="L71" s="780">
        <f t="shared" si="22"/>
        <v>390094.64</v>
      </c>
      <c r="M71" s="780">
        <f t="shared" si="22"/>
        <v>75745.02</v>
      </c>
      <c r="N71" s="780">
        <f t="shared" si="22"/>
        <v>2262.8450000000003</v>
      </c>
      <c r="O71" s="780">
        <f t="shared" si="22"/>
        <v>511.08055555555552</v>
      </c>
      <c r="P71" s="781">
        <f t="shared" si="22"/>
        <v>174.17833333333334</v>
      </c>
    </row>
    <row r="72" spans="1:16" s="16" customFormat="1">
      <c r="A72" s="555"/>
      <c r="B72" s="548"/>
      <c r="C72" s="549"/>
      <c r="D72" s="548"/>
      <c r="E72" s="782"/>
      <c r="F72" s="548"/>
      <c r="G72" s="548"/>
      <c r="H72" s="783"/>
      <c r="I72" s="723"/>
      <c r="J72" s="723"/>
      <c r="K72" s="780"/>
      <c r="L72" s="780"/>
      <c r="M72" s="780"/>
      <c r="N72" s="780"/>
      <c r="O72" s="780"/>
      <c r="P72" s="781"/>
    </row>
    <row r="73" spans="1:16" s="16" customFormat="1" ht="28.5" customHeight="1">
      <c r="A73" s="555"/>
      <c r="B73" s="1146" t="s">
        <v>631</v>
      </c>
      <c r="C73" s="1146"/>
      <c r="D73" s="1146"/>
      <c r="E73" s="1146"/>
      <c r="F73" s="1146"/>
      <c r="G73" s="1146"/>
      <c r="H73" s="1146"/>
      <c r="I73" s="1146"/>
      <c r="J73" s="1146"/>
      <c r="K73" s="1146"/>
      <c r="L73" s="1146"/>
      <c r="M73" s="1146"/>
      <c r="N73" s="1146"/>
      <c r="O73" s="1146"/>
      <c r="P73" s="1183"/>
    </row>
    <row r="74" spans="1:16" s="16" customFormat="1">
      <c r="A74" s="555"/>
      <c r="B74" s="548"/>
      <c r="C74" s="549"/>
      <c r="D74" s="548"/>
      <c r="E74" s="548"/>
      <c r="F74" s="548"/>
      <c r="G74" s="548"/>
      <c r="H74" s="783"/>
      <c r="I74" s="723"/>
      <c r="J74" s="723"/>
      <c r="K74" s="780"/>
      <c r="L74" s="780"/>
      <c r="M74" s="780"/>
      <c r="N74" s="780"/>
      <c r="O74" s="780"/>
      <c r="P74" s="781"/>
    </row>
    <row r="75" spans="1:16" s="15" customFormat="1" ht="16.5" customHeight="1">
      <c r="A75" s="555" t="s">
        <v>248</v>
      </c>
      <c r="B75" s="548" t="s">
        <v>65</v>
      </c>
      <c r="C75" s="549"/>
      <c r="D75" s="549"/>
      <c r="E75" s="549"/>
      <c r="F75" s="549"/>
      <c r="G75" s="549"/>
      <c r="H75" s="551"/>
      <c r="I75" s="551"/>
      <c r="J75" s="784"/>
      <c r="K75" s="784"/>
      <c r="L75" s="784"/>
      <c r="M75" s="784"/>
      <c r="N75" s="784"/>
      <c r="O75" s="549"/>
      <c r="P75" s="618"/>
    </row>
    <row r="76" spans="1:16" s="15" customFormat="1" ht="16.5" customHeight="1">
      <c r="A76" s="555" t="s">
        <v>27</v>
      </c>
      <c r="B76" s="548" t="s">
        <v>680</v>
      </c>
      <c r="C76" s="549"/>
      <c r="D76" s="549"/>
      <c r="E76" s="549"/>
      <c r="F76" s="549"/>
      <c r="G76" s="549"/>
      <c r="H76" s="551"/>
      <c r="I76" s="551"/>
      <c r="J76" s="784"/>
      <c r="K76" s="784"/>
      <c r="L76" s="784"/>
      <c r="M76" s="784"/>
      <c r="N76" s="784"/>
      <c r="O76" s="549"/>
      <c r="P76" s="618"/>
    </row>
    <row r="77" spans="1:16" ht="16.5" customHeight="1">
      <c r="A77" s="539">
        <v>1</v>
      </c>
      <c r="B77" s="640" t="s">
        <v>135</v>
      </c>
      <c r="C77" s="541" t="s">
        <v>136</v>
      </c>
      <c r="D77" s="611">
        <f>VLOOKUP(B77,GiaVL!$B$4:'GiaVL'!$D$159,3,0)</f>
        <v>10000</v>
      </c>
      <c r="E77" s="653">
        <v>0.2</v>
      </c>
      <c r="F77" s="653">
        <v>0.25</v>
      </c>
      <c r="G77" s="653">
        <v>0.4</v>
      </c>
      <c r="H77" s="723">
        <v>0.5</v>
      </c>
      <c r="I77" s="723">
        <v>0.8</v>
      </c>
      <c r="J77" s="723">
        <v>0.8</v>
      </c>
      <c r="K77" s="776">
        <f t="shared" ref="K77:K88" si="23">$D77*E77</f>
        <v>2000</v>
      </c>
      <c r="L77" s="777">
        <f t="shared" ref="L77:L88" si="24">$D77*F77</f>
        <v>2500</v>
      </c>
      <c r="M77" s="777">
        <f t="shared" ref="M77:M88" si="25">$D77*G77</f>
        <v>4000</v>
      </c>
      <c r="N77" s="776">
        <f t="shared" ref="N77:N88" si="26">$D77*H77</f>
        <v>5000</v>
      </c>
      <c r="O77" s="776">
        <f t="shared" ref="O77:O88" si="27">$D77*I77</f>
        <v>8000</v>
      </c>
      <c r="P77" s="778">
        <f t="shared" ref="P77:P88" si="28">$D77*J77</f>
        <v>8000</v>
      </c>
    </row>
    <row r="78" spans="1:16" ht="16.5" customHeight="1">
      <c r="A78" s="539">
        <v>2</v>
      </c>
      <c r="B78" s="640" t="s">
        <v>160</v>
      </c>
      <c r="C78" s="541" t="s">
        <v>91</v>
      </c>
      <c r="D78" s="611">
        <f>VLOOKUP(B78,GiaVL!$B$4:'GiaVL'!$D$159,3,0)</f>
        <v>1000</v>
      </c>
      <c r="E78" s="653">
        <v>1</v>
      </c>
      <c r="F78" s="653">
        <v>1</v>
      </c>
      <c r="G78" s="653">
        <v>1</v>
      </c>
      <c r="H78" s="723">
        <v>1</v>
      </c>
      <c r="I78" s="723">
        <v>1</v>
      </c>
      <c r="J78" s="723">
        <v>1</v>
      </c>
      <c r="K78" s="776">
        <f t="shared" si="23"/>
        <v>1000</v>
      </c>
      <c r="L78" s="777">
        <f t="shared" si="24"/>
        <v>1000</v>
      </c>
      <c r="M78" s="777">
        <f t="shared" si="25"/>
        <v>1000</v>
      </c>
      <c r="N78" s="776">
        <f t="shared" si="26"/>
        <v>1000</v>
      </c>
      <c r="O78" s="776">
        <f t="shared" si="27"/>
        <v>1000</v>
      </c>
      <c r="P78" s="778">
        <f t="shared" si="28"/>
        <v>1000</v>
      </c>
    </row>
    <row r="79" spans="1:16" ht="16.5" customHeight="1">
      <c r="A79" s="539">
        <v>3</v>
      </c>
      <c r="B79" s="540" t="s">
        <v>138</v>
      </c>
      <c r="C79" s="541" t="s">
        <v>94</v>
      </c>
      <c r="D79" s="611">
        <f>VLOOKUP(B79,GiaVL!$B$4:'GiaVL'!$D$159,3,0)</f>
        <v>20000</v>
      </c>
      <c r="E79" s="653">
        <v>0.5</v>
      </c>
      <c r="F79" s="653">
        <v>0.5</v>
      </c>
      <c r="G79" s="653">
        <v>0.5</v>
      </c>
      <c r="H79" s="723">
        <v>0.5</v>
      </c>
      <c r="I79" s="723">
        <v>0.5</v>
      </c>
      <c r="J79" s="723">
        <v>0.5</v>
      </c>
      <c r="K79" s="776">
        <f t="shared" si="23"/>
        <v>10000</v>
      </c>
      <c r="L79" s="777">
        <f t="shared" si="24"/>
        <v>10000</v>
      </c>
      <c r="M79" s="777">
        <f t="shared" si="25"/>
        <v>10000</v>
      </c>
      <c r="N79" s="776">
        <f t="shared" si="26"/>
        <v>10000</v>
      </c>
      <c r="O79" s="776">
        <f t="shared" si="27"/>
        <v>10000</v>
      </c>
      <c r="P79" s="778">
        <f t="shared" si="28"/>
        <v>10000</v>
      </c>
    </row>
    <row r="80" spans="1:16" ht="16.5" customHeight="1">
      <c r="A80" s="539">
        <v>4</v>
      </c>
      <c r="B80" s="540" t="s">
        <v>396</v>
      </c>
      <c r="C80" s="541" t="s">
        <v>94</v>
      </c>
      <c r="D80" s="611">
        <f>VLOOKUP(B80,GiaVL!$B$4:'GiaVL'!$D$159,3,0)</f>
        <v>20000</v>
      </c>
      <c r="E80" s="653">
        <v>0.5</v>
      </c>
      <c r="F80" s="653">
        <v>0.5</v>
      </c>
      <c r="G80" s="653">
        <v>0.5</v>
      </c>
      <c r="H80" s="723">
        <v>0.5</v>
      </c>
      <c r="I80" s="723">
        <v>0.5</v>
      </c>
      <c r="J80" s="723">
        <v>0.5</v>
      </c>
      <c r="K80" s="776">
        <f t="shared" si="23"/>
        <v>10000</v>
      </c>
      <c r="L80" s="777">
        <f t="shared" si="24"/>
        <v>10000</v>
      </c>
      <c r="M80" s="777">
        <f t="shared" si="25"/>
        <v>10000</v>
      </c>
      <c r="N80" s="776">
        <f t="shared" si="26"/>
        <v>10000</v>
      </c>
      <c r="O80" s="776">
        <f t="shared" si="27"/>
        <v>10000</v>
      </c>
      <c r="P80" s="778">
        <f t="shared" si="28"/>
        <v>10000</v>
      </c>
    </row>
    <row r="81" spans="1:16" ht="16.5" customHeight="1">
      <c r="A81" s="539">
        <v>5</v>
      </c>
      <c r="B81" s="640" t="s">
        <v>395</v>
      </c>
      <c r="C81" s="541" t="s">
        <v>134</v>
      </c>
      <c r="D81" s="611">
        <f>VLOOKUP(B81,GiaVL!$B$4:'GiaVL'!$D$159,3,0)</f>
        <v>10000</v>
      </c>
      <c r="E81" s="653">
        <v>4</v>
      </c>
      <c r="F81" s="653">
        <v>4</v>
      </c>
      <c r="G81" s="653">
        <v>4</v>
      </c>
      <c r="H81" s="723">
        <v>4</v>
      </c>
      <c r="I81" s="723">
        <v>4</v>
      </c>
      <c r="J81" s="723">
        <v>4</v>
      </c>
      <c r="K81" s="776">
        <f t="shared" si="23"/>
        <v>40000</v>
      </c>
      <c r="L81" s="777">
        <f t="shared" si="24"/>
        <v>40000</v>
      </c>
      <c r="M81" s="777">
        <f t="shared" si="25"/>
        <v>40000</v>
      </c>
      <c r="N81" s="776">
        <f t="shared" si="26"/>
        <v>40000</v>
      </c>
      <c r="O81" s="776">
        <f t="shared" si="27"/>
        <v>40000</v>
      </c>
      <c r="P81" s="778">
        <f t="shared" si="28"/>
        <v>40000</v>
      </c>
    </row>
    <row r="82" spans="1:16" ht="16.5" customHeight="1">
      <c r="A82" s="539">
        <v>6</v>
      </c>
      <c r="B82" s="640" t="s">
        <v>165</v>
      </c>
      <c r="C82" s="541" t="s">
        <v>139</v>
      </c>
      <c r="D82" s="611">
        <f>VLOOKUP(B82,GiaVL!$B$4:'GiaVL'!$D$159,3,0)</f>
        <v>70000</v>
      </c>
      <c r="E82" s="653">
        <v>1</v>
      </c>
      <c r="F82" s="653">
        <v>3</v>
      </c>
      <c r="G82" s="653">
        <v>6</v>
      </c>
      <c r="H82" s="723">
        <v>9</v>
      </c>
      <c r="I82" s="723">
        <v>16</v>
      </c>
      <c r="J82" s="723">
        <v>16</v>
      </c>
      <c r="K82" s="776">
        <f t="shared" si="23"/>
        <v>70000</v>
      </c>
      <c r="L82" s="777">
        <f t="shared" si="24"/>
        <v>210000</v>
      </c>
      <c r="M82" s="777">
        <f t="shared" si="25"/>
        <v>420000</v>
      </c>
      <c r="N82" s="776">
        <f t="shared" si="26"/>
        <v>630000</v>
      </c>
      <c r="O82" s="776">
        <f t="shared" si="27"/>
        <v>1120000</v>
      </c>
      <c r="P82" s="778">
        <f t="shared" si="28"/>
        <v>1120000</v>
      </c>
    </row>
    <row r="83" spans="1:16" ht="16.5" customHeight="1">
      <c r="A83" s="539">
        <v>7</v>
      </c>
      <c r="B83" s="640" t="s">
        <v>398</v>
      </c>
      <c r="C83" s="541" t="s">
        <v>167</v>
      </c>
      <c r="D83" s="611">
        <f>VLOOKUP(B83,GiaVL!$B$4:'GiaVL'!$D$159,3,0)</f>
        <v>1600000</v>
      </c>
      <c r="E83" s="653">
        <v>0.2</v>
      </c>
      <c r="F83" s="653">
        <v>0.6</v>
      </c>
      <c r="G83" s="653">
        <v>1.2</v>
      </c>
      <c r="H83" s="723">
        <v>1.8</v>
      </c>
      <c r="I83" s="723">
        <v>3.2</v>
      </c>
      <c r="J83" s="723">
        <v>3.2</v>
      </c>
      <c r="K83" s="776">
        <f t="shared" si="23"/>
        <v>320000</v>
      </c>
      <c r="L83" s="777">
        <f t="shared" si="24"/>
        <v>960000</v>
      </c>
      <c r="M83" s="777">
        <f t="shared" si="25"/>
        <v>1920000</v>
      </c>
      <c r="N83" s="776">
        <f t="shared" si="26"/>
        <v>2880000</v>
      </c>
      <c r="O83" s="776">
        <f t="shared" si="27"/>
        <v>5120000</v>
      </c>
      <c r="P83" s="778">
        <f t="shared" si="28"/>
        <v>5120000</v>
      </c>
    </row>
    <row r="84" spans="1:16" s="828" customFormat="1" ht="16.5" customHeight="1">
      <c r="A84" s="539">
        <v>8</v>
      </c>
      <c r="B84" s="841" t="s">
        <v>657</v>
      </c>
      <c r="C84" s="831" t="s">
        <v>116</v>
      </c>
      <c r="D84" s="611">
        <f>VLOOKUP(B84,GiaVL!$B$4:'GiaVL'!$D$159,3,0)</f>
        <v>28000</v>
      </c>
      <c r="E84" s="857">
        <v>0.25</v>
      </c>
      <c r="F84" s="857">
        <v>0.14000000000000001</v>
      </c>
      <c r="G84" s="857">
        <v>0.15</v>
      </c>
      <c r="H84" s="858">
        <v>0.4</v>
      </c>
      <c r="I84" s="858">
        <v>1.1000000000000001</v>
      </c>
      <c r="J84" s="858">
        <v>0.1</v>
      </c>
      <c r="K84" s="776">
        <f t="shared" ref="K84" si="29">$D84*E84</f>
        <v>7000</v>
      </c>
      <c r="L84" s="777">
        <f t="shared" ref="L84" si="30">$D84*F84</f>
        <v>3920.0000000000005</v>
      </c>
      <c r="M84" s="777">
        <f t="shared" ref="M84" si="31">$D84*G84</f>
        <v>4200</v>
      </c>
      <c r="N84" s="776">
        <f t="shared" ref="N84" si="32">$D84*H84</f>
        <v>11200</v>
      </c>
      <c r="O84" s="776">
        <f t="shared" ref="O84" si="33">$D84*I84</f>
        <v>30800.000000000004</v>
      </c>
      <c r="P84" s="778">
        <f t="shared" ref="P84" si="34">$D84*J84</f>
        <v>2800</v>
      </c>
    </row>
    <row r="85" spans="1:16" ht="16.5" customHeight="1">
      <c r="A85" s="539">
        <v>9</v>
      </c>
      <c r="B85" s="540" t="s">
        <v>141</v>
      </c>
      <c r="C85" s="541" t="s">
        <v>116</v>
      </c>
      <c r="D85" s="611">
        <f>VLOOKUP(B85,GiaVL!$B$4:'GiaVL'!$D$159,3,0)</f>
        <v>10000</v>
      </c>
      <c r="E85" s="653">
        <v>0.01</v>
      </c>
      <c r="F85" s="653">
        <v>7.0000000000000007E-2</v>
      </c>
      <c r="G85" s="653">
        <v>0.09</v>
      </c>
      <c r="H85" s="723">
        <v>0.2</v>
      </c>
      <c r="I85" s="723">
        <v>0.7</v>
      </c>
      <c r="J85" s="723">
        <v>0.7</v>
      </c>
      <c r="K85" s="776">
        <f t="shared" si="23"/>
        <v>100</v>
      </c>
      <c r="L85" s="777">
        <f t="shared" si="24"/>
        <v>700.00000000000011</v>
      </c>
      <c r="M85" s="777">
        <f t="shared" si="25"/>
        <v>900</v>
      </c>
      <c r="N85" s="776">
        <f t="shared" si="26"/>
        <v>2000</v>
      </c>
      <c r="O85" s="776">
        <f t="shared" si="27"/>
        <v>7000</v>
      </c>
      <c r="P85" s="778">
        <f t="shared" si="28"/>
        <v>7000</v>
      </c>
    </row>
    <row r="86" spans="1:16" ht="16.5" customHeight="1">
      <c r="A86" s="539">
        <v>10</v>
      </c>
      <c r="B86" s="540" t="s">
        <v>408</v>
      </c>
      <c r="C86" s="541" t="s">
        <v>94</v>
      </c>
      <c r="D86" s="611">
        <f>VLOOKUP(B86,GiaVL!$B$4:'GiaVL'!$D$159,3,0)</f>
        <v>160000</v>
      </c>
      <c r="E86" s="653">
        <v>0.5</v>
      </c>
      <c r="F86" s="653">
        <v>0.5</v>
      </c>
      <c r="G86" s="653">
        <v>0.5</v>
      </c>
      <c r="H86" s="723">
        <v>0.5</v>
      </c>
      <c r="I86" s="723">
        <v>0.5</v>
      </c>
      <c r="J86" s="723">
        <v>0.5</v>
      </c>
      <c r="K86" s="776">
        <f t="shared" si="23"/>
        <v>80000</v>
      </c>
      <c r="L86" s="777">
        <f t="shared" si="24"/>
        <v>80000</v>
      </c>
      <c r="M86" s="777">
        <f t="shared" si="25"/>
        <v>80000</v>
      </c>
      <c r="N86" s="776">
        <f t="shared" si="26"/>
        <v>80000</v>
      </c>
      <c r="O86" s="776">
        <f t="shared" si="27"/>
        <v>80000</v>
      </c>
      <c r="P86" s="778">
        <f t="shared" si="28"/>
        <v>80000</v>
      </c>
    </row>
    <row r="87" spans="1:16" ht="16.5" customHeight="1">
      <c r="A87" s="539">
        <v>11</v>
      </c>
      <c r="B87" s="640" t="s">
        <v>163</v>
      </c>
      <c r="C87" s="541" t="s">
        <v>94</v>
      </c>
      <c r="D87" s="611">
        <f>VLOOKUP(B87,GiaVL!$B$4:'GiaVL'!$D$159,3,0)</f>
        <v>160000</v>
      </c>
      <c r="E87" s="653">
        <v>0.5</v>
      </c>
      <c r="F87" s="653">
        <v>0.5</v>
      </c>
      <c r="G87" s="653">
        <v>0.5</v>
      </c>
      <c r="H87" s="723">
        <v>0.5</v>
      </c>
      <c r="I87" s="723">
        <v>0.5</v>
      </c>
      <c r="J87" s="723">
        <v>0.5</v>
      </c>
      <c r="K87" s="776">
        <f t="shared" si="23"/>
        <v>80000</v>
      </c>
      <c r="L87" s="777">
        <f t="shared" si="24"/>
        <v>80000</v>
      </c>
      <c r="M87" s="777">
        <f t="shared" si="25"/>
        <v>80000</v>
      </c>
      <c r="N87" s="776">
        <f t="shared" si="26"/>
        <v>80000</v>
      </c>
      <c r="O87" s="776">
        <f t="shared" si="27"/>
        <v>80000</v>
      </c>
      <c r="P87" s="778">
        <f t="shared" si="28"/>
        <v>80000</v>
      </c>
    </row>
    <row r="88" spans="1:16" ht="16.5" customHeight="1">
      <c r="A88" s="539">
        <v>12</v>
      </c>
      <c r="B88" s="540" t="s">
        <v>249</v>
      </c>
      <c r="C88" s="541" t="s">
        <v>167</v>
      </c>
      <c r="D88" s="611">
        <f>VLOOKUP(B88,GiaVL!$B$4:'GiaVL'!$D$159,3,0)</f>
        <v>620000</v>
      </c>
      <c r="E88" s="653">
        <v>0.04</v>
      </c>
      <c r="F88" s="653">
        <v>0.04</v>
      </c>
      <c r="G88" s="653">
        <v>0.04</v>
      </c>
      <c r="H88" s="723">
        <v>0.04</v>
      </c>
      <c r="I88" s="723">
        <v>0.04</v>
      </c>
      <c r="J88" s="723">
        <v>0.04</v>
      </c>
      <c r="K88" s="776">
        <f t="shared" si="23"/>
        <v>24800</v>
      </c>
      <c r="L88" s="777">
        <f t="shared" si="24"/>
        <v>24800</v>
      </c>
      <c r="M88" s="777">
        <f t="shared" si="25"/>
        <v>24800</v>
      </c>
      <c r="N88" s="776">
        <f t="shared" si="26"/>
        <v>24800</v>
      </c>
      <c r="O88" s="776">
        <f t="shared" si="27"/>
        <v>24800</v>
      </c>
      <c r="P88" s="778">
        <f t="shared" si="28"/>
        <v>24800</v>
      </c>
    </row>
    <row r="89" spans="1:16" ht="16.5" customHeight="1">
      <c r="A89" s="547"/>
      <c r="B89" s="548" t="s">
        <v>519</v>
      </c>
      <c r="C89" s="549"/>
      <c r="D89" s="548"/>
      <c r="E89" s="548"/>
      <c r="F89" s="548"/>
      <c r="G89" s="548"/>
      <c r="H89" s="551"/>
      <c r="I89" s="551"/>
      <c r="J89" s="551"/>
      <c r="K89" s="780">
        <f>SUM(K77:K88)</f>
        <v>644900</v>
      </c>
      <c r="L89" s="780">
        <f>SUM(L77:L88)/6.25</f>
        <v>227667.20000000001</v>
      </c>
      <c r="M89" s="780">
        <f>SUM(M77:M88)/25</f>
        <v>103796</v>
      </c>
      <c r="N89" s="780">
        <f>SUM(N77:N88)/100</f>
        <v>37740</v>
      </c>
      <c r="O89" s="780">
        <f>SUM(O77:O88)/900</f>
        <v>7257.333333333333</v>
      </c>
      <c r="P89" s="781">
        <f>SUM(P77:P88)/3600</f>
        <v>1806.5555555555557</v>
      </c>
    </row>
    <row r="90" spans="1:16" s="16" customFormat="1" ht="16.5" customHeight="1">
      <c r="A90" s="555">
        <v>1</v>
      </c>
      <c r="B90" s="785" t="str">
        <f>L_CViec!B23</f>
        <v>Biên tập bản đồ địa chính</v>
      </c>
      <c r="C90" s="549"/>
      <c r="D90" s="548"/>
      <c r="E90" s="782"/>
      <c r="F90" s="548"/>
      <c r="G90" s="548"/>
      <c r="H90" s="783"/>
      <c r="I90" s="723">
        <v>0.55000000000000004</v>
      </c>
      <c r="J90" s="723"/>
      <c r="K90" s="780">
        <f t="shared" ref="K90:P91" si="35">$I90*K$89</f>
        <v>354695</v>
      </c>
      <c r="L90" s="780">
        <f>$I90*L$89</f>
        <v>125216.96000000002</v>
      </c>
      <c r="M90" s="780">
        <f t="shared" si="35"/>
        <v>57087.8</v>
      </c>
      <c r="N90" s="780">
        <f t="shared" si="35"/>
        <v>20757</v>
      </c>
      <c r="O90" s="780">
        <f t="shared" si="35"/>
        <v>3991.5333333333333</v>
      </c>
      <c r="P90" s="781">
        <f t="shared" si="35"/>
        <v>993.60555555555572</v>
      </c>
    </row>
    <row r="91" spans="1:16" s="16" customFormat="1" ht="16.5" customHeight="1">
      <c r="A91" s="555">
        <v>2</v>
      </c>
      <c r="B91" s="785" t="str">
        <f>L_CViec!B24</f>
        <v>Lập Phiếu xác nhận kết quả đo đạc hiện trạng thửa đất</v>
      </c>
      <c r="C91" s="549"/>
      <c r="D91" s="548"/>
      <c r="E91" s="548"/>
      <c r="F91" s="782"/>
      <c r="G91" s="548"/>
      <c r="H91" s="783"/>
      <c r="I91" s="723">
        <v>0.45</v>
      </c>
      <c r="J91" s="723"/>
      <c r="K91" s="780">
        <f t="shared" si="35"/>
        <v>290205</v>
      </c>
      <c r="L91" s="780">
        <f>$I91*L$89</f>
        <v>102450.24000000001</v>
      </c>
      <c r="M91" s="780">
        <f t="shared" si="35"/>
        <v>46708.200000000004</v>
      </c>
      <c r="N91" s="780">
        <f t="shared" si="35"/>
        <v>16983</v>
      </c>
      <c r="O91" s="780">
        <f t="shared" si="35"/>
        <v>3265.7999999999997</v>
      </c>
      <c r="P91" s="781">
        <f t="shared" si="35"/>
        <v>812.95</v>
      </c>
    </row>
    <row r="92" spans="1:16" s="16" customFormat="1" ht="39.75" customHeight="1">
      <c r="A92" s="555"/>
      <c r="B92" s="1127" t="s">
        <v>409</v>
      </c>
      <c r="C92" s="1127"/>
      <c r="D92" s="1127"/>
      <c r="E92" s="1127"/>
      <c r="F92" s="1127"/>
      <c r="G92" s="1127"/>
      <c r="H92" s="1127"/>
      <c r="I92" s="1127"/>
      <c r="J92" s="1127"/>
      <c r="K92" s="1127"/>
      <c r="L92" s="1127"/>
      <c r="M92" s="1127"/>
      <c r="N92" s="1127"/>
      <c r="O92" s="1127"/>
      <c r="P92" s="1144"/>
    </row>
    <row r="93" spans="1:16" s="16" customFormat="1" ht="12.75" customHeight="1">
      <c r="A93" s="555"/>
      <c r="B93" s="548"/>
      <c r="C93" s="549"/>
      <c r="D93" s="548"/>
      <c r="E93" s="782"/>
      <c r="F93" s="548"/>
      <c r="G93" s="548"/>
      <c r="H93" s="783"/>
      <c r="I93" s="723"/>
      <c r="J93" s="723"/>
      <c r="K93" s="780"/>
      <c r="L93" s="780"/>
      <c r="M93" s="780"/>
      <c r="N93" s="780"/>
      <c r="O93" s="780"/>
      <c r="P93" s="781"/>
    </row>
    <row r="94" spans="1:16" s="16" customFormat="1" ht="45.4" customHeight="1">
      <c r="A94" s="555" t="s">
        <v>28</v>
      </c>
      <c r="B94" s="433" t="s">
        <v>537</v>
      </c>
      <c r="C94" s="549"/>
      <c r="D94" s="548"/>
      <c r="E94" s="548"/>
      <c r="F94" s="548"/>
      <c r="G94" s="548"/>
      <c r="H94" s="783"/>
      <c r="I94" s="723"/>
      <c r="J94" s="723">
        <v>0.2</v>
      </c>
      <c r="K94" s="780">
        <f t="shared" ref="K94:P94" si="36">$J94*K$89</f>
        <v>128980</v>
      </c>
      <c r="L94" s="780">
        <f>$J94*L$89</f>
        <v>45533.440000000002</v>
      </c>
      <c r="M94" s="780">
        <f t="shared" si="36"/>
        <v>20759.2</v>
      </c>
      <c r="N94" s="780">
        <f t="shared" si="36"/>
        <v>7548</v>
      </c>
      <c r="O94" s="780">
        <f t="shared" si="36"/>
        <v>1451.4666666666667</v>
      </c>
      <c r="P94" s="781">
        <f t="shared" si="36"/>
        <v>361.31111111111113</v>
      </c>
    </row>
    <row r="95" spans="1:16" s="16" customFormat="1" ht="18.75" customHeight="1">
      <c r="A95" s="547"/>
      <c r="B95" s="548"/>
      <c r="C95" s="549"/>
      <c r="D95" s="548"/>
      <c r="E95" s="548"/>
      <c r="F95" s="548"/>
      <c r="G95" s="548"/>
      <c r="H95" s="783"/>
      <c r="I95" s="783"/>
      <c r="J95" s="783"/>
      <c r="K95" s="780"/>
      <c r="L95" s="780"/>
      <c r="M95" s="780"/>
      <c r="N95" s="780"/>
      <c r="O95" s="780"/>
      <c r="P95" s="781"/>
    </row>
    <row r="96" spans="1:16" s="15" customFormat="1" ht="15.75" customHeight="1">
      <c r="A96" s="555" t="s">
        <v>29</v>
      </c>
      <c r="B96" s="785" t="s">
        <v>529</v>
      </c>
      <c r="C96" s="549"/>
      <c r="D96" s="549"/>
      <c r="E96" s="549"/>
      <c r="F96" s="549"/>
      <c r="G96" s="549"/>
      <c r="H96" s="551"/>
      <c r="I96" s="551"/>
      <c r="J96" s="551"/>
      <c r="K96" s="784"/>
      <c r="L96" s="784"/>
      <c r="M96" s="784"/>
      <c r="N96" s="784"/>
      <c r="O96" s="784"/>
      <c r="P96" s="618"/>
    </row>
    <row r="97" spans="1:16" ht="15.75" customHeight="1">
      <c r="A97" s="539">
        <v>1</v>
      </c>
      <c r="B97" s="640" t="s">
        <v>135</v>
      </c>
      <c r="C97" s="541" t="s">
        <v>136</v>
      </c>
      <c r="D97" s="611">
        <f>VLOOKUP(B97,GiaVL!$B$4:'GiaVL'!$D$159,3,0)</f>
        <v>10000</v>
      </c>
      <c r="E97" s="653">
        <v>0.03</v>
      </c>
      <c r="F97" s="723">
        <v>0.05</v>
      </c>
      <c r="G97" s="723">
        <v>0.1</v>
      </c>
      <c r="H97" s="723">
        <v>0.15</v>
      </c>
      <c r="I97" s="723">
        <v>0.2</v>
      </c>
      <c r="J97" s="723">
        <v>0.25</v>
      </c>
      <c r="K97" s="776">
        <f t="shared" ref="K97:O101" si="37">$D97*E97</f>
        <v>300</v>
      </c>
      <c r="L97" s="777">
        <f t="shared" si="37"/>
        <v>500</v>
      </c>
      <c r="M97" s="777">
        <f t="shared" si="37"/>
        <v>1000</v>
      </c>
      <c r="N97" s="776">
        <f t="shared" si="37"/>
        <v>1500</v>
      </c>
      <c r="O97" s="776">
        <f t="shared" si="37"/>
        <v>2000</v>
      </c>
      <c r="P97" s="778">
        <f t="shared" ref="P97:P101" si="38">$D97*J97</f>
        <v>2500</v>
      </c>
    </row>
    <row r="98" spans="1:16" ht="15.75" customHeight="1">
      <c r="A98" s="539">
        <v>2</v>
      </c>
      <c r="B98" s="640" t="s">
        <v>165</v>
      </c>
      <c r="C98" s="541" t="s">
        <v>139</v>
      </c>
      <c r="D98" s="611">
        <f>VLOOKUP(B98,GiaVL!$B$4:'GiaVL'!$D$159,3,0)</f>
        <v>70000</v>
      </c>
      <c r="E98" s="653">
        <v>2E-3</v>
      </c>
      <c r="F98" s="723">
        <v>2E-3</v>
      </c>
      <c r="G98" s="723">
        <v>4.0000000000000001E-3</v>
      </c>
      <c r="H98" s="723">
        <v>0.01</v>
      </c>
      <c r="I98" s="723">
        <v>0.01</v>
      </c>
      <c r="J98" s="723">
        <v>0.01</v>
      </c>
      <c r="K98" s="776">
        <f t="shared" si="37"/>
        <v>140</v>
      </c>
      <c r="L98" s="777">
        <f t="shared" si="37"/>
        <v>140</v>
      </c>
      <c r="M98" s="777">
        <f t="shared" si="37"/>
        <v>280</v>
      </c>
      <c r="N98" s="776">
        <f t="shared" si="37"/>
        <v>700</v>
      </c>
      <c r="O98" s="776">
        <f t="shared" si="37"/>
        <v>700</v>
      </c>
      <c r="P98" s="778">
        <f t="shared" si="38"/>
        <v>700</v>
      </c>
    </row>
    <row r="99" spans="1:16" ht="15.75" customHeight="1">
      <c r="A99" s="539">
        <v>3</v>
      </c>
      <c r="B99" s="640" t="s">
        <v>141</v>
      </c>
      <c r="C99" s="541" t="s">
        <v>116</v>
      </c>
      <c r="D99" s="611">
        <f>VLOOKUP(B99,GiaVL!$B$4:'GiaVL'!$D$159,3,0)</f>
        <v>10000</v>
      </c>
      <c r="E99" s="653">
        <v>0.01</v>
      </c>
      <c r="F99" s="653">
        <v>0.01</v>
      </c>
      <c r="G99" s="653">
        <v>0.01</v>
      </c>
      <c r="H99" s="723">
        <v>0.03</v>
      </c>
      <c r="I99" s="723">
        <v>0.05</v>
      </c>
      <c r="J99" s="723">
        <v>0.05</v>
      </c>
      <c r="K99" s="776">
        <f t="shared" si="37"/>
        <v>100</v>
      </c>
      <c r="L99" s="777">
        <f t="shared" si="37"/>
        <v>100</v>
      </c>
      <c r="M99" s="777">
        <f t="shared" si="37"/>
        <v>100</v>
      </c>
      <c r="N99" s="776">
        <f t="shared" si="37"/>
        <v>300</v>
      </c>
      <c r="O99" s="776">
        <f t="shared" si="37"/>
        <v>500</v>
      </c>
      <c r="P99" s="778">
        <f t="shared" si="38"/>
        <v>500</v>
      </c>
    </row>
    <row r="100" spans="1:16" ht="15.75" customHeight="1">
      <c r="A100" s="539">
        <v>4</v>
      </c>
      <c r="B100" s="540" t="s">
        <v>249</v>
      </c>
      <c r="C100" s="541" t="s">
        <v>167</v>
      </c>
      <c r="D100" s="611">
        <f>VLOOKUP(B100,GiaVL!$B$4:'GiaVL'!$D$159,3,0)</f>
        <v>620000</v>
      </c>
      <c r="E100" s="653">
        <v>0.04</v>
      </c>
      <c r="F100" s="653">
        <v>0.04</v>
      </c>
      <c r="G100" s="653">
        <v>0.04</v>
      </c>
      <c r="H100" s="723">
        <v>0.04</v>
      </c>
      <c r="I100" s="723">
        <v>0.04</v>
      </c>
      <c r="J100" s="723">
        <v>0.04</v>
      </c>
      <c r="K100" s="776">
        <f t="shared" si="37"/>
        <v>24800</v>
      </c>
      <c r="L100" s="777">
        <f t="shared" si="37"/>
        <v>24800</v>
      </c>
      <c r="M100" s="777">
        <f t="shared" si="37"/>
        <v>24800</v>
      </c>
      <c r="N100" s="776">
        <f t="shared" si="37"/>
        <v>24800</v>
      </c>
      <c r="O100" s="776">
        <f t="shared" si="37"/>
        <v>24800</v>
      </c>
      <c r="P100" s="778">
        <f t="shared" si="38"/>
        <v>24800</v>
      </c>
    </row>
    <row r="101" spans="1:16" ht="15.75" customHeight="1">
      <c r="A101" s="539">
        <v>5</v>
      </c>
      <c r="B101" s="540" t="s">
        <v>395</v>
      </c>
      <c r="C101" s="541" t="s">
        <v>134</v>
      </c>
      <c r="D101" s="611">
        <f>VLOOKUP(B101,GiaVL!$B$4:'GiaVL'!$D$159,3,0)</f>
        <v>10000</v>
      </c>
      <c r="E101" s="653">
        <v>4</v>
      </c>
      <c r="F101" s="653">
        <v>4</v>
      </c>
      <c r="G101" s="653">
        <v>4</v>
      </c>
      <c r="H101" s="723">
        <v>4</v>
      </c>
      <c r="I101" s="723">
        <v>4</v>
      </c>
      <c r="J101" s="723">
        <v>4</v>
      </c>
      <c r="K101" s="776">
        <f t="shared" si="37"/>
        <v>40000</v>
      </c>
      <c r="L101" s="777">
        <f t="shared" si="37"/>
        <v>40000</v>
      </c>
      <c r="M101" s="777">
        <f t="shared" si="37"/>
        <v>40000</v>
      </c>
      <c r="N101" s="776">
        <f t="shared" si="37"/>
        <v>40000</v>
      </c>
      <c r="O101" s="776">
        <f t="shared" si="37"/>
        <v>40000</v>
      </c>
      <c r="P101" s="778">
        <f t="shared" si="38"/>
        <v>40000</v>
      </c>
    </row>
    <row r="102" spans="1:16" ht="15.75" customHeight="1">
      <c r="A102" s="547"/>
      <c r="B102" s="548" t="s">
        <v>519</v>
      </c>
      <c r="C102" s="549"/>
      <c r="D102" s="548"/>
      <c r="E102" s="548"/>
      <c r="F102" s="548"/>
      <c r="G102" s="548"/>
      <c r="H102" s="551"/>
      <c r="I102" s="551"/>
      <c r="J102" s="551"/>
      <c r="K102" s="780">
        <f>SUM(K97:K101)</f>
        <v>65340</v>
      </c>
      <c r="L102" s="780">
        <f>SUM(L97:L101)/6.25</f>
        <v>10486.4</v>
      </c>
      <c r="M102" s="780">
        <f>SUM(M97:M101)/25</f>
        <v>2647.2</v>
      </c>
      <c r="N102" s="780">
        <f>SUM(N97:N101)/100</f>
        <v>673</v>
      </c>
      <c r="O102" s="780">
        <f>SUM(O97:O101)/900</f>
        <v>75.555555555555557</v>
      </c>
      <c r="P102" s="781">
        <f>SUM(P97:P101)/3600</f>
        <v>19.027777777777779</v>
      </c>
    </row>
    <row r="103" spans="1:16" s="16" customFormat="1">
      <c r="A103" s="547"/>
      <c r="B103" s="552"/>
      <c r="C103" s="552"/>
      <c r="D103" s="552"/>
      <c r="E103" s="552"/>
      <c r="F103" s="552"/>
      <c r="G103" s="552"/>
      <c r="H103" s="552"/>
      <c r="I103" s="552"/>
      <c r="J103" s="552"/>
      <c r="K103" s="552"/>
      <c r="L103" s="552"/>
      <c r="M103" s="552"/>
      <c r="N103" s="552"/>
      <c r="O103" s="552"/>
      <c r="P103" s="705"/>
    </row>
    <row r="104" spans="1:16" s="50" customFormat="1" ht="17.25" customHeight="1">
      <c r="A104" s="725" t="str">
        <f>L_CViec!A31</f>
        <v>III</v>
      </c>
      <c r="B104" s="786" t="str">
        <f>L_CViec!B31</f>
        <v>SỐ HOÁ VÀ CHUYỂN HỆ TOẠ ĐỘ BẢN ĐỒ ĐỊA CHÍNH:</v>
      </c>
      <c r="C104" s="787"/>
      <c r="D104" s="787"/>
      <c r="E104" s="788"/>
      <c r="F104" s="787"/>
      <c r="G104" s="787"/>
      <c r="H104" s="787"/>
      <c r="I104" s="787"/>
      <c r="J104" s="789"/>
      <c r="K104" s="787"/>
      <c r="L104" s="787"/>
      <c r="M104" s="787"/>
      <c r="N104" s="787"/>
      <c r="O104" s="787"/>
      <c r="P104" s="790"/>
    </row>
    <row r="105" spans="1:16" s="15" customFormat="1" ht="19.5" customHeight="1">
      <c r="A105" s="725">
        <v>3.1</v>
      </c>
      <c r="B105" s="785" t="s">
        <v>254</v>
      </c>
      <c r="C105" s="549"/>
      <c r="D105" s="549"/>
      <c r="E105" s="655"/>
      <c r="F105" s="549"/>
      <c r="G105" s="549"/>
      <c r="H105" s="549"/>
      <c r="I105" s="549"/>
      <c r="J105" s="551"/>
      <c r="K105" s="549"/>
      <c r="L105" s="549"/>
      <c r="M105" s="549"/>
      <c r="N105" s="549"/>
      <c r="O105" s="549"/>
      <c r="P105" s="618"/>
    </row>
    <row r="106" spans="1:16">
      <c r="A106" s="1182" t="s">
        <v>88</v>
      </c>
      <c r="B106" s="1180" t="s">
        <v>86</v>
      </c>
      <c r="C106" s="1180" t="s">
        <v>70</v>
      </c>
      <c r="D106" s="1180" t="s">
        <v>89</v>
      </c>
      <c r="E106" s="1178" t="s">
        <v>256</v>
      </c>
      <c r="F106" s="1178"/>
      <c r="G106" s="1178"/>
      <c r="H106" s="1178"/>
      <c r="I106" s="1178"/>
      <c r="J106" s="1178"/>
      <c r="K106" s="1178" t="s">
        <v>80</v>
      </c>
      <c r="L106" s="1178"/>
      <c r="M106" s="1178"/>
      <c r="N106" s="1178"/>
      <c r="O106" s="1178"/>
      <c r="P106" s="1179"/>
    </row>
    <row r="107" spans="1:16">
      <c r="A107" s="1182"/>
      <c r="B107" s="1180"/>
      <c r="C107" s="1180"/>
      <c r="D107" s="1180"/>
      <c r="E107" s="1178" t="s">
        <v>255</v>
      </c>
      <c r="F107" s="1178"/>
      <c r="G107" s="1178"/>
      <c r="H107" s="1178"/>
      <c r="I107" s="1178" t="s">
        <v>257</v>
      </c>
      <c r="J107" s="1178"/>
      <c r="K107" s="1178" t="s">
        <v>255</v>
      </c>
      <c r="L107" s="1178"/>
      <c r="M107" s="1178"/>
      <c r="N107" s="1178"/>
      <c r="O107" s="1178" t="s">
        <v>257</v>
      </c>
      <c r="P107" s="1179"/>
    </row>
    <row r="108" spans="1:16" s="15" customFormat="1">
      <c r="A108" s="1182"/>
      <c r="B108" s="1180"/>
      <c r="C108" s="1180"/>
      <c r="D108" s="1180"/>
      <c r="E108" s="549" t="s">
        <v>23</v>
      </c>
      <c r="F108" s="549" t="s">
        <v>32</v>
      </c>
      <c r="G108" s="791" t="s">
        <v>24</v>
      </c>
      <c r="H108" s="791" t="s">
        <v>25</v>
      </c>
      <c r="I108" s="791" t="s">
        <v>24</v>
      </c>
      <c r="J108" s="791" t="s">
        <v>25</v>
      </c>
      <c r="K108" s="549" t="s">
        <v>23</v>
      </c>
      <c r="L108" s="549" t="s">
        <v>32</v>
      </c>
      <c r="M108" s="791" t="s">
        <v>24</v>
      </c>
      <c r="N108" s="791" t="s">
        <v>25</v>
      </c>
      <c r="O108" s="791" t="s">
        <v>24</v>
      </c>
      <c r="P108" s="792" t="s">
        <v>25</v>
      </c>
    </row>
    <row r="109" spans="1:16" ht="17.25" customHeight="1">
      <c r="A109" s="7">
        <v>1</v>
      </c>
      <c r="B109" s="6" t="s">
        <v>672</v>
      </c>
      <c r="C109" s="12" t="s">
        <v>116</v>
      </c>
      <c r="D109" s="893">
        <f>VLOOKUP(B109,GiaVL!$B$4:'GiaVL'!$D$159,3,0)</f>
        <v>10000</v>
      </c>
      <c r="E109" s="894">
        <v>1</v>
      </c>
      <c r="F109" s="894">
        <v>1</v>
      </c>
      <c r="G109" s="894">
        <v>1</v>
      </c>
      <c r="H109" s="894">
        <v>1</v>
      </c>
      <c r="I109" s="894">
        <v>0.04</v>
      </c>
      <c r="J109" s="6">
        <v>7.0000000000000007E-2</v>
      </c>
      <c r="K109" s="78">
        <f>$D109*E109</f>
        <v>10000</v>
      </c>
      <c r="L109" s="78">
        <f t="shared" ref="L109:L116" si="39">$D109*F109</f>
        <v>10000</v>
      </c>
      <c r="M109" s="895">
        <f t="shared" ref="M109:M116" si="40">$D109*G109</f>
        <v>10000</v>
      </c>
      <c r="N109" s="78">
        <f t="shared" ref="N109:N116" si="41">$D109*H109</f>
        <v>10000</v>
      </c>
      <c r="O109" s="78">
        <f t="shared" ref="O109:O116" si="42">$D109*I109</f>
        <v>400</v>
      </c>
      <c r="P109" s="79">
        <f>$D109*J109</f>
        <v>700.00000000000011</v>
      </c>
    </row>
    <row r="110" spans="1:16" s="828" customFormat="1" ht="17.25" customHeight="1">
      <c r="A110" s="829">
        <v>2</v>
      </c>
      <c r="B110" s="832" t="s">
        <v>604</v>
      </c>
      <c r="C110" s="855" t="s">
        <v>136</v>
      </c>
      <c r="D110" s="611">
        <f>VLOOKUP(B110,GiaVL!$B$4:'GiaVL'!$D$162,3,0)</f>
        <v>10000</v>
      </c>
      <c r="E110" s="863" t="s">
        <v>857</v>
      </c>
      <c r="F110" s="863" t="s">
        <v>857</v>
      </c>
      <c r="G110" s="863" t="s">
        <v>857</v>
      </c>
      <c r="H110" s="863" t="s">
        <v>857</v>
      </c>
      <c r="I110" s="863" t="s">
        <v>857</v>
      </c>
      <c r="J110" s="863" t="s">
        <v>857</v>
      </c>
      <c r="K110" s="78">
        <f t="shared" ref="K110:K112" si="43">$D110*E110</f>
        <v>200</v>
      </c>
      <c r="L110" s="78">
        <f t="shared" ref="L110:L112" si="44">$D110*F110</f>
        <v>200</v>
      </c>
      <c r="M110" s="895">
        <f t="shared" ref="M110:M112" si="45">$D110*G110</f>
        <v>200</v>
      </c>
      <c r="N110" s="78">
        <f t="shared" ref="N110:N112" si="46">$D110*H110</f>
        <v>200</v>
      </c>
      <c r="O110" s="78">
        <f t="shared" ref="O110:O112" si="47">$D110*I110</f>
        <v>200</v>
      </c>
      <c r="P110" s="79">
        <f t="shared" ref="P110:P112" si="48">$D110*J110</f>
        <v>200</v>
      </c>
    </row>
    <row r="111" spans="1:16" s="828" customFormat="1" ht="17.25" customHeight="1">
      <c r="A111" s="7">
        <v>3</v>
      </c>
      <c r="B111" s="832" t="s">
        <v>658</v>
      </c>
      <c r="C111" s="855" t="s">
        <v>134</v>
      </c>
      <c r="D111" s="611">
        <f>VLOOKUP(B111,GiaVL!$B$4:'GiaVL'!$D$162,3,0)</f>
        <v>1000</v>
      </c>
      <c r="E111" s="863" t="s">
        <v>858</v>
      </c>
      <c r="F111" s="863" t="s">
        <v>858</v>
      </c>
      <c r="G111" s="863" t="s">
        <v>858</v>
      </c>
      <c r="H111" s="863" t="s">
        <v>858</v>
      </c>
      <c r="I111" s="863" t="s">
        <v>858</v>
      </c>
      <c r="J111" s="863" t="s">
        <v>858</v>
      </c>
      <c r="K111" s="78">
        <f t="shared" si="43"/>
        <v>3000</v>
      </c>
      <c r="L111" s="78">
        <f t="shared" si="44"/>
        <v>3000</v>
      </c>
      <c r="M111" s="895">
        <f t="shared" si="45"/>
        <v>3000</v>
      </c>
      <c r="N111" s="78">
        <f t="shared" si="46"/>
        <v>3000</v>
      </c>
      <c r="O111" s="78">
        <f t="shared" si="47"/>
        <v>3000</v>
      </c>
      <c r="P111" s="79">
        <f t="shared" si="48"/>
        <v>3000</v>
      </c>
    </row>
    <row r="112" spans="1:16" s="828" customFormat="1" ht="17.25" customHeight="1">
      <c r="A112" s="7">
        <v>4</v>
      </c>
      <c r="B112" s="832" t="s">
        <v>162</v>
      </c>
      <c r="C112" s="855" t="s">
        <v>272</v>
      </c>
      <c r="D112" s="611">
        <f>VLOOKUP(B112,GiaVL!$B$4:'GiaVL'!$D$162,3,0)</f>
        <v>11000</v>
      </c>
      <c r="E112" s="863" t="s">
        <v>859</v>
      </c>
      <c r="F112" s="863" t="s">
        <v>859</v>
      </c>
      <c r="G112" s="863" t="s">
        <v>859</v>
      </c>
      <c r="H112" s="863" t="s">
        <v>859</v>
      </c>
      <c r="I112" s="863" t="s">
        <v>859</v>
      </c>
      <c r="J112" s="863" t="s">
        <v>859</v>
      </c>
      <c r="K112" s="78">
        <f t="shared" si="43"/>
        <v>16500</v>
      </c>
      <c r="L112" s="78">
        <f t="shared" si="44"/>
        <v>16500</v>
      </c>
      <c r="M112" s="895">
        <f t="shared" si="45"/>
        <v>16500</v>
      </c>
      <c r="N112" s="78">
        <f t="shared" si="46"/>
        <v>16500</v>
      </c>
      <c r="O112" s="78">
        <f t="shared" si="47"/>
        <v>16500</v>
      </c>
      <c r="P112" s="79">
        <f t="shared" si="48"/>
        <v>16500</v>
      </c>
    </row>
    <row r="113" spans="1:16" ht="17.25" customHeight="1">
      <c r="A113" s="829">
        <v>5</v>
      </c>
      <c r="B113" s="797" t="s">
        <v>165</v>
      </c>
      <c r="C113" s="793" t="s">
        <v>139</v>
      </c>
      <c r="D113" s="611">
        <f>VLOOKUP(B113,GiaVL!$B$4:'GiaVL'!$D$159,3,0)</f>
        <v>70000</v>
      </c>
      <c r="E113" s="794">
        <v>0.02</v>
      </c>
      <c r="F113" s="794">
        <v>0.02</v>
      </c>
      <c r="G113" s="794">
        <v>0.04</v>
      </c>
      <c r="H113" s="794">
        <v>0.04</v>
      </c>
      <c r="I113" s="794">
        <v>0.04</v>
      </c>
      <c r="J113" s="540">
        <v>0.04</v>
      </c>
      <c r="K113" s="795">
        <f t="shared" ref="K113:K116" si="49">$D113*E113</f>
        <v>1400</v>
      </c>
      <c r="L113" s="795">
        <f t="shared" si="39"/>
        <v>1400</v>
      </c>
      <c r="M113" s="795">
        <f t="shared" si="40"/>
        <v>2800</v>
      </c>
      <c r="N113" s="795">
        <f t="shared" si="41"/>
        <v>2800</v>
      </c>
      <c r="O113" s="795">
        <f t="shared" si="42"/>
        <v>2800</v>
      </c>
      <c r="P113" s="796">
        <f t="shared" ref="P113:P116" si="50">$D113*J113</f>
        <v>2800</v>
      </c>
    </row>
    <row r="114" spans="1:16" ht="17.25" customHeight="1">
      <c r="A114" s="7">
        <v>6</v>
      </c>
      <c r="B114" s="797" t="s">
        <v>395</v>
      </c>
      <c r="C114" s="793" t="s">
        <v>134</v>
      </c>
      <c r="D114" s="611">
        <f>VLOOKUP(B114,GiaVL!$B$4:'GiaVL'!$D$159,3,0)</f>
        <v>10000</v>
      </c>
      <c r="E114" s="794">
        <v>4</v>
      </c>
      <c r="F114" s="794">
        <v>4</v>
      </c>
      <c r="G114" s="794">
        <v>4</v>
      </c>
      <c r="H114" s="794">
        <v>4</v>
      </c>
      <c r="I114" s="794">
        <v>3</v>
      </c>
      <c r="J114" s="540">
        <v>3</v>
      </c>
      <c r="K114" s="795">
        <f t="shared" si="49"/>
        <v>40000</v>
      </c>
      <c r="L114" s="795">
        <f t="shared" si="39"/>
        <v>40000</v>
      </c>
      <c r="M114" s="795">
        <f t="shared" si="40"/>
        <v>40000</v>
      </c>
      <c r="N114" s="795">
        <f t="shared" si="41"/>
        <v>40000</v>
      </c>
      <c r="O114" s="795">
        <f t="shared" si="42"/>
        <v>30000</v>
      </c>
      <c r="P114" s="796">
        <f t="shared" si="50"/>
        <v>30000</v>
      </c>
    </row>
    <row r="115" spans="1:16" ht="17.25" customHeight="1">
      <c r="A115" s="7">
        <v>7</v>
      </c>
      <c r="B115" s="797" t="s">
        <v>398</v>
      </c>
      <c r="C115" s="793" t="s">
        <v>167</v>
      </c>
      <c r="D115" s="611">
        <f>VLOOKUP(B115,GiaVL!$B$4:'GiaVL'!$D$159,3,0)</f>
        <v>1600000</v>
      </c>
      <c r="E115" s="794">
        <v>4.0000000000000001E-3</v>
      </c>
      <c r="F115" s="794">
        <v>4.0000000000000001E-3</v>
      </c>
      <c r="G115" s="794">
        <v>8.0000000000000002E-3</v>
      </c>
      <c r="H115" s="794">
        <v>8.0000000000000002E-3</v>
      </c>
      <c r="I115" s="794">
        <v>8.0000000000000002E-3</v>
      </c>
      <c r="J115" s="540">
        <v>8.0000000000000002E-3</v>
      </c>
      <c r="K115" s="795">
        <f t="shared" si="49"/>
        <v>6400</v>
      </c>
      <c r="L115" s="795">
        <f t="shared" si="39"/>
        <v>6400</v>
      </c>
      <c r="M115" s="795">
        <f t="shared" si="40"/>
        <v>12800</v>
      </c>
      <c r="N115" s="795">
        <f t="shared" si="41"/>
        <v>12800</v>
      </c>
      <c r="O115" s="795">
        <f t="shared" si="42"/>
        <v>12800</v>
      </c>
      <c r="P115" s="796">
        <f t="shared" si="50"/>
        <v>12800</v>
      </c>
    </row>
    <row r="116" spans="1:16" ht="17.25" customHeight="1">
      <c r="A116" s="829">
        <v>8</v>
      </c>
      <c r="B116" s="540" t="s">
        <v>249</v>
      </c>
      <c r="C116" s="793" t="s">
        <v>167</v>
      </c>
      <c r="D116" s="611">
        <f>VLOOKUP(B116,GiaVL!$B$4:'GiaVL'!$D$159,3,0)</f>
        <v>620000</v>
      </c>
      <c r="E116" s="794">
        <v>0.04</v>
      </c>
      <c r="F116" s="794">
        <v>0.04</v>
      </c>
      <c r="G116" s="794">
        <v>0.04</v>
      </c>
      <c r="H116" s="794">
        <v>0.04</v>
      </c>
      <c r="I116" s="794">
        <v>0.03</v>
      </c>
      <c r="J116" s="540">
        <v>0.03</v>
      </c>
      <c r="K116" s="795">
        <f t="shared" si="49"/>
        <v>24800</v>
      </c>
      <c r="L116" s="795">
        <f t="shared" si="39"/>
        <v>24800</v>
      </c>
      <c r="M116" s="795">
        <f t="shared" si="40"/>
        <v>24800</v>
      </c>
      <c r="N116" s="795">
        <f t="shared" si="41"/>
        <v>24800</v>
      </c>
      <c r="O116" s="795">
        <f t="shared" si="42"/>
        <v>18600</v>
      </c>
      <c r="P116" s="796">
        <f t="shared" si="50"/>
        <v>18600</v>
      </c>
    </row>
    <row r="117" spans="1:16" s="16" customFormat="1" ht="20.25" customHeight="1">
      <c r="A117" s="547"/>
      <c r="B117" s="548" t="s">
        <v>519</v>
      </c>
      <c r="C117" s="549"/>
      <c r="D117" s="548"/>
      <c r="E117" s="548"/>
      <c r="F117" s="552"/>
      <c r="G117" s="552"/>
      <c r="H117" s="626"/>
      <c r="I117" s="626"/>
      <c r="J117" s="552"/>
      <c r="K117" s="743">
        <f>SUM(K109:K116)/6.25</f>
        <v>16368</v>
      </c>
      <c r="L117" s="743">
        <f>SUM(L109:L116)/25</f>
        <v>4092</v>
      </c>
      <c r="M117" s="743">
        <f>SUM(M109:M116)/100</f>
        <v>1101</v>
      </c>
      <c r="N117" s="743">
        <f>SUM(N109:N116)/900</f>
        <v>122.33333333333333</v>
      </c>
      <c r="O117" s="743">
        <f>SUM(O109:O116)</f>
        <v>84300</v>
      </c>
      <c r="P117" s="744">
        <f>SUM(P109:P116)</f>
        <v>84600</v>
      </c>
    </row>
    <row r="118" spans="1:16" s="16" customFormat="1">
      <c r="A118" s="547"/>
      <c r="B118" s="548"/>
      <c r="C118" s="549"/>
      <c r="D118" s="548"/>
      <c r="E118" s="548"/>
      <c r="F118" s="548"/>
      <c r="G118" s="548"/>
      <c r="H118" s="551"/>
      <c r="I118" s="551"/>
      <c r="J118" s="552"/>
      <c r="K118" s="743"/>
      <c r="L118" s="743"/>
      <c r="M118" s="743"/>
      <c r="N118" s="743"/>
      <c r="O118" s="743"/>
      <c r="P118" s="744"/>
    </row>
    <row r="119" spans="1:16" s="16" customFormat="1" ht="19.5" customHeight="1">
      <c r="A119" s="547"/>
      <c r="B119" s="814" t="s">
        <v>274</v>
      </c>
      <c r="C119" s="541"/>
      <c r="D119" s="540"/>
      <c r="E119" s="653"/>
      <c r="F119" s="653"/>
      <c r="G119" s="653"/>
      <c r="H119" s="723"/>
      <c r="I119" s="723"/>
      <c r="J119" s="639"/>
      <c r="K119" s="795">
        <f>K117</f>
        <v>16368</v>
      </c>
      <c r="L119" s="795">
        <f>L117</f>
        <v>4092</v>
      </c>
      <c r="M119" s="795">
        <f>M117</f>
        <v>1101</v>
      </c>
      <c r="N119" s="795">
        <f>N117</f>
        <v>122.33333333333333</v>
      </c>
      <c r="O119" s="795">
        <f>O117-O114-O115-O116</f>
        <v>22900</v>
      </c>
      <c r="P119" s="796">
        <f>P117-P114-P115-P116</f>
        <v>23200</v>
      </c>
    </row>
    <row r="120" spans="1:16" s="89" customFormat="1" ht="28.5" customHeight="1">
      <c r="A120" s="798"/>
      <c r="B120" s="1104" t="s">
        <v>275</v>
      </c>
      <c r="C120" s="1104"/>
      <c r="D120" s="1104"/>
      <c r="E120" s="1104"/>
      <c r="F120" s="1104"/>
      <c r="G120" s="1104"/>
      <c r="H120" s="1104"/>
      <c r="I120" s="1104"/>
      <c r="J120" s="1104"/>
      <c r="K120" s="799"/>
      <c r="L120" s="799"/>
      <c r="M120" s="799"/>
      <c r="N120" s="800">
        <v>0.7</v>
      </c>
      <c r="O120" s="799">
        <f>O117*N120</f>
        <v>59009.999999999993</v>
      </c>
      <c r="P120" s="801">
        <f>O119*0.7</f>
        <v>16029.999999999998</v>
      </c>
    </row>
    <row r="121" spans="1:16" s="16" customFormat="1" ht="16.5" customHeight="1">
      <c r="A121" s="547"/>
      <c r="B121" s="540" t="s">
        <v>276</v>
      </c>
      <c r="C121" s="541"/>
      <c r="D121" s="540"/>
      <c r="E121" s="653"/>
      <c r="F121" s="653"/>
      <c r="G121" s="653"/>
      <c r="H121" s="723"/>
      <c r="I121" s="723"/>
      <c r="J121" s="639"/>
      <c r="K121" s="552"/>
      <c r="L121" s="552"/>
      <c r="M121" s="552"/>
      <c r="N121" s="552"/>
      <c r="O121" s="552"/>
      <c r="P121" s="568"/>
    </row>
    <row r="122" spans="1:16">
      <c r="A122" s="802"/>
      <c r="B122" s="540"/>
      <c r="C122" s="541"/>
      <c r="D122" s="541"/>
      <c r="E122" s="540"/>
      <c r="F122" s="540"/>
      <c r="G122" s="540"/>
      <c r="H122" s="740"/>
      <c r="I122" s="740"/>
      <c r="J122" s="540"/>
      <c r="K122" s="540"/>
      <c r="L122" s="540"/>
      <c r="M122" s="540"/>
      <c r="N122" s="540"/>
      <c r="O122" s="540"/>
      <c r="P122" s="803"/>
    </row>
    <row r="123" spans="1:16" s="16" customFormat="1">
      <c r="A123" s="547"/>
      <c r="B123" s="548"/>
      <c r="C123" s="549"/>
      <c r="D123" s="548"/>
      <c r="E123" s="548"/>
      <c r="F123" s="552"/>
      <c r="G123" s="552"/>
      <c r="H123" s="626"/>
      <c r="I123" s="626"/>
      <c r="J123" s="552"/>
      <c r="K123" s="552"/>
      <c r="L123" s="552"/>
      <c r="M123" s="552"/>
      <c r="N123" s="552"/>
      <c r="O123" s="548"/>
      <c r="P123" s="724"/>
    </row>
    <row r="124" spans="1:16" s="50" customFormat="1" ht="18" customHeight="1">
      <c r="A124" s="725" t="str">
        <f>L_CViec!A44</f>
        <v>IV</v>
      </c>
      <c r="B124" s="786" t="str">
        <f>L_CViec!B44</f>
        <v>ĐO ĐẠC CHỈNH LÝ BẢN ĐỒ ĐỊA CHÍNH:</v>
      </c>
      <c r="C124" s="787"/>
      <c r="D124" s="787"/>
      <c r="E124" s="787"/>
      <c r="F124" s="787"/>
      <c r="G124" s="787"/>
      <c r="H124" s="789"/>
      <c r="I124" s="787"/>
      <c r="J124" s="787"/>
      <c r="K124" s="787"/>
      <c r="L124" s="787"/>
      <c r="M124" s="787"/>
      <c r="N124" s="787"/>
      <c r="O124" s="787"/>
      <c r="P124" s="790"/>
    </row>
    <row r="125" spans="1:16" s="15" customFormat="1">
      <c r="A125" s="555" t="s">
        <v>220</v>
      </c>
      <c r="B125" s="804" t="s">
        <v>63</v>
      </c>
      <c r="C125" s="549"/>
      <c r="D125" s="549"/>
      <c r="E125" s="549"/>
      <c r="F125" s="549"/>
      <c r="G125" s="549"/>
      <c r="H125" s="551"/>
      <c r="I125" s="549"/>
      <c r="J125" s="549"/>
      <c r="K125" s="549"/>
      <c r="L125" s="549"/>
      <c r="M125" s="549"/>
      <c r="N125" s="549"/>
      <c r="O125" s="549"/>
      <c r="P125" s="618"/>
    </row>
    <row r="126" spans="1:16" s="51" customFormat="1" ht="12.75" customHeight="1">
      <c r="A126" s="1182" t="s">
        <v>88</v>
      </c>
      <c r="B126" s="1180" t="s">
        <v>86</v>
      </c>
      <c r="C126" s="1180" t="s">
        <v>70</v>
      </c>
      <c r="D126" s="1180" t="s">
        <v>89</v>
      </c>
      <c r="E126" s="1180" t="s">
        <v>241</v>
      </c>
      <c r="F126" s="1180" t="s">
        <v>80</v>
      </c>
      <c r="G126" s="433"/>
      <c r="H126" s="433"/>
      <c r="I126" s="433"/>
      <c r="J126" s="433"/>
      <c r="K126" s="433"/>
      <c r="L126" s="433"/>
      <c r="M126" s="433"/>
      <c r="N126" s="433"/>
      <c r="O126" s="556"/>
      <c r="P126" s="557"/>
    </row>
    <row r="127" spans="1:16" s="51" customFormat="1">
      <c r="A127" s="1182"/>
      <c r="B127" s="1180"/>
      <c r="C127" s="1180"/>
      <c r="D127" s="1180"/>
      <c r="E127" s="1180"/>
      <c r="F127" s="1180"/>
      <c r="G127" s="549"/>
      <c r="H127" s="549"/>
      <c r="I127" s="549"/>
      <c r="J127" s="549"/>
      <c r="K127" s="549"/>
      <c r="L127" s="549"/>
      <c r="M127" s="549"/>
      <c r="N127" s="549"/>
      <c r="O127" s="556"/>
      <c r="P127" s="557"/>
    </row>
    <row r="128" spans="1:16" s="51" customFormat="1" ht="17.25" customHeight="1">
      <c r="A128" s="432" t="s">
        <v>27</v>
      </c>
      <c r="B128" s="805" t="s">
        <v>278</v>
      </c>
      <c r="C128" s="556"/>
      <c r="D128" s="556"/>
      <c r="E128" s="549"/>
      <c r="F128" s="784"/>
      <c r="G128" s="549"/>
      <c r="H128" s="549"/>
      <c r="I128" s="549"/>
      <c r="J128" s="784"/>
      <c r="K128" s="784"/>
      <c r="L128" s="784"/>
      <c r="M128" s="784"/>
      <c r="N128" s="784"/>
      <c r="O128" s="556"/>
      <c r="P128" s="557"/>
    </row>
    <row r="129" spans="1:16" s="860" customFormat="1" ht="17.25" customHeight="1">
      <c r="A129" s="864">
        <v>1</v>
      </c>
      <c r="B129" s="865" t="s">
        <v>659</v>
      </c>
      <c r="C129" s="866" t="s">
        <v>134</v>
      </c>
      <c r="D129" s="611">
        <f>VLOOKUP(B129,GiaVL!$B$4:'GiaVL'!$D$169,3,0)</f>
        <v>30000</v>
      </c>
      <c r="E129" s="858">
        <v>1</v>
      </c>
      <c r="F129" s="776">
        <f t="shared" ref="F129:F132" si="51">$D129*E129</f>
        <v>30000</v>
      </c>
      <c r="G129" s="848"/>
      <c r="H129" s="848"/>
      <c r="I129" s="848"/>
      <c r="J129" s="867"/>
      <c r="K129" s="867"/>
      <c r="L129" s="867"/>
      <c r="M129" s="867"/>
      <c r="N129" s="867"/>
      <c r="O129" s="868"/>
      <c r="P129" s="869"/>
    </row>
    <row r="130" spans="1:16" ht="17.25" customHeight="1">
      <c r="A130" s="539">
        <v>2</v>
      </c>
      <c r="B130" s="640" t="s">
        <v>165</v>
      </c>
      <c r="C130" s="541" t="s">
        <v>139</v>
      </c>
      <c r="D130" s="611">
        <f>VLOOKUP(B130,GiaVL!$B$4:'GiaVL'!$D$159,3,0)</f>
        <v>70000</v>
      </c>
      <c r="E130" s="653">
        <v>0.1</v>
      </c>
      <c r="F130" s="776">
        <f t="shared" si="51"/>
        <v>7000</v>
      </c>
      <c r="G130" s="653"/>
      <c r="H130" s="723"/>
      <c r="I130" s="723"/>
      <c r="J130" s="776"/>
      <c r="K130" s="777"/>
      <c r="L130" s="777"/>
      <c r="M130" s="776"/>
      <c r="N130" s="776"/>
      <c r="O130" s="540"/>
      <c r="P130" s="803"/>
    </row>
    <row r="131" spans="1:16" ht="17.25" customHeight="1">
      <c r="A131" s="539">
        <v>3</v>
      </c>
      <c r="B131" s="640" t="s">
        <v>162</v>
      </c>
      <c r="C131" s="541" t="s">
        <v>17</v>
      </c>
      <c r="D131" s="611">
        <f>GiaVL!D56</f>
        <v>10000</v>
      </c>
      <c r="E131" s="653">
        <v>1</v>
      </c>
      <c r="F131" s="776">
        <f t="shared" si="51"/>
        <v>10000</v>
      </c>
      <c r="G131" s="653"/>
      <c r="H131" s="723"/>
      <c r="I131" s="723"/>
      <c r="J131" s="776"/>
      <c r="K131" s="777"/>
      <c r="L131" s="777"/>
      <c r="M131" s="776"/>
      <c r="N131" s="776"/>
      <c r="O131" s="540"/>
      <c r="P131" s="803"/>
    </row>
    <row r="132" spans="1:16" ht="17.25" customHeight="1">
      <c r="A132" s="539">
        <v>4</v>
      </c>
      <c r="B132" s="640" t="s">
        <v>281</v>
      </c>
      <c r="C132" s="541" t="s">
        <v>91</v>
      </c>
      <c r="D132" s="611">
        <f>VLOOKUP(B132,GiaVL!$B$4:'GiaVL'!$D$159,3,0)</f>
        <v>400000</v>
      </c>
      <c r="E132" s="653">
        <v>10</v>
      </c>
      <c r="F132" s="776">
        <f t="shared" si="51"/>
        <v>4000000</v>
      </c>
      <c r="G132" s="653"/>
      <c r="H132" s="723"/>
      <c r="I132" s="723"/>
      <c r="J132" s="776"/>
      <c r="K132" s="777"/>
      <c r="L132" s="777"/>
      <c r="M132" s="776"/>
      <c r="N132" s="776"/>
      <c r="O132" s="540"/>
      <c r="P132" s="803"/>
    </row>
    <row r="133" spans="1:16" ht="17.25" customHeight="1">
      <c r="A133" s="547"/>
      <c r="B133" s="548" t="s">
        <v>519</v>
      </c>
      <c r="C133" s="549"/>
      <c r="D133" s="548"/>
      <c r="E133" s="548"/>
      <c r="F133" s="743">
        <f>SUM(F129:F132)</f>
        <v>4047000</v>
      </c>
      <c r="G133" s="548"/>
      <c r="H133" s="551"/>
      <c r="I133" s="551"/>
      <c r="J133" s="780"/>
      <c r="K133" s="780"/>
      <c r="L133" s="780"/>
      <c r="M133" s="780"/>
      <c r="N133" s="780"/>
      <c r="O133" s="540"/>
      <c r="P133" s="803"/>
    </row>
    <row r="134" spans="1:16" ht="17.25" customHeight="1">
      <c r="A134" s="547"/>
      <c r="B134" s="548"/>
      <c r="C134" s="549"/>
      <c r="D134" s="548"/>
      <c r="E134" s="548"/>
      <c r="F134" s="548"/>
      <c r="G134" s="548"/>
      <c r="H134" s="551"/>
      <c r="I134" s="551"/>
      <c r="J134" s="780"/>
      <c r="K134" s="780"/>
      <c r="L134" s="780"/>
      <c r="M134" s="780"/>
      <c r="N134" s="780"/>
      <c r="O134" s="540"/>
      <c r="P134" s="803"/>
    </row>
    <row r="135" spans="1:16" s="51" customFormat="1" ht="16.5" customHeight="1">
      <c r="A135" s="555" t="s">
        <v>28</v>
      </c>
      <c r="B135" s="548" t="s">
        <v>284</v>
      </c>
      <c r="C135" s="549"/>
      <c r="D135" s="548"/>
      <c r="E135" s="548"/>
      <c r="F135" s="548"/>
      <c r="G135" s="548"/>
      <c r="H135" s="551"/>
      <c r="I135" s="740">
        <v>0.05</v>
      </c>
      <c r="J135" s="780"/>
      <c r="K135" s="780">
        <f t="shared" ref="K135:P135" si="52">$I135*K145</f>
        <v>12562.75</v>
      </c>
      <c r="L135" s="780">
        <f t="shared" si="52"/>
        <v>9109</v>
      </c>
      <c r="M135" s="780">
        <f t="shared" si="52"/>
        <v>8760</v>
      </c>
      <c r="N135" s="780">
        <f t="shared" si="52"/>
        <v>3480</v>
      </c>
      <c r="O135" s="780">
        <f t="shared" si="52"/>
        <v>4184.25</v>
      </c>
      <c r="P135" s="781">
        <f t="shared" si="52"/>
        <v>10462.75</v>
      </c>
    </row>
    <row r="136" spans="1:16" s="51" customFormat="1" ht="16.5" customHeight="1">
      <c r="A136" s="547"/>
      <c r="B136" s="548"/>
      <c r="C136" s="549"/>
      <c r="D136" s="548"/>
      <c r="E136" s="548"/>
      <c r="F136" s="548"/>
      <c r="G136" s="548"/>
      <c r="H136" s="551"/>
      <c r="I136" s="551"/>
      <c r="J136" s="780"/>
      <c r="K136" s="780"/>
      <c r="L136" s="780"/>
      <c r="M136" s="780"/>
      <c r="N136" s="780"/>
      <c r="O136" s="556"/>
      <c r="P136" s="557"/>
    </row>
    <row r="137" spans="1:16" s="51" customFormat="1" ht="26">
      <c r="A137" s="432" t="s">
        <v>29</v>
      </c>
      <c r="B137" s="805" t="s">
        <v>525</v>
      </c>
      <c r="C137" s="556"/>
      <c r="D137" s="556"/>
      <c r="E137" s="549"/>
      <c r="F137" s="549"/>
      <c r="G137" s="549"/>
      <c r="H137" s="549"/>
      <c r="I137" s="549"/>
      <c r="J137" s="784"/>
      <c r="K137" s="784"/>
      <c r="L137" s="784"/>
      <c r="M137" s="784"/>
      <c r="N137" s="784"/>
      <c r="O137" s="556"/>
      <c r="P137" s="557"/>
    </row>
    <row r="138" spans="1:16" ht="16.5" customHeight="1">
      <c r="A138" s="539">
        <v>1</v>
      </c>
      <c r="B138" s="640" t="s">
        <v>135</v>
      </c>
      <c r="C138" s="541" t="s">
        <v>136</v>
      </c>
      <c r="D138" s="611">
        <f>VLOOKUP(B138,GiaVL!$B$4:'GiaVL'!$D$159,3,0)</f>
        <v>10000</v>
      </c>
      <c r="E138" s="653">
        <v>0.3</v>
      </c>
      <c r="F138" s="653">
        <v>0.09</v>
      </c>
      <c r="G138" s="653">
        <v>7.0000000000000007E-2</v>
      </c>
      <c r="H138" s="723">
        <v>0.05</v>
      </c>
      <c r="I138" s="723">
        <v>0.04</v>
      </c>
      <c r="J138" s="870">
        <v>0.1</v>
      </c>
      <c r="K138" s="776">
        <f t="shared" ref="K138:K144" si="53">$D138*E138</f>
        <v>3000</v>
      </c>
      <c r="L138" s="777">
        <f t="shared" ref="L138:L144" si="54">$D138*F138</f>
        <v>900</v>
      </c>
      <c r="M138" s="777">
        <f t="shared" ref="M138:M144" si="55">$D138*G138</f>
        <v>700.00000000000011</v>
      </c>
      <c r="N138" s="776">
        <f t="shared" ref="N138:N144" si="56">$D138*H138</f>
        <v>500</v>
      </c>
      <c r="O138" s="776">
        <f t="shared" ref="O138:O144" si="57">$D138*I138</f>
        <v>400</v>
      </c>
      <c r="P138" s="778">
        <f t="shared" ref="P138:P143" si="58">$D138*J138</f>
        <v>1000</v>
      </c>
    </row>
    <row r="139" spans="1:16" ht="16.5" customHeight="1">
      <c r="A139" s="539">
        <v>2</v>
      </c>
      <c r="B139" s="640" t="s">
        <v>160</v>
      </c>
      <c r="C139" s="541" t="s">
        <v>91</v>
      </c>
      <c r="D139" s="611">
        <f>VLOOKUP(B139,GiaVL!$B$4:'GiaVL'!$D$159,3,0)</f>
        <v>1000</v>
      </c>
      <c r="E139" s="653">
        <v>2.2400000000000002</v>
      </c>
      <c r="F139" s="653">
        <v>0.51</v>
      </c>
      <c r="G139" s="653">
        <v>0.25</v>
      </c>
      <c r="H139" s="723">
        <v>0.15</v>
      </c>
      <c r="I139" s="723">
        <v>0.08</v>
      </c>
      <c r="J139" s="870">
        <v>0.2</v>
      </c>
      <c r="K139" s="776">
        <f t="shared" si="53"/>
        <v>2240</v>
      </c>
      <c r="L139" s="777">
        <f t="shared" si="54"/>
        <v>510</v>
      </c>
      <c r="M139" s="777">
        <f t="shared" si="55"/>
        <v>250</v>
      </c>
      <c r="N139" s="776">
        <f t="shared" si="56"/>
        <v>150</v>
      </c>
      <c r="O139" s="776">
        <f t="shared" si="57"/>
        <v>80</v>
      </c>
      <c r="P139" s="778">
        <f t="shared" si="58"/>
        <v>200</v>
      </c>
    </row>
    <row r="140" spans="1:16" ht="16.5" customHeight="1">
      <c r="A140" s="539">
        <v>3</v>
      </c>
      <c r="B140" s="640" t="s">
        <v>162</v>
      </c>
      <c r="C140" s="541" t="s">
        <v>272</v>
      </c>
      <c r="D140" s="611">
        <f>D131</f>
        <v>10000</v>
      </c>
      <c r="E140" s="653">
        <v>0.37</v>
      </c>
      <c r="F140" s="653">
        <v>0.17</v>
      </c>
      <c r="G140" s="653">
        <v>0.17</v>
      </c>
      <c r="H140" s="723">
        <v>0.1</v>
      </c>
      <c r="I140" s="723">
        <v>0.08</v>
      </c>
      <c r="J140" s="870">
        <v>0.2</v>
      </c>
      <c r="K140" s="776">
        <f t="shared" si="53"/>
        <v>3700</v>
      </c>
      <c r="L140" s="777">
        <f t="shared" si="54"/>
        <v>1700.0000000000002</v>
      </c>
      <c r="M140" s="777">
        <f t="shared" si="55"/>
        <v>1700.0000000000002</v>
      </c>
      <c r="N140" s="776">
        <f t="shared" si="56"/>
        <v>1000</v>
      </c>
      <c r="O140" s="776">
        <f t="shared" si="57"/>
        <v>800</v>
      </c>
      <c r="P140" s="778">
        <f t="shared" si="58"/>
        <v>2000</v>
      </c>
    </row>
    <row r="141" spans="1:16" ht="16.5" customHeight="1">
      <c r="A141" s="539">
        <v>4</v>
      </c>
      <c r="B141" s="640" t="s">
        <v>165</v>
      </c>
      <c r="C141" s="541" t="s">
        <v>139</v>
      </c>
      <c r="D141" s="611">
        <f>VLOOKUP(B141,GiaVL!$B$4:'GiaVL'!$D$159,3,0)</f>
        <v>70000</v>
      </c>
      <c r="E141" s="653">
        <v>1.49</v>
      </c>
      <c r="F141" s="653">
        <v>1.36</v>
      </c>
      <c r="G141" s="653">
        <v>1.33</v>
      </c>
      <c r="H141" s="723">
        <v>0.05</v>
      </c>
      <c r="I141" s="723">
        <v>0.06</v>
      </c>
      <c r="J141" s="870">
        <v>0.15</v>
      </c>
      <c r="K141" s="776">
        <f t="shared" si="53"/>
        <v>104300</v>
      </c>
      <c r="L141" s="777">
        <f t="shared" si="54"/>
        <v>95200</v>
      </c>
      <c r="M141" s="777">
        <f t="shared" si="55"/>
        <v>93100</v>
      </c>
      <c r="N141" s="776">
        <f t="shared" si="56"/>
        <v>3500</v>
      </c>
      <c r="O141" s="776">
        <f t="shared" si="57"/>
        <v>4200</v>
      </c>
      <c r="P141" s="778">
        <f t="shared" si="58"/>
        <v>10500</v>
      </c>
    </row>
    <row r="142" spans="1:16" s="828" customFormat="1" ht="16.5" customHeight="1">
      <c r="A142" s="539">
        <v>5</v>
      </c>
      <c r="B142" s="841" t="s">
        <v>656</v>
      </c>
      <c r="C142" s="831" t="s">
        <v>116</v>
      </c>
      <c r="D142" s="611">
        <f>VLOOKUP(B142,GiaVL!$B$4:'GiaVL'!$D$169,3,0)</f>
        <v>8500</v>
      </c>
      <c r="E142" s="857">
        <v>2.99</v>
      </c>
      <c r="F142" s="857">
        <v>1.02</v>
      </c>
      <c r="G142" s="857">
        <v>0.5</v>
      </c>
      <c r="H142" s="857">
        <v>0.5</v>
      </c>
      <c r="I142" s="858">
        <v>0.33</v>
      </c>
      <c r="J142" s="858">
        <v>0.83</v>
      </c>
      <c r="K142" s="776">
        <f t="shared" ref="K142" si="59">$D142*E142</f>
        <v>25415</v>
      </c>
      <c r="L142" s="777">
        <f t="shared" ref="L142" si="60">$D142*F142</f>
        <v>8670</v>
      </c>
      <c r="M142" s="777">
        <f t="shared" ref="M142" si="61">$D142*G142</f>
        <v>4250</v>
      </c>
      <c r="N142" s="776">
        <f t="shared" ref="N142" si="62">$D142*H142</f>
        <v>4250</v>
      </c>
      <c r="O142" s="776">
        <f t="shared" ref="O142" si="63">$D142*I142</f>
        <v>2805</v>
      </c>
      <c r="P142" s="778">
        <f t="shared" ref="P142" si="64">$D142*J142</f>
        <v>7055</v>
      </c>
    </row>
    <row r="143" spans="1:16" ht="16.5" customHeight="1">
      <c r="A143" s="539">
        <v>6</v>
      </c>
      <c r="B143" s="640" t="s">
        <v>141</v>
      </c>
      <c r="C143" s="541" t="s">
        <v>116</v>
      </c>
      <c r="D143" s="611">
        <f>VLOOKUP(B143,GiaVL!$B$4:'GiaVL'!$D$159,3,0)</f>
        <v>10000</v>
      </c>
      <c r="E143" s="653">
        <v>0.01</v>
      </c>
      <c r="F143" s="653">
        <v>0.02</v>
      </c>
      <c r="G143" s="653">
        <v>0.02</v>
      </c>
      <c r="H143" s="723">
        <v>0.02</v>
      </c>
      <c r="I143" s="723">
        <v>0.04</v>
      </c>
      <c r="J143" s="870">
        <v>0.1</v>
      </c>
      <c r="K143" s="776">
        <f t="shared" si="53"/>
        <v>100</v>
      </c>
      <c r="L143" s="777">
        <f t="shared" si="54"/>
        <v>200</v>
      </c>
      <c r="M143" s="777">
        <f t="shared" si="55"/>
        <v>200</v>
      </c>
      <c r="N143" s="776">
        <f t="shared" si="56"/>
        <v>200</v>
      </c>
      <c r="O143" s="776">
        <f t="shared" si="57"/>
        <v>400</v>
      </c>
      <c r="P143" s="778">
        <f t="shared" si="58"/>
        <v>1000</v>
      </c>
    </row>
    <row r="144" spans="1:16" ht="16.5" customHeight="1">
      <c r="A144" s="539">
        <v>7</v>
      </c>
      <c r="B144" s="640" t="s">
        <v>242</v>
      </c>
      <c r="C144" s="541" t="s">
        <v>91</v>
      </c>
      <c r="D144" s="611">
        <f>VLOOKUP(B144,GiaVL!$B$4:'GiaVL'!$D$159,3,0)</f>
        <v>7500</v>
      </c>
      <c r="E144" s="653">
        <v>15</v>
      </c>
      <c r="F144" s="653">
        <v>10</v>
      </c>
      <c r="G144" s="653">
        <v>10</v>
      </c>
      <c r="H144" s="723">
        <v>8</v>
      </c>
      <c r="I144" s="723">
        <v>10</v>
      </c>
      <c r="J144" s="870">
        <v>25</v>
      </c>
      <c r="K144" s="776">
        <f t="shared" si="53"/>
        <v>112500</v>
      </c>
      <c r="L144" s="777">
        <f t="shared" si="54"/>
        <v>75000</v>
      </c>
      <c r="M144" s="777">
        <f t="shared" si="55"/>
        <v>75000</v>
      </c>
      <c r="N144" s="776">
        <f t="shared" si="56"/>
        <v>60000</v>
      </c>
      <c r="O144" s="776">
        <f t="shared" si="57"/>
        <v>75000</v>
      </c>
      <c r="P144" s="778">
        <f>$D144*J144</f>
        <v>187500</v>
      </c>
    </row>
    <row r="145" spans="1:16" ht="16.5" customHeight="1">
      <c r="A145" s="547"/>
      <c r="B145" s="548" t="s">
        <v>519</v>
      </c>
      <c r="C145" s="549"/>
      <c r="D145" s="548"/>
      <c r="E145" s="548"/>
      <c r="F145" s="548"/>
      <c r="G145" s="548"/>
      <c r="H145" s="551"/>
      <c r="I145" s="551"/>
      <c r="J145" s="551"/>
      <c r="K145" s="780">
        <f>SUM(K138:K144)</f>
        <v>251255</v>
      </c>
      <c r="L145" s="780">
        <f t="shared" ref="L145:P145" si="65">SUM(L138:L144)</f>
        <v>182180</v>
      </c>
      <c r="M145" s="780">
        <f t="shared" si="65"/>
        <v>175200</v>
      </c>
      <c r="N145" s="780">
        <f t="shared" si="65"/>
        <v>69600</v>
      </c>
      <c r="O145" s="780">
        <f t="shared" si="65"/>
        <v>83685</v>
      </c>
      <c r="P145" s="781">
        <f t="shared" si="65"/>
        <v>209255</v>
      </c>
    </row>
    <row r="146" spans="1:16" ht="16.5" customHeight="1">
      <c r="A146" s="547"/>
      <c r="B146" s="548"/>
      <c r="C146" s="549"/>
      <c r="D146" s="548"/>
      <c r="E146" s="548"/>
      <c r="F146" s="548"/>
      <c r="G146" s="548"/>
      <c r="H146" s="551"/>
      <c r="I146" s="551"/>
      <c r="J146" s="540"/>
      <c r="K146" s="780"/>
      <c r="L146" s="780"/>
      <c r="M146" s="780"/>
      <c r="N146" s="780"/>
      <c r="O146" s="780"/>
      <c r="P146" s="803"/>
    </row>
    <row r="147" spans="1:16" s="15" customFormat="1" ht="16.5" customHeight="1">
      <c r="A147" s="555" t="s">
        <v>248</v>
      </c>
      <c r="B147" s="548" t="s">
        <v>65</v>
      </c>
      <c r="C147" s="549"/>
      <c r="D147" s="549"/>
      <c r="E147" s="549"/>
      <c r="F147" s="549"/>
      <c r="G147" s="549"/>
      <c r="H147" s="551"/>
      <c r="I147" s="551"/>
      <c r="J147" s="549"/>
      <c r="K147" s="784"/>
      <c r="L147" s="784"/>
      <c r="M147" s="784"/>
      <c r="N147" s="784"/>
      <c r="O147" s="784"/>
      <c r="P147" s="618"/>
    </row>
    <row r="148" spans="1:16" s="15" customFormat="1" ht="16.5" customHeight="1">
      <c r="A148" s="847" t="s">
        <v>27</v>
      </c>
      <c r="B148" s="840" t="s">
        <v>681</v>
      </c>
      <c r="C148" s="549"/>
      <c r="D148" s="549"/>
      <c r="E148" s="549"/>
      <c r="F148" s="549"/>
      <c r="G148" s="549"/>
      <c r="H148" s="551"/>
      <c r="I148" s="551"/>
      <c r="J148" s="549"/>
      <c r="K148" s="784"/>
      <c r="L148" s="784"/>
      <c r="M148" s="784"/>
      <c r="N148" s="784"/>
      <c r="O148" s="784"/>
      <c r="P148" s="618"/>
    </row>
    <row r="149" spans="1:16" ht="16.5" hidden="1" customHeight="1">
      <c r="A149" s="539"/>
      <c r="B149" s="640"/>
      <c r="C149" s="541"/>
      <c r="D149" s="639"/>
      <c r="E149" s="540"/>
      <c r="F149" s="653"/>
      <c r="G149" s="653"/>
      <c r="H149" s="740"/>
      <c r="I149" s="740"/>
      <c r="J149" s="776"/>
      <c r="K149" s="777"/>
      <c r="L149" s="777"/>
      <c r="M149" s="776"/>
      <c r="N149" s="776"/>
      <c r="O149" s="540"/>
      <c r="P149" s="803"/>
    </row>
    <row r="150" spans="1:16" s="15" customFormat="1" ht="16.5" customHeight="1">
      <c r="A150" s="555" t="s">
        <v>28</v>
      </c>
      <c r="B150" s="548" t="str">
        <f>TBi!B378</f>
        <v>Lập bản vẽ BĐĐC</v>
      </c>
      <c r="C150" s="549"/>
      <c r="D150" s="549"/>
      <c r="E150" s="549"/>
      <c r="F150" s="549"/>
      <c r="G150" s="549"/>
      <c r="H150" s="551"/>
      <c r="I150" s="551"/>
      <c r="J150" s="784"/>
      <c r="K150" s="784"/>
      <c r="L150" s="784"/>
      <c r="M150" s="784"/>
      <c r="N150" s="784"/>
      <c r="O150" s="549"/>
      <c r="P150" s="618"/>
    </row>
    <row r="151" spans="1:16" ht="16.5" customHeight="1">
      <c r="A151" s="539">
        <v>1</v>
      </c>
      <c r="B151" s="640" t="s">
        <v>135</v>
      </c>
      <c r="C151" s="541" t="s">
        <v>136</v>
      </c>
      <c r="D151" s="611">
        <f>VLOOKUP(B151,GiaVL!$B$4:'GiaVL'!$D$159,3,0)</f>
        <v>10000</v>
      </c>
      <c r="E151" s="540">
        <v>0.15</v>
      </c>
      <c r="F151" s="723">
        <v>0.15</v>
      </c>
      <c r="G151" s="723">
        <v>0.15</v>
      </c>
      <c r="H151" s="740">
        <v>0.15</v>
      </c>
      <c r="I151" s="740">
        <v>0.15</v>
      </c>
      <c r="J151" s="540">
        <v>0.15</v>
      </c>
      <c r="K151" s="776">
        <f t="shared" ref="K151:K157" si="66">$D151*E151</f>
        <v>1500</v>
      </c>
      <c r="L151" s="777">
        <f t="shared" ref="L151:L157" si="67">$D151*F151</f>
        <v>1500</v>
      </c>
      <c r="M151" s="777">
        <f t="shared" ref="M151:M157" si="68">$D151*G151</f>
        <v>1500</v>
      </c>
      <c r="N151" s="776">
        <f t="shared" ref="N151:N157" si="69">$D151*H151</f>
        <v>1500</v>
      </c>
      <c r="O151" s="776">
        <f t="shared" ref="O151:O157" si="70">$D151*I151</f>
        <v>1500</v>
      </c>
      <c r="P151" s="778">
        <f t="shared" ref="P151:P157" si="71">$D151*J151</f>
        <v>1500</v>
      </c>
    </row>
    <row r="152" spans="1:16" ht="16.5" customHeight="1">
      <c r="A152" s="539">
        <v>2</v>
      </c>
      <c r="B152" s="640" t="s">
        <v>160</v>
      </c>
      <c r="C152" s="541" t="s">
        <v>91</v>
      </c>
      <c r="D152" s="611">
        <f>VLOOKUP(B152,GiaVL!$B$4:'GiaVL'!$D$159,3,0)</f>
        <v>1000</v>
      </c>
      <c r="E152" s="540">
        <v>2</v>
      </c>
      <c r="F152" s="653">
        <v>2</v>
      </c>
      <c r="G152" s="653">
        <v>2</v>
      </c>
      <c r="H152" s="740">
        <v>2</v>
      </c>
      <c r="I152" s="740">
        <v>2</v>
      </c>
      <c r="J152" s="540">
        <v>2</v>
      </c>
      <c r="K152" s="776">
        <f t="shared" si="66"/>
        <v>2000</v>
      </c>
      <c r="L152" s="777">
        <f t="shared" si="67"/>
        <v>2000</v>
      </c>
      <c r="M152" s="777">
        <f t="shared" si="68"/>
        <v>2000</v>
      </c>
      <c r="N152" s="776">
        <f t="shared" si="69"/>
        <v>2000</v>
      </c>
      <c r="O152" s="776">
        <f t="shared" si="70"/>
        <v>2000</v>
      </c>
      <c r="P152" s="778">
        <f t="shared" si="71"/>
        <v>2000</v>
      </c>
    </row>
    <row r="153" spans="1:16" s="828" customFormat="1" ht="16.5" customHeight="1">
      <c r="A153" s="539">
        <v>3</v>
      </c>
      <c r="B153" s="841" t="s">
        <v>660</v>
      </c>
      <c r="C153" s="831" t="s">
        <v>134</v>
      </c>
      <c r="D153" s="611">
        <f>VLOOKUP(B153,GiaVL!$B$4:'GiaVL'!$D$169,3,0)</f>
        <v>1000</v>
      </c>
      <c r="E153" s="857">
        <v>4</v>
      </c>
      <c r="F153" s="857">
        <v>4</v>
      </c>
      <c r="G153" s="857">
        <v>4</v>
      </c>
      <c r="H153" s="857">
        <v>4</v>
      </c>
      <c r="I153" s="857">
        <v>4</v>
      </c>
      <c r="J153" s="857">
        <v>4</v>
      </c>
      <c r="K153" s="776">
        <f t="shared" ref="K153" si="72">$D153*E153</f>
        <v>4000</v>
      </c>
      <c r="L153" s="777">
        <f t="shared" ref="L153" si="73">$D153*F153</f>
        <v>4000</v>
      </c>
      <c r="M153" s="777">
        <f t="shared" ref="M153" si="74">$D153*G153</f>
        <v>4000</v>
      </c>
      <c r="N153" s="776">
        <f t="shared" ref="N153" si="75">$D153*H153</f>
        <v>4000</v>
      </c>
      <c r="O153" s="776">
        <f t="shared" ref="O153" si="76">$D153*I153</f>
        <v>4000</v>
      </c>
      <c r="P153" s="778">
        <f t="shared" ref="P153" si="77">$D153*J153</f>
        <v>4000</v>
      </c>
    </row>
    <row r="154" spans="1:16" ht="16.5" customHeight="1">
      <c r="A154" s="539">
        <v>4</v>
      </c>
      <c r="B154" s="640" t="s">
        <v>165</v>
      </c>
      <c r="C154" s="541" t="s">
        <v>139</v>
      </c>
      <c r="D154" s="611">
        <f>VLOOKUP(B154,GiaVL!$B$4:'GiaVL'!$D$159,3,0)</f>
        <v>70000</v>
      </c>
      <c r="E154" s="540">
        <v>1.5</v>
      </c>
      <c r="F154" s="723">
        <v>1.5</v>
      </c>
      <c r="G154" s="723">
        <v>1.5</v>
      </c>
      <c r="H154" s="740">
        <v>1.5</v>
      </c>
      <c r="I154" s="740">
        <v>1.5</v>
      </c>
      <c r="J154" s="540">
        <v>1.5</v>
      </c>
      <c r="K154" s="776">
        <f t="shared" si="66"/>
        <v>105000</v>
      </c>
      <c r="L154" s="777">
        <f t="shared" si="67"/>
        <v>105000</v>
      </c>
      <c r="M154" s="777">
        <f t="shared" si="68"/>
        <v>105000</v>
      </c>
      <c r="N154" s="776">
        <f t="shared" si="69"/>
        <v>105000</v>
      </c>
      <c r="O154" s="776">
        <f t="shared" si="70"/>
        <v>105000</v>
      </c>
      <c r="P154" s="778">
        <f t="shared" si="71"/>
        <v>105000</v>
      </c>
    </row>
    <row r="155" spans="1:16" ht="16.5" customHeight="1">
      <c r="A155" s="539">
        <v>5</v>
      </c>
      <c r="B155" s="797" t="s">
        <v>398</v>
      </c>
      <c r="C155" s="541" t="s">
        <v>66</v>
      </c>
      <c r="D155" s="611">
        <f>VLOOKUP(B155,GiaVL!$B$4:'GiaVL'!$D$159,3,0)</f>
        <v>1600000</v>
      </c>
      <c r="E155" s="540">
        <v>0.3</v>
      </c>
      <c r="F155" s="653">
        <v>0.3</v>
      </c>
      <c r="G155" s="653">
        <v>0.3</v>
      </c>
      <c r="H155" s="653">
        <v>0.3</v>
      </c>
      <c r="I155" s="653">
        <v>0.3</v>
      </c>
      <c r="J155" s="540">
        <v>0.3</v>
      </c>
      <c r="K155" s="776">
        <f t="shared" si="66"/>
        <v>480000</v>
      </c>
      <c r="L155" s="777">
        <f t="shared" si="67"/>
        <v>480000</v>
      </c>
      <c r="M155" s="777">
        <f t="shared" si="68"/>
        <v>480000</v>
      </c>
      <c r="N155" s="776">
        <f t="shared" si="69"/>
        <v>480000</v>
      </c>
      <c r="O155" s="776">
        <f t="shared" si="70"/>
        <v>480000</v>
      </c>
      <c r="P155" s="778">
        <f t="shared" si="71"/>
        <v>480000</v>
      </c>
    </row>
    <row r="156" spans="1:16" s="828" customFormat="1" ht="16.5" customHeight="1">
      <c r="A156" s="539">
        <v>6</v>
      </c>
      <c r="B156" s="871" t="s">
        <v>662</v>
      </c>
      <c r="C156" s="831" t="s">
        <v>134</v>
      </c>
      <c r="D156" s="611">
        <f>VLOOKUP(B156,GiaVL!$B$4:'GiaVL'!$D$169,3,0)</f>
        <v>1650</v>
      </c>
      <c r="E156" s="857">
        <v>2</v>
      </c>
      <c r="F156" s="857">
        <v>2</v>
      </c>
      <c r="G156" s="857">
        <v>2</v>
      </c>
      <c r="H156" s="857">
        <v>2</v>
      </c>
      <c r="I156" s="857">
        <v>2</v>
      </c>
      <c r="J156" s="857">
        <v>2</v>
      </c>
      <c r="K156" s="776">
        <f t="shared" ref="K156" si="78">$D156*E156</f>
        <v>3300</v>
      </c>
      <c r="L156" s="777">
        <f t="shared" ref="L156" si="79">$D156*F156</f>
        <v>3300</v>
      </c>
      <c r="M156" s="777">
        <f t="shared" ref="M156" si="80">$D156*G156</f>
        <v>3300</v>
      </c>
      <c r="N156" s="776">
        <f t="shared" ref="N156" si="81">$D156*H156</f>
        <v>3300</v>
      </c>
      <c r="O156" s="776">
        <f t="shared" ref="O156" si="82">$D156*I156</f>
        <v>3300</v>
      </c>
      <c r="P156" s="778">
        <f t="shared" ref="P156" si="83">$D156*J156</f>
        <v>3300</v>
      </c>
    </row>
    <row r="157" spans="1:16" ht="16.5" customHeight="1">
      <c r="A157" s="539">
        <v>7</v>
      </c>
      <c r="B157" s="540" t="s">
        <v>141</v>
      </c>
      <c r="C157" s="541" t="s">
        <v>116</v>
      </c>
      <c r="D157" s="611">
        <f>VLOOKUP(B157,GiaVL!$B$4:'GiaVL'!$D$159,3,0)</f>
        <v>10000</v>
      </c>
      <c r="E157" s="540">
        <v>0.1</v>
      </c>
      <c r="F157" s="653">
        <v>0.1</v>
      </c>
      <c r="G157" s="653">
        <v>0.1</v>
      </c>
      <c r="H157" s="740">
        <v>0.1</v>
      </c>
      <c r="I157" s="740">
        <v>0.1</v>
      </c>
      <c r="J157" s="540">
        <v>0.1</v>
      </c>
      <c r="K157" s="776">
        <f t="shared" si="66"/>
        <v>1000</v>
      </c>
      <c r="L157" s="777">
        <f t="shared" si="67"/>
        <v>1000</v>
      </c>
      <c r="M157" s="777">
        <f t="shared" si="68"/>
        <v>1000</v>
      </c>
      <c r="N157" s="776">
        <f t="shared" si="69"/>
        <v>1000</v>
      </c>
      <c r="O157" s="776">
        <f t="shared" si="70"/>
        <v>1000</v>
      </c>
      <c r="P157" s="778">
        <f t="shared" si="71"/>
        <v>1000</v>
      </c>
    </row>
    <row r="158" spans="1:16" s="828" customFormat="1" ht="16.5" customHeight="1">
      <c r="A158" s="539">
        <v>8</v>
      </c>
      <c r="B158" s="832" t="s">
        <v>661</v>
      </c>
      <c r="C158" s="831" t="s">
        <v>94</v>
      </c>
      <c r="D158" s="611">
        <f>VLOOKUP(B158,GiaVL!$B$4:'GiaVL'!$D$169,3,0)</f>
        <v>150000</v>
      </c>
      <c r="E158" s="832">
        <v>0.2</v>
      </c>
      <c r="F158" s="832">
        <v>0.2</v>
      </c>
      <c r="G158" s="832">
        <v>0.2</v>
      </c>
      <c r="H158" s="832">
        <v>0.2</v>
      </c>
      <c r="I158" s="832">
        <v>0.2</v>
      </c>
      <c r="J158" s="832">
        <v>0.2</v>
      </c>
      <c r="K158" s="776">
        <f t="shared" ref="K158" si="84">$D158*E158</f>
        <v>30000</v>
      </c>
      <c r="L158" s="777">
        <f t="shared" ref="L158" si="85">$D158*F158</f>
        <v>30000</v>
      </c>
      <c r="M158" s="777">
        <f t="shared" ref="M158" si="86">$D158*G158</f>
        <v>30000</v>
      </c>
      <c r="N158" s="776">
        <f t="shared" ref="N158" si="87">$D158*H158</f>
        <v>30000</v>
      </c>
      <c r="O158" s="776">
        <f t="shared" ref="O158" si="88">$D158*I158</f>
        <v>30000</v>
      </c>
      <c r="P158" s="778">
        <f t="shared" ref="P158" si="89">$D158*J158</f>
        <v>30000</v>
      </c>
    </row>
    <row r="159" spans="1:16" ht="16.5" customHeight="1">
      <c r="A159" s="547"/>
      <c r="B159" s="548" t="s">
        <v>520</v>
      </c>
      <c r="C159" s="549"/>
      <c r="D159" s="548"/>
      <c r="E159" s="548"/>
      <c r="F159" s="548"/>
      <c r="G159" s="548"/>
      <c r="H159" s="551"/>
      <c r="I159" s="551"/>
      <c r="J159" s="551"/>
      <c r="K159" s="780">
        <f>SUM(K151:K158)</f>
        <v>626800</v>
      </c>
      <c r="L159" s="780">
        <f t="shared" ref="L159:P159" si="90">SUM(L151:L158)</f>
        <v>626800</v>
      </c>
      <c r="M159" s="780">
        <f t="shared" si="90"/>
        <v>626800</v>
      </c>
      <c r="N159" s="780">
        <f t="shared" si="90"/>
        <v>626800</v>
      </c>
      <c r="O159" s="780">
        <f t="shared" si="90"/>
        <v>626800</v>
      </c>
      <c r="P159" s="781">
        <f t="shared" si="90"/>
        <v>626800</v>
      </c>
    </row>
    <row r="160" spans="1:16">
      <c r="A160" s="547"/>
      <c r="B160" s="548"/>
      <c r="C160" s="549"/>
      <c r="D160" s="548"/>
      <c r="E160" s="548"/>
      <c r="F160" s="548"/>
      <c r="G160" s="548"/>
      <c r="H160" s="551"/>
      <c r="I160" s="551"/>
      <c r="J160" s="780"/>
      <c r="K160" s="780"/>
      <c r="L160" s="780"/>
      <c r="M160" s="780"/>
      <c r="N160" s="780"/>
      <c r="O160" s="540"/>
      <c r="P160" s="803"/>
    </row>
    <row r="161" spans="1:18" ht="28.5" customHeight="1">
      <c r="A161" s="547"/>
      <c r="B161" s="1118" t="s">
        <v>419</v>
      </c>
      <c r="C161" s="1118"/>
      <c r="D161" s="1118"/>
      <c r="E161" s="1118"/>
      <c r="F161" s="1118"/>
      <c r="G161" s="1118"/>
      <c r="H161" s="1118"/>
      <c r="I161" s="1118"/>
      <c r="J161" s="1118"/>
      <c r="K161" s="1118"/>
      <c r="L161" s="1118"/>
      <c r="M161" s="1118"/>
      <c r="N161" s="1118"/>
      <c r="O161" s="1118"/>
      <c r="P161" s="1119"/>
      <c r="Q161" s="121"/>
      <c r="R161" s="121"/>
    </row>
    <row r="162" spans="1:18">
      <c r="A162" s="547"/>
      <c r="B162" s="634"/>
      <c r="C162" s="549"/>
      <c r="D162" s="548"/>
      <c r="E162" s="548"/>
      <c r="F162" s="548"/>
      <c r="G162" s="548"/>
      <c r="H162" s="551"/>
      <c r="I162" s="551"/>
      <c r="J162" s="780"/>
      <c r="K162" s="780"/>
      <c r="L162" s="780"/>
      <c r="M162" s="780"/>
      <c r="N162" s="780"/>
      <c r="O162" s="540"/>
      <c r="P162" s="803"/>
    </row>
    <row r="163" spans="1:18">
      <c r="A163" s="547"/>
      <c r="B163" s="548"/>
      <c r="C163" s="549"/>
      <c r="D163" s="548"/>
      <c r="E163" s="548"/>
      <c r="F163" s="548"/>
      <c r="G163" s="548"/>
      <c r="H163" s="551"/>
      <c r="I163" s="551"/>
      <c r="J163" s="780"/>
      <c r="K163" s="780"/>
      <c r="L163" s="780"/>
      <c r="M163" s="780"/>
      <c r="N163" s="780"/>
      <c r="O163" s="540"/>
      <c r="P163" s="803"/>
    </row>
    <row r="164" spans="1:18" s="15" customFormat="1" ht="16.5" customHeight="1">
      <c r="A164" s="555" t="s">
        <v>29</v>
      </c>
      <c r="B164" s="548" t="s">
        <v>295</v>
      </c>
      <c r="C164" s="549"/>
      <c r="D164" s="549"/>
      <c r="E164" s="549"/>
      <c r="F164" s="549"/>
      <c r="G164" s="549"/>
      <c r="H164" s="551"/>
      <c r="I164" s="551"/>
      <c r="J164" s="784"/>
      <c r="K164" s="784"/>
      <c r="L164" s="784"/>
      <c r="M164" s="784"/>
      <c r="N164" s="784"/>
      <c r="O164" s="549"/>
      <c r="P164" s="618"/>
    </row>
    <row r="165" spans="1:18" ht="16.5" customHeight="1">
      <c r="A165" s="539">
        <v>1</v>
      </c>
      <c r="B165" s="640" t="s">
        <v>160</v>
      </c>
      <c r="C165" s="541" t="s">
        <v>91</v>
      </c>
      <c r="D165" s="611">
        <f>VLOOKUP(B165,GiaVL!$B$4:'GiaVL'!$D$159,3,0)</f>
        <v>1000</v>
      </c>
      <c r="E165" s="540">
        <v>2</v>
      </c>
      <c r="F165" s="723"/>
      <c r="G165" s="723"/>
      <c r="H165" s="740"/>
      <c r="I165" s="740"/>
      <c r="J165" s="776">
        <f>$D165*E165</f>
        <v>2000</v>
      </c>
      <c r="K165" s="777">
        <f t="shared" ref="J165:N169" si="91">$D165*F165</f>
        <v>0</v>
      </c>
      <c r="L165" s="777">
        <f t="shared" si="91"/>
        <v>0</v>
      </c>
      <c r="M165" s="776">
        <f t="shared" si="91"/>
        <v>0</v>
      </c>
      <c r="N165" s="776">
        <f t="shared" si="91"/>
        <v>0</v>
      </c>
      <c r="O165" s="540"/>
      <c r="P165" s="803"/>
    </row>
    <row r="166" spans="1:18" ht="16.5" customHeight="1">
      <c r="A166" s="539">
        <v>2</v>
      </c>
      <c r="B166" s="640" t="s">
        <v>165</v>
      </c>
      <c r="C166" s="541" t="s">
        <v>139</v>
      </c>
      <c r="D166" s="611">
        <f>VLOOKUP(B166,GiaVL!$B$4:'GiaVL'!$D$159,3,0)</f>
        <v>70000</v>
      </c>
      <c r="E166" s="540">
        <v>0.3</v>
      </c>
      <c r="F166" s="723"/>
      <c r="G166" s="723"/>
      <c r="H166" s="740"/>
      <c r="I166" s="740"/>
      <c r="J166" s="776">
        <f t="shared" si="91"/>
        <v>21000</v>
      </c>
      <c r="K166" s="777">
        <f t="shared" si="91"/>
        <v>0</v>
      </c>
      <c r="L166" s="777">
        <f t="shared" si="91"/>
        <v>0</v>
      </c>
      <c r="M166" s="776">
        <f t="shared" si="91"/>
        <v>0</v>
      </c>
      <c r="N166" s="776">
        <f t="shared" si="91"/>
        <v>0</v>
      </c>
      <c r="O166" s="540"/>
      <c r="P166" s="803"/>
    </row>
    <row r="167" spans="1:18" ht="16.5" customHeight="1">
      <c r="A167" s="539">
        <v>3</v>
      </c>
      <c r="B167" s="797" t="s">
        <v>398</v>
      </c>
      <c r="C167" s="541" t="s">
        <v>66</v>
      </c>
      <c r="D167" s="611">
        <f>VLOOKUP(B167,GiaVL!$B$4:'GiaVL'!$D$159,3,0)</f>
        <v>1600000</v>
      </c>
      <c r="E167" s="540">
        <v>0.06</v>
      </c>
      <c r="F167" s="723"/>
      <c r="G167" s="723"/>
      <c r="H167" s="740"/>
      <c r="I167" s="740"/>
      <c r="J167" s="776">
        <f t="shared" si="91"/>
        <v>96000</v>
      </c>
      <c r="K167" s="777">
        <f t="shared" si="91"/>
        <v>0</v>
      </c>
      <c r="L167" s="777">
        <f t="shared" si="91"/>
        <v>0</v>
      </c>
      <c r="M167" s="776">
        <f t="shared" si="91"/>
        <v>0</v>
      </c>
      <c r="N167" s="776">
        <f t="shared" si="91"/>
        <v>0</v>
      </c>
      <c r="O167" s="540"/>
      <c r="P167" s="803"/>
    </row>
    <row r="168" spans="1:18" s="828" customFormat="1" ht="16.5" customHeight="1">
      <c r="A168" s="539">
        <v>4</v>
      </c>
      <c r="B168" s="871" t="s">
        <v>657</v>
      </c>
      <c r="C168" s="831" t="s">
        <v>116</v>
      </c>
      <c r="D168" s="611">
        <f>VLOOKUP(B168,GiaVL!$B$4:'GiaVL'!$D$159,3,0)</f>
        <v>28000</v>
      </c>
      <c r="E168" s="832">
        <v>0.05</v>
      </c>
      <c r="F168" s="858"/>
      <c r="G168" s="858"/>
      <c r="H168" s="856"/>
      <c r="I168" s="856"/>
      <c r="J168" s="776">
        <f t="shared" si="91"/>
        <v>1400</v>
      </c>
      <c r="K168" s="845"/>
      <c r="L168" s="845"/>
      <c r="M168" s="862"/>
      <c r="N168" s="862"/>
      <c r="O168" s="832"/>
      <c r="P168" s="872"/>
    </row>
    <row r="169" spans="1:18" ht="16.5" customHeight="1">
      <c r="A169" s="539">
        <v>5</v>
      </c>
      <c r="B169" s="640" t="s">
        <v>141</v>
      </c>
      <c r="C169" s="541" t="s">
        <v>116</v>
      </c>
      <c r="D169" s="611">
        <f>VLOOKUP(B169,GiaVL!$B$4:'GiaVL'!$D$159,3,0)</f>
        <v>10000</v>
      </c>
      <c r="E169" s="540">
        <v>0.01</v>
      </c>
      <c r="F169" s="653"/>
      <c r="G169" s="653"/>
      <c r="H169" s="740"/>
      <c r="I169" s="740"/>
      <c r="J169" s="776">
        <f>$D169*E169</f>
        <v>100</v>
      </c>
      <c r="K169" s="777">
        <f t="shared" si="91"/>
        <v>0</v>
      </c>
      <c r="L169" s="777">
        <f t="shared" si="91"/>
        <v>0</v>
      </c>
      <c r="M169" s="776">
        <f t="shared" si="91"/>
        <v>0</v>
      </c>
      <c r="N169" s="776">
        <f t="shared" si="91"/>
        <v>0</v>
      </c>
      <c r="O169" s="540"/>
      <c r="P169" s="803"/>
    </row>
    <row r="170" spans="1:18" ht="16.5" customHeight="1">
      <c r="A170" s="802"/>
      <c r="B170" s="548" t="s">
        <v>520</v>
      </c>
      <c r="C170" s="541"/>
      <c r="D170" s="540"/>
      <c r="E170" s="540"/>
      <c r="F170" s="548"/>
      <c r="G170" s="548"/>
      <c r="H170" s="551"/>
      <c r="I170" s="551"/>
      <c r="J170" s="780">
        <f>SUM(J165:J169)</f>
        <v>120500</v>
      </c>
      <c r="K170" s="780">
        <f>SUM(K165:K169)*1.08</f>
        <v>0</v>
      </c>
      <c r="L170" s="780">
        <f>SUM(L165:L169)*1.08</f>
        <v>0</v>
      </c>
      <c r="M170" s="780">
        <f>SUM(M165:M169)*1.08</f>
        <v>0</v>
      </c>
      <c r="N170" s="780">
        <f>SUM(N165:N169)*1.08</f>
        <v>0</v>
      </c>
      <c r="O170" s="540"/>
      <c r="P170" s="803"/>
    </row>
    <row r="171" spans="1:18">
      <c r="A171" s="547"/>
      <c r="B171" s="548"/>
      <c r="C171" s="549"/>
      <c r="D171" s="548"/>
      <c r="E171" s="548"/>
      <c r="F171" s="548"/>
      <c r="G171" s="548"/>
      <c r="H171" s="551"/>
      <c r="I171" s="551"/>
      <c r="J171" s="780"/>
      <c r="K171" s="780"/>
      <c r="L171" s="780"/>
      <c r="M171" s="780"/>
      <c r="N171" s="780"/>
      <c r="O171" s="540"/>
      <c r="P171" s="803"/>
    </row>
    <row r="172" spans="1:18" ht="28.5" customHeight="1">
      <c r="A172" s="547"/>
      <c r="B172" s="1118" t="s">
        <v>419</v>
      </c>
      <c r="C172" s="1118"/>
      <c r="D172" s="1118"/>
      <c r="E172" s="1118"/>
      <c r="F172" s="1118"/>
      <c r="G172" s="1118"/>
      <c r="H172" s="1118"/>
      <c r="I172" s="1118"/>
      <c r="J172" s="1118"/>
      <c r="K172" s="1118"/>
      <c r="L172" s="1118"/>
      <c r="M172" s="1118"/>
      <c r="N172" s="1118"/>
      <c r="O172" s="1118"/>
      <c r="P172" s="1119"/>
    </row>
    <row r="173" spans="1:18">
      <c r="A173" s="547"/>
      <c r="B173" s="634"/>
      <c r="C173" s="549"/>
      <c r="D173" s="548"/>
      <c r="E173" s="548"/>
      <c r="F173" s="548"/>
      <c r="G173" s="548"/>
      <c r="H173" s="551"/>
      <c r="I173" s="551"/>
      <c r="J173" s="780"/>
      <c r="K173" s="780"/>
      <c r="L173" s="780"/>
      <c r="M173" s="780"/>
      <c r="N173" s="780"/>
      <c r="O173" s="540"/>
      <c r="P173" s="803"/>
    </row>
    <row r="174" spans="1:18">
      <c r="A174" s="547"/>
      <c r="B174" s="548"/>
      <c r="C174" s="549"/>
      <c r="D174" s="548"/>
      <c r="E174" s="548"/>
      <c r="F174" s="548"/>
      <c r="G174" s="548"/>
      <c r="H174" s="551"/>
      <c r="I174" s="551"/>
      <c r="J174" s="780"/>
      <c r="K174" s="780"/>
      <c r="L174" s="780"/>
      <c r="M174" s="780"/>
      <c r="N174" s="780"/>
      <c r="O174" s="540"/>
      <c r="P174" s="803"/>
    </row>
    <row r="175" spans="1:18" s="15" customFormat="1" ht="16.5" customHeight="1">
      <c r="A175" s="555" t="s">
        <v>30</v>
      </c>
      <c r="B175" s="548" t="str">
        <f>TBi!B417</f>
        <v xml:space="preserve">Biên tập BĐĐC và in; xác nhận hồ sơ các cấp; giao nộp sản phẩm </v>
      </c>
      <c r="C175" s="549"/>
      <c r="D175" s="549"/>
      <c r="E175" s="549"/>
      <c r="F175" s="549"/>
      <c r="G175" s="549"/>
      <c r="H175" s="551"/>
      <c r="I175" s="551"/>
      <c r="J175" s="784"/>
      <c r="K175" s="784"/>
      <c r="L175" s="784"/>
      <c r="M175" s="784"/>
      <c r="N175" s="784"/>
      <c r="O175" s="549"/>
      <c r="P175" s="618"/>
    </row>
    <row r="176" spans="1:18" ht="16.5" customHeight="1">
      <c r="A176" s="539">
        <v>1</v>
      </c>
      <c r="B176" s="640" t="s">
        <v>168</v>
      </c>
      <c r="C176" s="541" t="s">
        <v>134</v>
      </c>
      <c r="D176" s="611">
        <f>VLOOKUP(B176,GiaVL!$B$4:'GiaVL'!$D$159,3,0)</f>
        <v>12000</v>
      </c>
      <c r="E176" s="540">
        <v>2</v>
      </c>
      <c r="F176" s="723">
        <v>2</v>
      </c>
      <c r="G176" s="723">
        <v>2</v>
      </c>
      <c r="H176" s="740">
        <v>2</v>
      </c>
      <c r="I176" s="740">
        <v>2</v>
      </c>
      <c r="J176" s="540">
        <v>2</v>
      </c>
      <c r="K176" s="776">
        <f t="shared" ref="K176:K180" si="92">$D176*E176</f>
        <v>24000</v>
      </c>
      <c r="L176" s="777">
        <f t="shared" ref="L176:L180" si="93">$D176*F176</f>
        <v>24000</v>
      </c>
      <c r="M176" s="777">
        <f t="shared" ref="M176:M180" si="94">$D176*G176</f>
        <v>24000</v>
      </c>
      <c r="N176" s="776">
        <f t="shared" ref="N176:N180" si="95">$D176*H176</f>
        <v>24000</v>
      </c>
      <c r="O176" s="776">
        <f t="shared" ref="O176:O180" si="96">$D176*I176</f>
        <v>24000</v>
      </c>
      <c r="P176" s="778">
        <f t="shared" ref="P176:P180" si="97">$D176*J176</f>
        <v>24000</v>
      </c>
    </row>
    <row r="177" spans="1:16" ht="16.5" customHeight="1">
      <c r="A177" s="539">
        <v>2</v>
      </c>
      <c r="B177" s="640" t="s">
        <v>165</v>
      </c>
      <c r="C177" s="541" t="s">
        <v>139</v>
      </c>
      <c r="D177" s="611">
        <f>VLOOKUP(B177,GiaVL!$B$4:'GiaVL'!$D$159,3,0)</f>
        <v>70000</v>
      </c>
      <c r="E177" s="540">
        <v>0.3</v>
      </c>
      <c r="F177" s="723">
        <v>0.3</v>
      </c>
      <c r="G177" s="723">
        <v>0.25</v>
      </c>
      <c r="H177" s="740">
        <v>0.2</v>
      </c>
      <c r="I177" s="740">
        <v>0.15</v>
      </c>
      <c r="J177" s="540">
        <v>0.15</v>
      </c>
      <c r="K177" s="776">
        <f t="shared" si="92"/>
        <v>21000</v>
      </c>
      <c r="L177" s="777">
        <f t="shared" si="93"/>
        <v>21000</v>
      </c>
      <c r="M177" s="777">
        <f t="shared" si="94"/>
        <v>17500</v>
      </c>
      <c r="N177" s="776">
        <f t="shared" si="95"/>
        <v>14000</v>
      </c>
      <c r="O177" s="776">
        <f t="shared" si="96"/>
        <v>10500</v>
      </c>
      <c r="P177" s="778">
        <f t="shared" si="97"/>
        <v>10500</v>
      </c>
    </row>
    <row r="178" spans="1:16" ht="16.5" customHeight="1">
      <c r="A178" s="539">
        <v>3</v>
      </c>
      <c r="B178" s="640" t="s">
        <v>578</v>
      </c>
      <c r="C178" s="541" t="s">
        <v>66</v>
      </c>
      <c r="D178" s="611">
        <f>VLOOKUP(B178,GiaVL!$B$4:'GiaVL'!$D$159,3,0)</f>
        <v>1600000</v>
      </c>
      <c r="E178" s="540">
        <v>0.06</v>
      </c>
      <c r="F178" s="723">
        <v>0.06</v>
      </c>
      <c r="G178" s="723">
        <v>0.05</v>
      </c>
      <c r="H178" s="740">
        <v>0.04</v>
      </c>
      <c r="I178" s="740">
        <v>0.03</v>
      </c>
      <c r="J178" s="540">
        <v>0.03</v>
      </c>
      <c r="K178" s="776">
        <f t="shared" si="92"/>
        <v>96000</v>
      </c>
      <c r="L178" s="777">
        <f t="shared" si="93"/>
        <v>96000</v>
      </c>
      <c r="M178" s="777">
        <f t="shared" si="94"/>
        <v>80000</v>
      </c>
      <c r="N178" s="776">
        <f t="shared" si="95"/>
        <v>64000</v>
      </c>
      <c r="O178" s="776">
        <f t="shared" si="96"/>
        <v>48000</v>
      </c>
      <c r="P178" s="778">
        <f t="shared" si="97"/>
        <v>48000</v>
      </c>
    </row>
    <row r="179" spans="1:16" ht="16.5" customHeight="1">
      <c r="A179" s="539">
        <v>4</v>
      </c>
      <c r="B179" s="640" t="s">
        <v>141</v>
      </c>
      <c r="C179" s="541" t="s">
        <v>116</v>
      </c>
      <c r="D179" s="611">
        <f>VLOOKUP(B179,GiaVL!$B$4:'GiaVL'!$D$159,3,0)</f>
        <v>10000</v>
      </c>
      <c r="E179" s="540">
        <v>0.1</v>
      </c>
      <c r="F179" s="653">
        <v>0.1</v>
      </c>
      <c r="G179" s="653">
        <v>0.1</v>
      </c>
      <c r="H179" s="740">
        <v>0.1</v>
      </c>
      <c r="I179" s="740">
        <v>0.1</v>
      </c>
      <c r="J179" s="540">
        <v>0.1</v>
      </c>
      <c r="K179" s="776">
        <f t="shared" si="92"/>
        <v>1000</v>
      </c>
      <c r="L179" s="777">
        <f t="shared" si="93"/>
        <v>1000</v>
      </c>
      <c r="M179" s="777">
        <f t="shared" si="94"/>
        <v>1000</v>
      </c>
      <c r="N179" s="776">
        <f t="shared" si="95"/>
        <v>1000</v>
      </c>
      <c r="O179" s="776">
        <f t="shared" si="96"/>
        <v>1000</v>
      </c>
      <c r="P179" s="778">
        <f t="shared" si="97"/>
        <v>1000</v>
      </c>
    </row>
    <row r="180" spans="1:16" ht="16.5" customHeight="1">
      <c r="A180" s="539">
        <v>5</v>
      </c>
      <c r="B180" s="6" t="s">
        <v>682</v>
      </c>
      <c r="C180" s="541" t="s">
        <v>167</v>
      </c>
      <c r="D180" s="611">
        <f>VLOOKUP(B180,GiaVL!$B$4:'GiaVL'!$D$159,3,0)</f>
        <v>605000</v>
      </c>
      <c r="E180" s="540">
        <v>0.02</v>
      </c>
      <c r="F180" s="653">
        <v>0.01</v>
      </c>
      <c r="G180" s="653">
        <v>3.0000000000000001E-3</v>
      </c>
      <c r="H180" s="740">
        <v>2E-3</v>
      </c>
      <c r="I180" s="740">
        <v>1E-3</v>
      </c>
      <c r="J180" s="540">
        <v>1E-3</v>
      </c>
      <c r="K180" s="776">
        <f t="shared" si="92"/>
        <v>12100</v>
      </c>
      <c r="L180" s="777">
        <f t="shared" si="93"/>
        <v>6050</v>
      </c>
      <c r="M180" s="777">
        <f t="shared" si="94"/>
        <v>1815</v>
      </c>
      <c r="N180" s="776">
        <f t="shared" si="95"/>
        <v>1210</v>
      </c>
      <c r="O180" s="776">
        <f t="shared" si="96"/>
        <v>605</v>
      </c>
      <c r="P180" s="778">
        <f t="shared" si="97"/>
        <v>605</v>
      </c>
    </row>
    <row r="181" spans="1:16" ht="18" customHeight="1" thickBot="1">
      <c r="A181" s="657"/>
      <c r="B181" s="729" t="s">
        <v>519</v>
      </c>
      <c r="C181" s="730"/>
      <c r="D181" s="729"/>
      <c r="E181" s="729"/>
      <c r="F181" s="729"/>
      <c r="G181" s="729"/>
      <c r="H181" s="806"/>
      <c r="I181" s="806"/>
      <c r="J181" s="806"/>
      <c r="K181" s="807">
        <f>SUM(K176:K180)</f>
        <v>154100</v>
      </c>
      <c r="L181" s="807">
        <f>SUM(L176:L180)/6.25</f>
        <v>23688</v>
      </c>
      <c r="M181" s="807">
        <f>SUM(M176:M180)/25</f>
        <v>4972.6000000000004</v>
      </c>
      <c r="N181" s="807">
        <f>SUM(N176:N180)/100</f>
        <v>1042.0999999999999</v>
      </c>
      <c r="O181" s="807">
        <f>SUM(O176:O180)/900</f>
        <v>93.45</v>
      </c>
      <c r="P181" s="808">
        <f>SUM(P176:P180)/3600</f>
        <v>23.362500000000001</v>
      </c>
    </row>
  </sheetData>
  <mergeCells count="40">
    <mergeCell ref="B73:P73"/>
    <mergeCell ref="E4:H4"/>
    <mergeCell ref="D46:D47"/>
    <mergeCell ref="A1:L1"/>
    <mergeCell ref="A34:A35"/>
    <mergeCell ref="B34:B35"/>
    <mergeCell ref="C34:C35"/>
    <mergeCell ref="D34:D35"/>
    <mergeCell ref="A4:A5"/>
    <mergeCell ref="D4:D5"/>
    <mergeCell ref="I4:L4"/>
    <mergeCell ref="E34:E35"/>
    <mergeCell ref="F34:F35"/>
    <mergeCell ref="A46:A47"/>
    <mergeCell ref="B46:B47"/>
    <mergeCell ref="A126:A127"/>
    <mergeCell ref="B126:B127"/>
    <mergeCell ref="C126:C127"/>
    <mergeCell ref="D126:D127"/>
    <mergeCell ref="B92:P92"/>
    <mergeCell ref="O107:P107"/>
    <mergeCell ref="A106:A108"/>
    <mergeCell ref="B106:B108"/>
    <mergeCell ref="C106:C108"/>
    <mergeCell ref="B172:P172"/>
    <mergeCell ref="B4:B5"/>
    <mergeCell ref="C4:C5"/>
    <mergeCell ref="E106:J106"/>
    <mergeCell ref="E107:H107"/>
    <mergeCell ref="I107:J107"/>
    <mergeCell ref="K106:P106"/>
    <mergeCell ref="D106:D108"/>
    <mergeCell ref="B120:J120"/>
    <mergeCell ref="K107:N107"/>
    <mergeCell ref="E126:E127"/>
    <mergeCell ref="F126:F127"/>
    <mergeCell ref="B161:P161"/>
    <mergeCell ref="C46:C47"/>
    <mergeCell ref="K46:P46"/>
    <mergeCell ref="E46:J46"/>
  </mergeCells>
  <phoneticPr fontId="0" type="noConversion"/>
  <printOptions horizontalCentered="1"/>
  <pageMargins left="0.27559055118110237" right="0.19685039370078741" top="0.70866141732283472" bottom="0.47244094488188981" header="0.51181102362204722" footer="0.35433070866141736"/>
  <pageSetup paperSize="9" scale="74" firstPageNumber="112" fitToHeight="0" orientation="landscape" useFirstPageNumber="1" horizontalDpi="4294967295" verticalDpi="4294967295" r:id="rId1"/>
  <headerFooter alignWithMargins="0"/>
  <ignoredErrors>
    <ignoredError sqref="D131 D153:D156 D140:D142"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440"/>
  <sheetViews>
    <sheetView topLeftCell="A115" zoomScale="110" zoomScaleNormal="110" workbookViewId="0">
      <selection activeCell="G128" sqref="G128"/>
    </sheetView>
  </sheetViews>
  <sheetFormatPr defaultRowHeight="15.5"/>
  <cols>
    <col min="1" max="1" width="4.4609375" style="212" customWidth="1"/>
    <col min="2" max="2" width="50.53515625" style="210" customWidth="1"/>
    <col min="3" max="3" width="7.07421875" style="212" customWidth="1"/>
    <col min="4" max="4" width="11.3046875" style="210" customWidth="1"/>
    <col min="5" max="5" width="11" style="210" customWidth="1"/>
    <col min="6" max="7" width="9" style="210"/>
    <col min="8" max="8" width="36.4609375" style="210" customWidth="1"/>
    <col min="9" max="10" width="9" style="210"/>
    <col min="11" max="12" width="11.53515625" style="210" bestFit="1" customWidth="1"/>
    <col min="13" max="254" width="9" style="210"/>
    <col min="255" max="255" width="4.4609375" style="210" customWidth="1"/>
    <col min="256" max="256" width="16.4609375" style="210" customWidth="1"/>
    <col min="257" max="257" width="7.07421875" style="210" customWidth="1"/>
    <col min="258" max="259" width="9.84375" style="210" customWidth="1"/>
    <col min="260" max="260" width="16.765625" style="210" customWidth="1"/>
    <col min="261" max="261" width="16.3046875" style="210" customWidth="1"/>
    <col min="262" max="510" width="9" style="210"/>
    <col min="511" max="511" width="4.4609375" style="210" customWidth="1"/>
    <col min="512" max="512" width="16.4609375" style="210" customWidth="1"/>
    <col min="513" max="513" width="7.07421875" style="210" customWidth="1"/>
    <col min="514" max="515" width="9.84375" style="210" customWidth="1"/>
    <col min="516" max="516" width="16.765625" style="210" customWidth="1"/>
    <col min="517" max="517" width="16.3046875" style="210" customWidth="1"/>
    <col min="518" max="766" width="9" style="210"/>
    <col min="767" max="767" width="4.4609375" style="210" customWidth="1"/>
    <col min="768" max="768" width="16.4609375" style="210" customWidth="1"/>
    <col min="769" max="769" width="7.07421875" style="210" customWidth="1"/>
    <col min="770" max="771" width="9.84375" style="210" customWidth="1"/>
    <col min="772" max="772" width="16.765625" style="210" customWidth="1"/>
    <col min="773" max="773" width="16.3046875" style="210" customWidth="1"/>
    <col min="774" max="1022" width="9" style="210"/>
    <col min="1023" max="1023" width="4.4609375" style="210" customWidth="1"/>
    <col min="1024" max="1024" width="16.4609375" style="210" customWidth="1"/>
    <col min="1025" max="1025" width="7.07421875" style="210" customWidth="1"/>
    <col min="1026" max="1027" width="9.84375" style="210" customWidth="1"/>
    <col min="1028" max="1028" width="16.765625" style="210" customWidth="1"/>
    <col min="1029" max="1029" width="16.3046875" style="210" customWidth="1"/>
    <col min="1030" max="1278" width="9" style="210"/>
    <col min="1279" max="1279" width="4.4609375" style="210" customWidth="1"/>
    <col min="1280" max="1280" width="16.4609375" style="210" customWidth="1"/>
    <col min="1281" max="1281" width="7.07421875" style="210" customWidth="1"/>
    <col min="1282" max="1283" width="9.84375" style="210" customWidth="1"/>
    <col min="1284" max="1284" width="16.765625" style="210" customWidth="1"/>
    <col min="1285" max="1285" width="16.3046875" style="210" customWidth="1"/>
    <col min="1286" max="1534" width="9" style="210"/>
    <col min="1535" max="1535" width="4.4609375" style="210" customWidth="1"/>
    <col min="1536" max="1536" width="16.4609375" style="210" customWidth="1"/>
    <col min="1537" max="1537" width="7.07421875" style="210" customWidth="1"/>
    <col min="1538" max="1539" width="9.84375" style="210" customWidth="1"/>
    <col min="1540" max="1540" width="16.765625" style="210" customWidth="1"/>
    <col min="1541" max="1541" width="16.3046875" style="210" customWidth="1"/>
    <col min="1542" max="1790" width="9" style="210"/>
    <col min="1791" max="1791" width="4.4609375" style="210" customWidth="1"/>
    <col min="1792" max="1792" width="16.4609375" style="210" customWidth="1"/>
    <col min="1793" max="1793" width="7.07421875" style="210" customWidth="1"/>
    <col min="1794" max="1795" width="9.84375" style="210" customWidth="1"/>
    <col min="1796" max="1796" width="16.765625" style="210" customWidth="1"/>
    <col min="1797" max="1797" width="16.3046875" style="210" customWidth="1"/>
    <col min="1798" max="2046" width="9" style="210"/>
    <col min="2047" max="2047" width="4.4609375" style="210" customWidth="1"/>
    <col min="2048" max="2048" width="16.4609375" style="210" customWidth="1"/>
    <col min="2049" max="2049" width="7.07421875" style="210" customWidth="1"/>
    <col min="2050" max="2051" width="9.84375" style="210" customWidth="1"/>
    <col min="2052" max="2052" width="16.765625" style="210" customWidth="1"/>
    <col min="2053" max="2053" width="16.3046875" style="210" customWidth="1"/>
    <col min="2054" max="2302" width="9" style="210"/>
    <col min="2303" max="2303" width="4.4609375" style="210" customWidth="1"/>
    <col min="2304" max="2304" width="16.4609375" style="210" customWidth="1"/>
    <col min="2305" max="2305" width="7.07421875" style="210" customWidth="1"/>
    <col min="2306" max="2307" width="9.84375" style="210" customWidth="1"/>
    <col min="2308" max="2308" width="16.765625" style="210" customWidth="1"/>
    <col min="2309" max="2309" width="16.3046875" style="210" customWidth="1"/>
    <col min="2310" max="2558" width="9" style="210"/>
    <col min="2559" max="2559" width="4.4609375" style="210" customWidth="1"/>
    <col min="2560" max="2560" width="16.4609375" style="210" customWidth="1"/>
    <col min="2561" max="2561" width="7.07421875" style="210" customWidth="1"/>
    <col min="2562" max="2563" width="9.84375" style="210" customWidth="1"/>
    <col min="2564" max="2564" width="16.765625" style="210" customWidth="1"/>
    <col min="2565" max="2565" width="16.3046875" style="210" customWidth="1"/>
    <col min="2566" max="2814" width="9" style="210"/>
    <col min="2815" max="2815" width="4.4609375" style="210" customWidth="1"/>
    <col min="2816" max="2816" width="16.4609375" style="210" customWidth="1"/>
    <col min="2817" max="2817" width="7.07421875" style="210" customWidth="1"/>
    <col min="2818" max="2819" width="9.84375" style="210" customWidth="1"/>
    <col min="2820" max="2820" width="16.765625" style="210" customWidth="1"/>
    <col min="2821" max="2821" width="16.3046875" style="210" customWidth="1"/>
    <col min="2822" max="3070" width="9" style="210"/>
    <col min="3071" max="3071" width="4.4609375" style="210" customWidth="1"/>
    <col min="3072" max="3072" width="16.4609375" style="210" customWidth="1"/>
    <col min="3073" max="3073" width="7.07421875" style="210" customWidth="1"/>
    <col min="3074" max="3075" width="9.84375" style="210" customWidth="1"/>
    <col min="3076" max="3076" width="16.765625" style="210" customWidth="1"/>
    <col min="3077" max="3077" width="16.3046875" style="210" customWidth="1"/>
    <col min="3078" max="3326" width="9" style="210"/>
    <col min="3327" max="3327" width="4.4609375" style="210" customWidth="1"/>
    <col min="3328" max="3328" width="16.4609375" style="210" customWidth="1"/>
    <col min="3329" max="3329" width="7.07421875" style="210" customWidth="1"/>
    <col min="3330" max="3331" width="9.84375" style="210" customWidth="1"/>
    <col min="3332" max="3332" width="16.765625" style="210" customWidth="1"/>
    <col min="3333" max="3333" width="16.3046875" style="210" customWidth="1"/>
    <col min="3334" max="3582" width="9" style="210"/>
    <col min="3583" max="3583" width="4.4609375" style="210" customWidth="1"/>
    <col min="3584" max="3584" width="16.4609375" style="210" customWidth="1"/>
    <col min="3585" max="3585" width="7.07421875" style="210" customWidth="1"/>
    <col min="3586" max="3587" width="9.84375" style="210" customWidth="1"/>
    <col min="3588" max="3588" width="16.765625" style="210" customWidth="1"/>
    <col min="3589" max="3589" width="16.3046875" style="210" customWidth="1"/>
    <col min="3590" max="3838" width="9" style="210"/>
    <col min="3839" max="3839" width="4.4609375" style="210" customWidth="1"/>
    <col min="3840" max="3840" width="16.4609375" style="210" customWidth="1"/>
    <col min="3841" max="3841" width="7.07421875" style="210" customWidth="1"/>
    <col min="3842" max="3843" width="9.84375" style="210" customWidth="1"/>
    <col min="3844" max="3844" width="16.765625" style="210" customWidth="1"/>
    <col min="3845" max="3845" width="16.3046875" style="210" customWidth="1"/>
    <col min="3846" max="4094" width="9" style="210"/>
    <col min="4095" max="4095" width="4.4609375" style="210" customWidth="1"/>
    <col min="4096" max="4096" width="16.4609375" style="210" customWidth="1"/>
    <col min="4097" max="4097" width="7.07421875" style="210" customWidth="1"/>
    <col min="4098" max="4099" width="9.84375" style="210" customWidth="1"/>
    <col min="4100" max="4100" width="16.765625" style="210" customWidth="1"/>
    <col min="4101" max="4101" width="16.3046875" style="210" customWidth="1"/>
    <col min="4102" max="4350" width="9" style="210"/>
    <col min="4351" max="4351" width="4.4609375" style="210" customWidth="1"/>
    <col min="4352" max="4352" width="16.4609375" style="210" customWidth="1"/>
    <col min="4353" max="4353" width="7.07421875" style="210" customWidth="1"/>
    <col min="4354" max="4355" width="9.84375" style="210" customWidth="1"/>
    <col min="4356" max="4356" width="16.765625" style="210" customWidth="1"/>
    <col min="4357" max="4357" width="16.3046875" style="210" customWidth="1"/>
    <col min="4358" max="4606" width="9" style="210"/>
    <col min="4607" max="4607" width="4.4609375" style="210" customWidth="1"/>
    <col min="4608" max="4608" width="16.4609375" style="210" customWidth="1"/>
    <col min="4609" max="4609" width="7.07421875" style="210" customWidth="1"/>
    <col min="4610" max="4611" width="9.84375" style="210" customWidth="1"/>
    <col min="4612" max="4612" width="16.765625" style="210" customWidth="1"/>
    <col min="4613" max="4613" width="16.3046875" style="210" customWidth="1"/>
    <col min="4614" max="4862" width="9" style="210"/>
    <col min="4863" max="4863" width="4.4609375" style="210" customWidth="1"/>
    <col min="4864" max="4864" width="16.4609375" style="210" customWidth="1"/>
    <col min="4865" max="4865" width="7.07421875" style="210" customWidth="1"/>
    <col min="4866" max="4867" width="9.84375" style="210" customWidth="1"/>
    <col min="4868" max="4868" width="16.765625" style="210" customWidth="1"/>
    <col min="4869" max="4869" width="16.3046875" style="210" customWidth="1"/>
    <col min="4870" max="5118" width="9" style="210"/>
    <col min="5119" max="5119" width="4.4609375" style="210" customWidth="1"/>
    <col min="5120" max="5120" width="16.4609375" style="210" customWidth="1"/>
    <col min="5121" max="5121" width="7.07421875" style="210" customWidth="1"/>
    <col min="5122" max="5123" width="9.84375" style="210" customWidth="1"/>
    <col min="5124" max="5124" width="16.765625" style="210" customWidth="1"/>
    <col min="5125" max="5125" width="16.3046875" style="210" customWidth="1"/>
    <col min="5126" max="5374" width="9" style="210"/>
    <col min="5375" max="5375" width="4.4609375" style="210" customWidth="1"/>
    <col min="5376" max="5376" width="16.4609375" style="210" customWidth="1"/>
    <col min="5377" max="5377" width="7.07421875" style="210" customWidth="1"/>
    <col min="5378" max="5379" width="9.84375" style="210" customWidth="1"/>
    <col min="5380" max="5380" width="16.765625" style="210" customWidth="1"/>
    <col min="5381" max="5381" width="16.3046875" style="210" customWidth="1"/>
    <col min="5382" max="5630" width="9" style="210"/>
    <col min="5631" max="5631" width="4.4609375" style="210" customWidth="1"/>
    <col min="5632" max="5632" width="16.4609375" style="210" customWidth="1"/>
    <col min="5633" max="5633" width="7.07421875" style="210" customWidth="1"/>
    <col min="5634" max="5635" width="9.84375" style="210" customWidth="1"/>
    <col min="5636" max="5636" width="16.765625" style="210" customWidth="1"/>
    <col min="5637" max="5637" width="16.3046875" style="210" customWidth="1"/>
    <col min="5638" max="5886" width="9" style="210"/>
    <col min="5887" max="5887" width="4.4609375" style="210" customWidth="1"/>
    <col min="5888" max="5888" width="16.4609375" style="210" customWidth="1"/>
    <col min="5889" max="5889" width="7.07421875" style="210" customWidth="1"/>
    <col min="5890" max="5891" width="9.84375" style="210" customWidth="1"/>
    <col min="5892" max="5892" width="16.765625" style="210" customWidth="1"/>
    <col min="5893" max="5893" width="16.3046875" style="210" customWidth="1"/>
    <col min="5894" max="6142" width="9" style="210"/>
    <col min="6143" max="6143" width="4.4609375" style="210" customWidth="1"/>
    <col min="6144" max="6144" width="16.4609375" style="210" customWidth="1"/>
    <col min="6145" max="6145" width="7.07421875" style="210" customWidth="1"/>
    <col min="6146" max="6147" width="9.84375" style="210" customWidth="1"/>
    <col min="6148" max="6148" width="16.765625" style="210" customWidth="1"/>
    <col min="6149" max="6149" width="16.3046875" style="210" customWidth="1"/>
    <col min="6150" max="6398" width="9" style="210"/>
    <col min="6399" max="6399" width="4.4609375" style="210" customWidth="1"/>
    <col min="6400" max="6400" width="16.4609375" style="210" customWidth="1"/>
    <col min="6401" max="6401" width="7.07421875" style="210" customWidth="1"/>
    <col min="6402" max="6403" width="9.84375" style="210" customWidth="1"/>
    <col min="6404" max="6404" width="16.765625" style="210" customWidth="1"/>
    <col min="6405" max="6405" width="16.3046875" style="210" customWidth="1"/>
    <col min="6406" max="6654" width="9" style="210"/>
    <col min="6655" max="6655" width="4.4609375" style="210" customWidth="1"/>
    <col min="6656" max="6656" width="16.4609375" style="210" customWidth="1"/>
    <col min="6657" max="6657" width="7.07421875" style="210" customWidth="1"/>
    <col min="6658" max="6659" width="9.84375" style="210" customWidth="1"/>
    <col min="6660" max="6660" width="16.765625" style="210" customWidth="1"/>
    <col min="6661" max="6661" width="16.3046875" style="210" customWidth="1"/>
    <col min="6662" max="6910" width="9" style="210"/>
    <col min="6911" max="6911" width="4.4609375" style="210" customWidth="1"/>
    <col min="6912" max="6912" width="16.4609375" style="210" customWidth="1"/>
    <col min="6913" max="6913" width="7.07421875" style="210" customWidth="1"/>
    <col min="6914" max="6915" width="9.84375" style="210" customWidth="1"/>
    <col min="6916" max="6916" width="16.765625" style="210" customWidth="1"/>
    <col min="6917" max="6917" width="16.3046875" style="210" customWidth="1"/>
    <col min="6918" max="7166" width="9" style="210"/>
    <col min="7167" max="7167" width="4.4609375" style="210" customWidth="1"/>
    <col min="7168" max="7168" width="16.4609375" style="210" customWidth="1"/>
    <col min="7169" max="7169" width="7.07421875" style="210" customWidth="1"/>
    <col min="7170" max="7171" width="9.84375" style="210" customWidth="1"/>
    <col min="7172" max="7172" width="16.765625" style="210" customWidth="1"/>
    <col min="7173" max="7173" width="16.3046875" style="210" customWidth="1"/>
    <col min="7174" max="7422" width="9" style="210"/>
    <col min="7423" max="7423" width="4.4609375" style="210" customWidth="1"/>
    <col min="7424" max="7424" width="16.4609375" style="210" customWidth="1"/>
    <col min="7425" max="7425" width="7.07421875" style="210" customWidth="1"/>
    <col min="7426" max="7427" width="9.84375" style="210" customWidth="1"/>
    <col min="7428" max="7428" width="16.765625" style="210" customWidth="1"/>
    <col min="7429" max="7429" width="16.3046875" style="210" customWidth="1"/>
    <col min="7430" max="7678" width="9" style="210"/>
    <col min="7679" max="7679" width="4.4609375" style="210" customWidth="1"/>
    <col min="7680" max="7680" width="16.4609375" style="210" customWidth="1"/>
    <col min="7681" max="7681" width="7.07421875" style="210" customWidth="1"/>
    <col min="7682" max="7683" width="9.84375" style="210" customWidth="1"/>
    <col min="7684" max="7684" width="16.765625" style="210" customWidth="1"/>
    <col min="7685" max="7685" width="16.3046875" style="210" customWidth="1"/>
    <col min="7686" max="7934" width="9" style="210"/>
    <col min="7935" max="7935" width="4.4609375" style="210" customWidth="1"/>
    <col min="7936" max="7936" width="16.4609375" style="210" customWidth="1"/>
    <col min="7937" max="7937" width="7.07421875" style="210" customWidth="1"/>
    <col min="7938" max="7939" width="9.84375" style="210" customWidth="1"/>
    <col min="7940" max="7940" width="16.765625" style="210" customWidth="1"/>
    <col min="7941" max="7941" width="16.3046875" style="210" customWidth="1"/>
    <col min="7942" max="8190" width="9" style="210"/>
    <col min="8191" max="8191" width="4.4609375" style="210" customWidth="1"/>
    <col min="8192" max="8192" width="16.4609375" style="210" customWidth="1"/>
    <col min="8193" max="8193" width="7.07421875" style="210" customWidth="1"/>
    <col min="8194" max="8195" width="9.84375" style="210" customWidth="1"/>
    <col min="8196" max="8196" width="16.765625" style="210" customWidth="1"/>
    <col min="8197" max="8197" width="16.3046875" style="210" customWidth="1"/>
    <col min="8198" max="8446" width="9" style="210"/>
    <col min="8447" max="8447" width="4.4609375" style="210" customWidth="1"/>
    <col min="8448" max="8448" width="16.4609375" style="210" customWidth="1"/>
    <col min="8449" max="8449" width="7.07421875" style="210" customWidth="1"/>
    <col min="8450" max="8451" width="9.84375" style="210" customWidth="1"/>
    <col min="8452" max="8452" width="16.765625" style="210" customWidth="1"/>
    <col min="8453" max="8453" width="16.3046875" style="210" customWidth="1"/>
    <col min="8454" max="8702" width="9" style="210"/>
    <col min="8703" max="8703" width="4.4609375" style="210" customWidth="1"/>
    <col min="8704" max="8704" width="16.4609375" style="210" customWidth="1"/>
    <col min="8705" max="8705" width="7.07421875" style="210" customWidth="1"/>
    <col min="8706" max="8707" width="9.84375" style="210" customWidth="1"/>
    <col min="8708" max="8708" width="16.765625" style="210" customWidth="1"/>
    <col min="8709" max="8709" width="16.3046875" style="210" customWidth="1"/>
    <col min="8710" max="8958" width="9" style="210"/>
    <col min="8959" max="8959" width="4.4609375" style="210" customWidth="1"/>
    <col min="8960" max="8960" width="16.4609375" style="210" customWidth="1"/>
    <col min="8961" max="8961" width="7.07421875" style="210" customWidth="1"/>
    <col min="8962" max="8963" width="9.84375" style="210" customWidth="1"/>
    <col min="8964" max="8964" width="16.765625" style="210" customWidth="1"/>
    <col min="8965" max="8965" width="16.3046875" style="210" customWidth="1"/>
    <col min="8966" max="9214" width="9" style="210"/>
    <col min="9215" max="9215" width="4.4609375" style="210" customWidth="1"/>
    <col min="9216" max="9216" width="16.4609375" style="210" customWidth="1"/>
    <col min="9217" max="9217" width="7.07421875" style="210" customWidth="1"/>
    <col min="9218" max="9219" width="9.84375" style="210" customWidth="1"/>
    <col min="9220" max="9220" width="16.765625" style="210" customWidth="1"/>
    <col min="9221" max="9221" width="16.3046875" style="210" customWidth="1"/>
    <col min="9222" max="9470" width="9" style="210"/>
    <col min="9471" max="9471" width="4.4609375" style="210" customWidth="1"/>
    <col min="9472" max="9472" width="16.4609375" style="210" customWidth="1"/>
    <col min="9473" max="9473" width="7.07421875" style="210" customWidth="1"/>
    <col min="9474" max="9475" width="9.84375" style="210" customWidth="1"/>
    <col min="9476" max="9476" width="16.765625" style="210" customWidth="1"/>
    <col min="9477" max="9477" width="16.3046875" style="210" customWidth="1"/>
    <col min="9478" max="9726" width="9" style="210"/>
    <col min="9727" max="9727" width="4.4609375" style="210" customWidth="1"/>
    <col min="9728" max="9728" width="16.4609375" style="210" customWidth="1"/>
    <col min="9729" max="9729" width="7.07421875" style="210" customWidth="1"/>
    <col min="9730" max="9731" width="9.84375" style="210" customWidth="1"/>
    <col min="9732" max="9732" width="16.765625" style="210" customWidth="1"/>
    <col min="9733" max="9733" width="16.3046875" style="210" customWidth="1"/>
    <col min="9734" max="9982" width="9" style="210"/>
    <col min="9983" max="9983" width="4.4609375" style="210" customWidth="1"/>
    <col min="9984" max="9984" width="16.4609375" style="210" customWidth="1"/>
    <col min="9985" max="9985" width="7.07421875" style="210" customWidth="1"/>
    <col min="9986" max="9987" width="9.84375" style="210" customWidth="1"/>
    <col min="9988" max="9988" width="16.765625" style="210" customWidth="1"/>
    <col min="9989" max="9989" width="16.3046875" style="210" customWidth="1"/>
    <col min="9990" max="10238" width="9" style="210"/>
    <col min="10239" max="10239" width="4.4609375" style="210" customWidth="1"/>
    <col min="10240" max="10240" width="16.4609375" style="210" customWidth="1"/>
    <col min="10241" max="10241" width="7.07421875" style="210" customWidth="1"/>
    <col min="10242" max="10243" width="9.84375" style="210" customWidth="1"/>
    <col min="10244" max="10244" width="16.765625" style="210" customWidth="1"/>
    <col min="10245" max="10245" width="16.3046875" style="210" customWidth="1"/>
    <col min="10246" max="10494" width="9" style="210"/>
    <col min="10495" max="10495" width="4.4609375" style="210" customWidth="1"/>
    <col min="10496" max="10496" width="16.4609375" style="210" customWidth="1"/>
    <col min="10497" max="10497" width="7.07421875" style="210" customWidth="1"/>
    <col min="10498" max="10499" width="9.84375" style="210" customWidth="1"/>
    <col min="10500" max="10500" width="16.765625" style="210" customWidth="1"/>
    <col min="10501" max="10501" width="16.3046875" style="210" customWidth="1"/>
    <col min="10502" max="10750" width="9" style="210"/>
    <col min="10751" max="10751" width="4.4609375" style="210" customWidth="1"/>
    <col min="10752" max="10752" width="16.4609375" style="210" customWidth="1"/>
    <col min="10753" max="10753" width="7.07421875" style="210" customWidth="1"/>
    <col min="10754" max="10755" width="9.84375" style="210" customWidth="1"/>
    <col min="10756" max="10756" width="16.765625" style="210" customWidth="1"/>
    <col min="10757" max="10757" width="16.3046875" style="210" customWidth="1"/>
    <col min="10758" max="11006" width="9" style="210"/>
    <col min="11007" max="11007" width="4.4609375" style="210" customWidth="1"/>
    <col min="11008" max="11008" width="16.4609375" style="210" customWidth="1"/>
    <col min="11009" max="11009" width="7.07421875" style="210" customWidth="1"/>
    <col min="11010" max="11011" width="9.84375" style="210" customWidth="1"/>
    <col min="11012" max="11012" width="16.765625" style="210" customWidth="1"/>
    <col min="11013" max="11013" width="16.3046875" style="210" customWidth="1"/>
    <col min="11014" max="11262" width="9" style="210"/>
    <col min="11263" max="11263" width="4.4609375" style="210" customWidth="1"/>
    <col min="11264" max="11264" width="16.4609375" style="210" customWidth="1"/>
    <col min="11265" max="11265" width="7.07421875" style="210" customWidth="1"/>
    <col min="11266" max="11267" width="9.84375" style="210" customWidth="1"/>
    <col min="11268" max="11268" width="16.765625" style="210" customWidth="1"/>
    <col min="11269" max="11269" width="16.3046875" style="210" customWidth="1"/>
    <col min="11270" max="11518" width="9" style="210"/>
    <col min="11519" max="11519" width="4.4609375" style="210" customWidth="1"/>
    <col min="11520" max="11520" width="16.4609375" style="210" customWidth="1"/>
    <col min="11521" max="11521" width="7.07421875" style="210" customWidth="1"/>
    <col min="11522" max="11523" width="9.84375" style="210" customWidth="1"/>
    <col min="11524" max="11524" width="16.765625" style="210" customWidth="1"/>
    <col min="11525" max="11525" width="16.3046875" style="210" customWidth="1"/>
    <col min="11526" max="11774" width="9" style="210"/>
    <col min="11775" max="11775" width="4.4609375" style="210" customWidth="1"/>
    <col min="11776" max="11776" width="16.4609375" style="210" customWidth="1"/>
    <col min="11777" max="11777" width="7.07421875" style="210" customWidth="1"/>
    <col min="11778" max="11779" width="9.84375" style="210" customWidth="1"/>
    <col min="11780" max="11780" width="16.765625" style="210" customWidth="1"/>
    <col min="11781" max="11781" width="16.3046875" style="210" customWidth="1"/>
    <col min="11782" max="12030" width="9" style="210"/>
    <col min="12031" max="12031" width="4.4609375" style="210" customWidth="1"/>
    <col min="12032" max="12032" width="16.4609375" style="210" customWidth="1"/>
    <col min="12033" max="12033" width="7.07421875" style="210" customWidth="1"/>
    <col min="12034" max="12035" width="9.84375" style="210" customWidth="1"/>
    <col min="12036" max="12036" width="16.765625" style="210" customWidth="1"/>
    <col min="12037" max="12037" width="16.3046875" style="210" customWidth="1"/>
    <col min="12038" max="12286" width="9" style="210"/>
    <col min="12287" max="12287" width="4.4609375" style="210" customWidth="1"/>
    <col min="12288" max="12288" width="16.4609375" style="210" customWidth="1"/>
    <col min="12289" max="12289" width="7.07421875" style="210" customWidth="1"/>
    <col min="12290" max="12291" width="9.84375" style="210" customWidth="1"/>
    <col min="12292" max="12292" width="16.765625" style="210" customWidth="1"/>
    <col min="12293" max="12293" width="16.3046875" style="210" customWidth="1"/>
    <col min="12294" max="12542" width="9" style="210"/>
    <col min="12543" max="12543" width="4.4609375" style="210" customWidth="1"/>
    <col min="12544" max="12544" width="16.4609375" style="210" customWidth="1"/>
    <col min="12545" max="12545" width="7.07421875" style="210" customWidth="1"/>
    <col min="12546" max="12547" width="9.84375" style="210" customWidth="1"/>
    <col min="12548" max="12548" width="16.765625" style="210" customWidth="1"/>
    <col min="12549" max="12549" width="16.3046875" style="210" customWidth="1"/>
    <col min="12550" max="12798" width="9" style="210"/>
    <col min="12799" max="12799" width="4.4609375" style="210" customWidth="1"/>
    <col min="12800" max="12800" width="16.4609375" style="210" customWidth="1"/>
    <col min="12801" max="12801" width="7.07421875" style="210" customWidth="1"/>
    <col min="12802" max="12803" width="9.84375" style="210" customWidth="1"/>
    <col min="12804" max="12804" width="16.765625" style="210" customWidth="1"/>
    <col min="12805" max="12805" width="16.3046875" style="210" customWidth="1"/>
    <col min="12806" max="13054" width="9" style="210"/>
    <col min="13055" max="13055" width="4.4609375" style="210" customWidth="1"/>
    <col min="13056" max="13056" width="16.4609375" style="210" customWidth="1"/>
    <col min="13057" max="13057" width="7.07421875" style="210" customWidth="1"/>
    <col min="13058" max="13059" width="9.84375" style="210" customWidth="1"/>
    <col min="13060" max="13060" width="16.765625" style="210" customWidth="1"/>
    <col min="13061" max="13061" width="16.3046875" style="210" customWidth="1"/>
    <col min="13062" max="13310" width="9" style="210"/>
    <col min="13311" max="13311" width="4.4609375" style="210" customWidth="1"/>
    <col min="13312" max="13312" width="16.4609375" style="210" customWidth="1"/>
    <col min="13313" max="13313" width="7.07421875" style="210" customWidth="1"/>
    <col min="13314" max="13315" width="9.84375" style="210" customWidth="1"/>
    <col min="13316" max="13316" width="16.765625" style="210" customWidth="1"/>
    <col min="13317" max="13317" width="16.3046875" style="210" customWidth="1"/>
    <col min="13318" max="13566" width="9" style="210"/>
    <col min="13567" max="13567" width="4.4609375" style="210" customWidth="1"/>
    <col min="13568" max="13568" width="16.4609375" style="210" customWidth="1"/>
    <col min="13569" max="13569" width="7.07421875" style="210" customWidth="1"/>
    <col min="13570" max="13571" width="9.84375" style="210" customWidth="1"/>
    <col min="13572" max="13572" width="16.765625" style="210" customWidth="1"/>
    <col min="13573" max="13573" width="16.3046875" style="210" customWidth="1"/>
    <col min="13574" max="13822" width="9" style="210"/>
    <col min="13823" max="13823" width="4.4609375" style="210" customWidth="1"/>
    <col min="13824" max="13824" width="16.4609375" style="210" customWidth="1"/>
    <col min="13825" max="13825" width="7.07421875" style="210" customWidth="1"/>
    <col min="13826" max="13827" width="9.84375" style="210" customWidth="1"/>
    <col min="13828" max="13828" width="16.765625" style="210" customWidth="1"/>
    <col min="13829" max="13829" width="16.3046875" style="210" customWidth="1"/>
    <col min="13830" max="14078" width="9" style="210"/>
    <col min="14079" max="14079" width="4.4609375" style="210" customWidth="1"/>
    <col min="14080" max="14080" width="16.4609375" style="210" customWidth="1"/>
    <col min="14081" max="14081" width="7.07421875" style="210" customWidth="1"/>
    <col min="14082" max="14083" width="9.84375" style="210" customWidth="1"/>
    <col min="14084" max="14084" width="16.765625" style="210" customWidth="1"/>
    <col min="14085" max="14085" width="16.3046875" style="210" customWidth="1"/>
    <col min="14086" max="14334" width="9" style="210"/>
    <col min="14335" max="14335" width="4.4609375" style="210" customWidth="1"/>
    <col min="14336" max="14336" width="16.4609375" style="210" customWidth="1"/>
    <col min="14337" max="14337" width="7.07421875" style="210" customWidth="1"/>
    <col min="14338" max="14339" width="9.84375" style="210" customWidth="1"/>
    <col min="14340" max="14340" width="16.765625" style="210" customWidth="1"/>
    <col min="14341" max="14341" width="16.3046875" style="210" customWidth="1"/>
    <col min="14342" max="14590" width="9" style="210"/>
    <col min="14591" max="14591" width="4.4609375" style="210" customWidth="1"/>
    <col min="14592" max="14592" width="16.4609375" style="210" customWidth="1"/>
    <col min="14593" max="14593" width="7.07421875" style="210" customWidth="1"/>
    <col min="14594" max="14595" width="9.84375" style="210" customWidth="1"/>
    <col min="14596" max="14596" width="16.765625" style="210" customWidth="1"/>
    <col min="14597" max="14597" width="16.3046875" style="210" customWidth="1"/>
    <col min="14598" max="14846" width="9" style="210"/>
    <col min="14847" max="14847" width="4.4609375" style="210" customWidth="1"/>
    <col min="14848" max="14848" width="16.4609375" style="210" customWidth="1"/>
    <col min="14849" max="14849" width="7.07421875" style="210" customWidth="1"/>
    <col min="14850" max="14851" width="9.84375" style="210" customWidth="1"/>
    <col min="14852" max="14852" width="16.765625" style="210" customWidth="1"/>
    <col min="14853" max="14853" width="16.3046875" style="210" customWidth="1"/>
    <col min="14854" max="15102" width="9" style="210"/>
    <col min="15103" max="15103" width="4.4609375" style="210" customWidth="1"/>
    <col min="15104" max="15104" width="16.4609375" style="210" customWidth="1"/>
    <col min="15105" max="15105" width="7.07421875" style="210" customWidth="1"/>
    <col min="15106" max="15107" width="9.84375" style="210" customWidth="1"/>
    <col min="15108" max="15108" width="16.765625" style="210" customWidth="1"/>
    <col min="15109" max="15109" width="16.3046875" style="210" customWidth="1"/>
    <col min="15110" max="15358" width="9" style="210"/>
    <col min="15359" max="15359" width="4.4609375" style="210" customWidth="1"/>
    <col min="15360" max="15360" width="16.4609375" style="210" customWidth="1"/>
    <col min="15361" max="15361" width="7.07421875" style="210" customWidth="1"/>
    <col min="15362" max="15363" width="9.84375" style="210" customWidth="1"/>
    <col min="15364" max="15364" width="16.765625" style="210" customWidth="1"/>
    <col min="15365" max="15365" width="16.3046875" style="210" customWidth="1"/>
    <col min="15366" max="15614" width="9" style="210"/>
    <col min="15615" max="15615" width="4.4609375" style="210" customWidth="1"/>
    <col min="15616" max="15616" width="16.4609375" style="210" customWidth="1"/>
    <col min="15617" max="15617" width="7.07421875" style="210" customWidth="1"/>
    <col min="15618" max="15619" width="9.84375" style="210" customWidth="1"/>
    <col min="15620" max="15620" width="16.765625" style="210" customWidth="1"/>
    <col min="15621" max="15621" width="16.3046875" style="210" customWidth="1"/>
    <col min="15622" max="15870" width="9" style="210"/>
    <col min="15871" max="15871" width="4.4609375" style="210" customWidth="1"/>
    <col min="15872" max="15872" width="16.4609375" style="210" customWidth="1"/>
    <col min="15873" max="15873" width="7.07421875" style="210" customWidth="1"/>
    <col min="15874" max="15875" width="9.84375" style="210" customWidth="1"/>
    <col min="15876" max="15876" width="16.765625" style="210" customWidth="1"/>
    <col min="15877" max="15877" width="16.3046875" style="210" customWidth="1"/>
    <col min="15878" max="16126" width="9" style="210"/>
    <col min="16127" max="16127" width="4.4609375" style="210" customWidth="1"/>
    <col min="16128" max="16128" width="16.4609375" style="210" customWidth="1"/>
    <col min="16129" max="16129" width="7.07421875" style="210" customWidth="1"/>
    <col min="16130" max="16131" width="9.84375" style="210" customWidth="1"/>
    <col min="16132" max="16132" width="16.765625" style="210" customWidth="1"/>
    <col min="16133" max="16133" width="16.3046875" style="210" customWidth="1"/>
    <col min="16134" max="16381" width="9" style="210"/>
    <col min="16382" max="16384" width="9" style="210" customWidth="1"/>
  </cols>
  <sheetData>
    <row r="1" spans="1:5" ht="23.25" customHeight="1">
      <c r="A1" s="1184" t="s">
        <v>586</v>
      </c>
      <c r="B1" s="1184"/>
      <c r="C1" s="1184"/>
      <c r="D1" s="1184"/>
      <c r="E1" s="1184"/>
    </row>
    <row r="2" spans="1:5">
      <c r="A2" s="208"/>
      <c r="B2" s="209"/>
      <c r="C2" s="208"/>
      <c r="D2" s="209"/>
      <c r="E2" s="209"/>
    </row>
    <row r="3" spans="1:5" ht="42.75" customHeight="1">
      <c r="A3" s="289" t="s">
        <v>2</v>
      </c>
      <c r="B3" s="289" t="s">
        <v>540</v>
      </c>
      <c r="C3" s="289" t="s">
        <v>70</v>
      </c>
      <c r="D3" s="1001" t="s">
        <v>613</v>
      </c>
      <c r="E3" s="290" t="s">
        <v>80</v>
      </c>
    </row>
    <row r="4" spans="1:5" s="211" customFormat="1" ht="14">
      <c r="A4" s="292">
        <v>1</v>
      </c>
      <c r="B4" s="283" t="s">
        <v>171</v>
      </c>
      <c r="C4" s="292" t="s">
        <v>91</v>
      </c>
      <c r="D4" s="815">
        <f t="shared" ref="D4:D13" si="0">VLOOKUP(B4,$H$170:$L$440,5,0)</f>
        <v>150000</v>
      </c>
      <c r="E4" s="296">
        <f>D4*1</f>
        <v>150000</v>
      </c>
    </row>
    <row r="5" spans="1:5" s="211" customFormat="1" ht="14">
      <c r="A5" s="292">
        <v>2</v>
      </c>
      <c r="B5" s="288" t="s">
        <v>92</v>
      </c>
      <c r="C5" s="292" t="s">
        <v>91</v>
      </c>
      <c r="D5" s="815">
        <f t="shared" si="0"/>
        <v>100000</v>
      </c>
      <c r="E5" s="296">
        <f t="shared" ref="E5:E68" si="1">D5*1</f>
        <v>100000</v>
      </c>
    </row>
    <row r="6" spans="1:5" s="211" customFormat="1" ht="14">
      <c r="A6" s="292">
        <v>3</v>
      </c>
      <c r="B6" s="286" t="s">
        <v>90</v>
      </c>
      <c r="C6" s="292" t="s">
        <v>91</v>
      </c>
      <c r="D6" s="815">
        <f t="shared" si="0"/>
        <v>210000</v>
      </c>
      <c r="E6" s="296">
        <f t="shared" si="1"/>
        <v>210000</v>
      </c>
    </row>
    <row r="7" spans="1:5" s="211" customFormat="1" ht="14">
      <c r="A7" s="292">
        <v>4</v>
      </c>
      <c r="B7" s="283" t="s">
        <v>597</v>
      </c>
      <c r="C7" s="292" t="s">
        <v>91</v>
      </c>
      <c r="D7" s="815">
        <f t="shared" si="0"/>
        <v>240000</v>
      </c>
      <c r="E7" s="296">
        <f t="shared" si="1"/>
        <v>240000</v>
      </c>
    </row>
    <row r="8" spans="1:5" s="211" customFormat="1" ht="14">
      <c r="A8" s="292">
        <v>5</v>
      </c>
      <c r="B8" s="284" t="s">
        <v>541</v>
      </c>
      <c r="C8" s="292" t="s">
        <v>91</v>
      </c>
      <c r="D8" s="815">
        <f t="shared" si="0"/>
        <v>37000</v>
      </c>
      <c r="E8" s="296">
        <f t="shared" si="1"/>
        <v>37000</v>
      </c>
    </row>
    <row r="9" spans="1:5" s="211" customFormat="1" ht="14">
      <c r="A9" s="292">
        <v>6</v>
      </c>
      <c r="B9" s="286" t="s">
        <v>542</v>
      </c>
      <c r="C9" s="292" t="s">
        <v>91</v>
      </c>
      <c r="D9" s="815">
        <f t="shared" si="0"/>
        <v>185000</v>
      </c>
      <c r="E9" s="296">
        <f t="shared" si="1"/>
        <v>185000</v>
      </c>
    </row>
    <row r="10" spans="1:5" s="211" customFormat="1" ht="14">
      <c r="A10" s="292">
        <v>7</v>
      </c>
      <c r="B10" s="286" t="s">
        <v>133</v>
      </c>
      <c r="C10" s="292" t="s">
        <v>134</v>
      </c>
      <c r="D10" s="815">
        <f t="shared" si="0"/>
        <v>400000</v>
      </c>
      <c r="E10" s="296">
        <f t="shared" si="1"/>
        <v>400000</v>
      </c>
    </row>
    <row r="11" spans="1:5" s="211" customFormat="1" ht="14">
      <c r="A11" s="292">
        <v>8</v>
      </c>
      <c r="B11" s="284" t="s">
        <v>543</v>
      </c>
      <c r="C11" s="292" t="s">
        <v>91</v>
      </c>
      <c r="D11" s="815">
        <f t="shared" si="0"/>
        <v>100000</v>
      </c>
      <c r="E11" s="296">
        <f t="shared" si="1"/>
        <v>100000</v>
      </c>
    </row>
    <row r="12" spans="1:5" s="211" customFormat="1" ht="14">
      <c r="A12" s="292">
        <v>9</v>
      </c>
      <c r="B12" s="283" t="s">
        <v>286</v>
      </c>
      <c r="C12" s="292" t="s">
        <v>91</v>
      </c>
      <c r="D12" s="815">
        <f t="shared" si="0"/>
        <v>1500000</v>
      </c>
      <c r="E12" s="296">
        <f t="shared" si="1"/>
        <v>1500000</v>
      </c>
    </row>
    <row r="13" spans="1:5" s="211" customFormat="1" ht="14">
      <c r="A13" s="292">
        <v>10</v>
      </c>
      <c r="B13" s="283" t="s">
        <v>258</v>
      </c>
      <c r="C13" s="292" t="s">
        <v>91</v>
      </c>
      <c r="D13" s="815">
        <f t="shared" si="0"/>
        <v>1660000</v>
      </c>
      <c r="E13" s="296">
        <f t="shared" si="1"/>
        <v>1660000</v>
      </c>
    </row>
    <row r="14" spans="1:5" s="211" customFormat="1" ht="14">
      <c r="A14" s="292">
        <v>11</v>
      </c>
      <c r="B14" s="286" t="s">
        <v>544</v>
      </c>
      <c r="C14" s="292" t="s">
        <v>136</v>
      </c>
      <c r="D14" s="815">
        <f>D15</f>
        <v>10000</v>
      </c>
      <c r="E14" s="296">
        <f t="shared" si="1"/>
        <v>10000</v>
      </c>
    </row>
    <row r="15" spans="1:5" s="211" customFormat="1" ht="14">
      <c r="A15" s="292">
        <v>12</v>
      </c>
      <c r="B15" s="286" t="s">
        <v>135</v>
      </c>
      <c r="C15" s="292" t="s">
        <v>136</v>
      </c>
      <c r="D15" s="815">
        <f t="shared" ref="D15:D43" si="2">VLOOKUP(B15,$H$170:$L$440,5,0)</f>
        <v>10000</v>
      </c>
      <c r="E15" s="296">
        <f t="shared" si="1"/>
        <v>10000</v>
      </c>
    </row>
    <row r="16" spans="1:5" s="211" customFormat="1" ht="14">
      <c r="A16" s="292">
        <v>13</v>
      </c>
      <c r="B16" s="283" t="s">
        <v>160</v>
      </c>
      <c r="C16" s="292" t="s">
        <v>134</v>
      </c>
      <c r="D16" s="815">
        <f t="shared" si="2"/>
        <v>1000</v>
      </c>
      <c r="E16" s="296">
        <f t="shared" si="1"/>
        <v>1000</v>
      </c>
    </row>
    <row r="17" spans="1:5" s="211" customFormat="1" ht="14">
      <c r="A17" s="292">
        <v>14</v>
      </c>
      <c r="B17" s="286" t="s">
        <v>228</v>
      </c>
      <c r="C17" s="292" t="s">
        <v>91</v>
      </c>
      <c r="D17" s="815">
        <f t="shared" si="2"/>
        <v>175000</v>
      </c>
      <c r="E17" s="296">
        <f t="shared" si="1"/>
        <v>175000</v>
      </c>
    </row>
    <row r="18" spans="1:5" s="281" customFormat="1" ht="14">
      <c r="A18" s="292">
        <v>15</v>
      </c>
      <c r="B18" s="293" t="s">
        <v>591</v>
      </c>
      <c r="C18" s="294" t="s">
        <v>94</v>
      </c>
      <c r="D18" s="815">
        <f t="shared" si="2"/>
        <v>1100000</v>
      </c>
      <c r="E18" s="296">
        <f t="shared" si="1"/>
        <v>1100000</v>
      </c>
    </row>
    <row r="19" spans="1:5" s="211" customFormat="1" ht="14">
      <c r="A19" s="292">
        <v>16</v>
      </c>
      <c r="B19" s="286" t="s">
        <v>93</v>
      </c>
      <c r="C19" s="292" t="s">
        <v>94</v>
      </c>
      <c r="D19" s="815">
        <f t="shared" si="2"/>
        <v>159000</v>
      </c>
      <c r="E19" s="296">
        <f t="shared" si="1"/>
        <v>159000</v>
      </c>
    </row>
    <row r="20" spans="1:5" s="211" customFormat="1" ht="14">
      <c r="A20" s="292">
        <v>17</v>
      </c>
      <c r="B20" s="286" t="s">
        <v>393</v>
      </c>
      <c r="C20" s="292" t="s">
        <v>94</v>
      </c>
      <c r="D20" s="815">
        <f t="shared" si="2"/>
        <v>50000</v>
      </c>
      <c r="E20" s="296">
        <f t="shared" si="1"/>
        <v>50000</v>
      </c>
    </row>
    <row r="21" spans="1:5" s="211" customFormat="1" ht="14">
      <c r="A21" s="292">
        <v>18</v>
      </c>
      <c r="B21" s="286" t="s">
        <v>222</v>
      </c>
      <c r="C21" s="292" t="s">
        <v>91</v>
      </c>
      <c r="D21" s="815">
        <f t="shared" si="2"/>
        <v>83000</v>
      </c>
      <c r="E21" s="296">
        <f t="shared" si="1"/>
        <v>83000</v>
      </c>
    </row>
    <row r="22" spans="1:5" s="211" customFormat="1" ht="14">
      <c r="A22" s="292">
        <v>19</v>
      </c>
      <c r="B22" s="286" t="s">
        <v>545</v>
      </c>
      <c r="C22" s="292" t="s">
        <v>91</v>
      </c>
      <c r="D22" s="815">
        <f t="shared" si="2"/>
        <v>5000</v>
      </c>
      <c r="E22" s="296">
        <f t="shared" si="1"/>
        <v>5000</v>
      </c>
    </row>
    <row r="23" spans="1:5" s="211" customFormat="1" ht="14">
      <c r="A23" s="292">
        <v>20</v>
      </c>
      <c r="B23" s="286" t="s">
        <v>279</v>
      </c>
      <c r="C23" s="292" t="s">
        <v>91</v>
      </c>
      <c r="D23" s="815">
        <f t="shared" si="2"/>
        <v>2700</v>
      </c>
      <c r="E23" s="296">
        <f t="shared" si="1"/>
        <v>2700</v>
      </c>
    </row>
    <row r="24" spans="1:5" s="211" customFormat="1" ht="14">
      <c r="A24" s="292">
        <v>21</v>
      </c>
      <c r="B24" s="286" t="s">
        <v>546</v>
      </c>
      <c r="C24" s="292" t="s">
        <v>91</v>
      </c>
      <c r="D24" s="815">
        <f t="shared" si="2"/>
        <v>10000</v>
      </c>
      <c r="E24" s="296">
        <f t="shared" si="1"/>
        <v>10000</v>
      </c>
    </row>
    <row r="25" spans="1:5" s="211" customFormat="1" ht="14">
      <c r="A25" s="292">
        <v>22</v>
      </c>
      <c r="B25" s="286" t="s">
        <v>547</v>
      </c>
      <c r="C25" s="292" t="s">
        <v>91</v>
      </c>
      <c r="D25" s="815">
        <f t="shared" si="2"/>
        <v>20000</v>
      </c>
      <c r="E25" s="296">
        <f t="shared" si="1"/>
        <v>20000</v>
      </c>
    </row>
    <row r="26" spans="1:5" s="211" customFormat="1" ht="14">
      <c r="A26" s="292">
        <v>23</v>
      </c>
      <c r="B26" s="288" t="s">
        <v>143</v>
      </c>
      <c r="C26" s="292" t="s">
        <v>549</v>
      </c>
      <c r="D26" s="815">
        <f t="shared" si="2"/>
        <v>317262</v>
      </c>
      <c r="E26" s="296">
        <f t="shared" si="1"/>
        <v>317262</v>
      </c>
    </row>
    <row r="27" spans="1:5" s="211" customFormat="1" ht="14">
      <c r="A27" s="292">
        <v>24</v>
      </c>
      <c r="B27" s="284" t="s">
        <v>548</v>
      </c>
      <c r="C27" s="292" t="s">
        <v>91</v>
      </c>
      <c r="D27" s="815">
        <f t="shared" si="2"/>
        <v>11500</v>
      </c>
      <c r="E27" s="296">
        <f t="shared" si="1"/>
        <v>11500</v>
      </c>
    </row>
    <row r="28" spans="1:5" s="211" customFormat="1" ht="14">
      <c r="A28" s="292">
        <v>25</v>
      </c>
      <c r="B28" s="295" t="s">
        <v>242</v>
      </c>
      <c r="C28" s="292" t="s">
        <v>91</v>
      </c>
      <c r="D28" s="815">
        <f t="shared" si="2"/>
        <v>7500</v>
      </c>
      <c r="E28" s="296">
        <f t="shared" si="1"/>
        <v>7500</v>
      </c>
    </row>
    <row r="29" spans="1:5" s="211" customFormat="1" ht="14">
      <c r="A29" s="292">
        <v>26</v>
      </c>
      <c r="B29" s="286" t="s">
        <v>95</v>
      </c>
      <c r="C29" s="292" t="s">
        <v>91</v>
      </c>
      <c r="D29" s="815">
        <f t="shared" si="2"/>
        <v>12000</v>
      </c>
      <c r="E29" s="296">
        <f t="shared" si="1"/>
        <v>12000</v>
      </c>
    </row>
    <row r="30" spans="1:5" s="211" customFormat="1" ht="14">
      <c r="A30" s="292">
        <v>27</v>
      </c>
      <c r="B30" s="288" t="s">
        <v>96</v>
      </c>
      <c r="C30" s="292" t="s">
        <v>91</v>
      </c>
      <c r="D30" s="815">
        <f t="shared" si="2"/>
        <v>80000</v>
      </c>
      <c r="E30" s="296">
        <f t="shared" si="1"/>
        <v>80000</v>
      </c>
    </row>
    <row r="31" spans="1:5" s="211" customFormat="1" ht="14">
      <c r="A31" s="292">
        <v>28</v>
      </c>
      <c r="B31" s="283" t="s">
        <v>156</v>
      </c>
      <c r="C31" s="292" t="s">
        <v>91</v>
      </c>
      <c r="D31" s="815">
        <f t="shared" si="2"/>
        <v>87000</v>
      </c>
      <c r="E31" s="296">
        <f t="shared" si="1"/>
        <v>87000</v>
      </c>
    </row>
    <row r="32" spans="1:5" s="211" customFormat="1" ht="14">
      <c r="A32" s="292">
        <v>29</v>
      </c>
      <c r="B32" s="288" t="s">
        <v>97</v>
      </c>
      <c r="C32" s="292" t="s">
        <v>91</v>
      </c>
      <c r="D32" s="815">
        <f t="shared" si="2"/>
        <v>60000</v>
      </c>
      <c r="E32" s="296">
        <f t="shared" si="1"/>
        <v>60000</v>
      </c>
    </row>
    <row r="33" spans="1:5" s="211" customFormat="1" ht="14">
      <c r="A33" s="292">
        <v>30</v>
      </c>
      <c r="B33" s="288" t="s">
        <v>150</v>
      </c>
      <c r="C33" s="292" t="s">
        <v>551</v>
      </c>
      <c r="D33" s="815">
        <f t="shared" si="2"/>
        <v>79000</v>
      </c>
      <c r="E33" s="296">
        <f t="shared" si="1"/>
        <v>79000</v>
      </c>
    </row>
    <row r="34" spans="1:5" s="211" customFormat="1" ht="14">
      <c r="A34" s="292">
        <v>31</v>
      </c>
      <c r="B34" s="286" t="s">
        <v>145</v>
      </c>
      <c r="C34" s="292" t="s">
        <v>91</v>
      </c>
      <c r="D34" s="815">
        <f t="shared" si="2"/>
        <v>4000</v>
      </c>
      <c r="E34" s="296">
        <f t="shared" si="1"/>
        <v>4000</v>
      </c>
    </row>
    <row r="35" spans="1:5" s="211" customFormat="1" ht="14">
      <c r="A35" s="292">
        <v>32</v>
      </c>
      <c r="B35" s="288" t="s">
        <v>144</v>
      </c>
      <c r="C35" s="292" t="s">
        <v>549</v>
      </c>
      <c r="D35" s="815">
        <f t="shared" si="2"/>
        <v>240741</v>
      </c>
      <c r="E35" s="296">
        <f t="shared" si="1"/>
        <v>240741</v>
      </c>
    </row>
    <row r="36" spans="1:5" s="211" customFormat="1" ht="14">
      <c r="A36" s="292">
        <v>33</v>
      </c>
      <c r="B36" s="283" t="s">
        <v>550</v>
      </c>
      <c r="C36" s="292" t="s">
        <v>91</v>
      </c>
      <c r="D36" s="815">
        <f t="shared" si="2"/>
        <v>819000</v>
      </c>
      <c r="E36" s="296">
        <f t="shared" si="1"/>
        <v>819000</v>
      </c>
    </row>
    <row r="37" spans="1:5" s="211" customFormat="1" ht="14">
      <c r="A37" s="292">
        <v>34</v>
      </c>
      <c r="B37" s="283" t="s">
        <v>157</v>
      </c>
      <c r="C37" s="292" t="s">
        <v>94</v>
      </c>
      <c r="D37" s="815">
        <f t="shared" si="2"/>
        <v>165000</v>
      </c>
      <c r="E37" s="296">
        <f t="shared" si="1"/>
        <v>165000</v>
      </c>
    </row>
    <row r="38" spans="1:5" s="211" customFormat="1" ht="14">
      <c r="A38" s="292">
        <v>35</v>
      </c>
      <c r="B38" s="286" t="s">
        <v>161</v>
      </c>
      <c r="C38" s="292" t="s">
        <v>217</v>
      </c>
      <c r="D38" s="815">
        <f t="shared" si="2"/>
        <v>10000</v>
      </c>
      <c r="E38" s="296">
        <f t="shared" si="1"/>
        <v>10000</v>
      </c>
    </row>
    <row r="39" spans="1:5" s="1000" customFormat="1" ht="14">
      <c r="A39" s="998">
        <v>36</v>
      </c>
      <c r="B39" s="999" t="s">
        <v>612</v>
      </c>
      <c r="C39" s="998" t="s">
        <v>552</v>
      </c>
      <c r="D39" s="815">
        <f t="shared" si="2"/>
        <v>2226</v>
      </c>
      <c r="E39" s="296">
        <f t="shared" si="1"/>
        <v>2226</v>
      </c>
    </row>
    <row r="40" spans="1:5" s="211" customFormat="1" ht="14">
      <c r="A40" s="292">
        <v>37</v>
      </c>
      <c r="B40" s="286" t="s">
        <v>146</v>
      </c>
      <c r="C40" s="292" t="s">
        <v>16</v>
      </c>
      <c r="D40" s="815">
        <f t="shared" si="2"/>
        <v>24000</v>
      </c>
      <c r="E40" s="296">
        <f t="shared" si="1"/>
        <v>24000</v>
      </c>
    </row>
    <row r="41" spans="1:5" s="211" customFormat="1" ht="14">
      <c r="A41" s="292">
        <v>38</v>
      </c>
      <c r="B41" s="286" t="s">
        <v>243</v>
      </c>
      <c r="C41" s="292" t="s">
        <v>91</v>
      </c>
      <c r="D41" s="815">
        <f t="shared" si="2"/>
        <v>500000</v>
      </c>
      <c r="E41" s="296">
        <f t="shared" si="1"/>
        <v>500000</v>
      </c>
    </row>
    <row r="42" spans="1:5" s="211" customFormat="1" ht="14">
      <c r="A42" s="292">
        <v>39</v>
      </c>
      <c r="B42" s="286" t="s">
        <v>289</v>
      </c>
      <c r="C42" s="292" t="s">
        <v>91</v>
      </c>
      <c r="D42" s="815">
        <f t="shared" si="2"/>
        <v>100000</v>
      </c>
      <c r="E42" s="296">
        <f t="shared" si="1"/>
        <v>100000</v>
      </c>
    </row>
    <row r="43" spans="1:5" s="211" customFormat="1" ht="14">
      <c r="A43" s="292">
        <v>40</v>
      </c>
      <c r="B43" s="288" t="s">
        <v>282</v>
      </c>
      <c r="C43" s="292" t="s">
        <v>91</v>
      </c>
      <c r="D43" s="815">
        <f t="shared" si="2"/>
        <v>100000</v>
      </c>
      <c r="E43" s="296">
        <f t="shared" si="1"/>
        <v>100000</v>
      </c>
    </row>
    <row r="44" spans="1:5" s="211" customFormat="1" ht="14">
      <c r="A44" s="292">
        <v>41</v>
      </c>
      <c r="B44" s="286" t="s">
        <v>567</v>
      </c>
      <c r="C44" s="292" t="s">
        <v>91</v>
      </c>
      <c r="D44" s="815">
        <f>L418</f>
        <v>1999000</v>
      </c>
      <c r="E44" s="296">
        <f t="shared" si="1"/>
        <v>1999000</v>
      </c>
    </row>
    <row r="45" spans="1:5" s="211" customFormat="1" ht="14">
      <c r="A45" s="292">
        <v>42</v>
      </c>
      <c r="B45" s="286" t="s">
        <v>553</v>
      </c>
      <c r="C45" s="292" t="s">
        <v>91</v>
      </c>
      <c r="D45" s="815">
        <f>L181</f>
        <v>100000</v>
      </c>
      <c r="E45" s="296">
        <f t="shared" si="1"/>
        <v>100000</v>
      </c>
    </row>
    <row r="46" spans="1:5" s="211" customFormat="1" ht="14">
      <c r="A46" s="292">
        <v>43</v>
      </c>
      <c r="B46" s="286" t="s">
        <v>111</v>
      </c>
      <c r="C46" s="292" t="s">
        <v>99</v>
      </c>
      <c r="D46" s="815">
        <f>VLOOKUP(B46,$H$170:$L$440,5,0)</f>
        <v>15000</v>
      </c>
      <c r="E46" s="296">
        <f t="shared" si="1"/>
        <v>15000</v>
      </c>
    </row>
    <row r="47" spans="1:5" s="211" customFormat="1" ht="14">
      <c r="A47" s="292">
        <v>44</v>
      </c>
      <c r="B47" s="283" t="s">
        <v>554</v>
      </c>
      <c r="C47" s="292" t="s">
        <v>91</v>
      </c>
      <c r="D47" s="815">
        <f>L236</f>
        <v>300000</v>
      </c>
      <c r="E47" s="296">
        <f t="shared" si="1"/>
        <v>300000</v>
      </c>
    </row>
    <row r="48" spans="1:5" s="211" customFormat="1" ht="14">
      <c r="A48" s="292">
        <v>45</v>
      </c>
      <c r="B48" s="286" t="s">
        <v>138</v>
      </c>
      <c r="C48" s="292" t="s">
        <v>94</v>
      </c>
      <c r="D48" s="815">
        <f>VLOOKUP(B48,$H$170:$L$440,5,0)</f>
        <v>20000</v>
      </c>
      <c r="E48" s="296">
        <f t="shared" si="1"/>
        <v>20000</v>
      </c>
    </row>
    <row r="49" spans="1:5" s="935" customFormat="1" ht="14">
      <c r="A49" s="292">
        <v>46</v>
      </c>
      <c r="B49" s="934" t="s">
        <v>654</v>
      </c>
      <c r="C49" s="933"/>
      <c r="D49" s="815">
        <f>L274</f>
        <v>1000</v>
      </c>
      <c r="E49" s="296">
        <f t="shared" si="1"/>
        <v>1000</v>
      </c>
    </row>
    <row r="50" spans="1:5" s="211" customFormat="1" ht="14">
      <c r="A50" s="292">
        <v>47</v>
      </c>
      <c r="B50" s="288" t="s">
        <v>396</v>
      </c>
      <c r="C50" s="292" t="s">
        <v>94</v>
      </c>
      <c r="D50" s="815">
        <f>L275</f>
        <v>20000</v>
      </c>
      <c r="E50" s="296">
        <f t="shared" si="1"/>
        <v>20000</v>
      </c>
    </row>
    <row r="51" spans="1:5" s="1000" customFormat="1" ht="14">
      <c r="A51" s="998">
        <v>48</v>
      </c>
      <c r="B51" s="999" t="s">
        <v>259</v>
      </c>
      <c r="C51" s="998" t="s">
        <v>91</v>
      </c>
      <c r="D51" s="815">
        <f t="shared" ref="D51:D58" si="3">VLOOKUP(B51,$H$170:$L$440,5,0)</f>
        <v>600000</v>
      </c>
      <c r="E51" s="296">
        <f t="shared" si="1"/>
        <v>600000</v>
      </c>
    </row>
    <row r="52" spans="1:5" s="211" customFormat="1" ht="14">
      <c r="A52" s="292">
        <v>49</v>
      </c>
      <c r="B52" s="295" t="s">
        <v>137</v>
      </c>
      <c r="C52" s="292" t="s">
        <v>94</v>
      </c>
      <c r="D52" s="815">
        <f t="shared" si="3"/>
        <v>20000</v>
      </c>
      <c r="E52" s="296">
        <f t="shared" si="1"/>
        <v>20000</v>
      </c>
    </row>
    <row r="53" spans="1:5" s="211" customFormat="1" ht="14">
      <c r="A53" s="292">
        <v>50</v>
      </c>
      <c r="B53" s="285" t="s">
        <v>555</v>
      </c>
      <c r="C53" s="292" t="s">
        <v>167</v>
      </c>
      <c r="D53" s="815">
        <f t="shared" si="3"/>
        <v>3500</v>
      </c>
      <c r="E53" s="296">
        <f t="shared" si="1"/>
        <v>3500</v>
      </c>
    </row>
    <row r="54" spans="1:5" s="211" customFormat="1" ht="14">
      <c r="A54" s="292">
        <v>51</v>
      </c>
      <c r="B54" s="286" t="s">
        <v>556</v>
      </c>
      <c r="C54" s="292" t="s">
        <v>91</v>
      </c>
      <c r="D54" s="815">
        <f t="shared" si="3"/>
        <v>12000</v>
      </c>
      <c r="E54" s="296">
        <f t="shared" si="1"/>
        <v>12000</v>
      </c>
    </row>
    <row r="55" spans="1:5" s="211" customFormat="1" ht="14">
      <c r="A55" s="292">
        <v>52</v>
      </c>
      <c r="B55" s="283" t="s">
        <v>287</v>
      </c>
      <c r="C55" s="292" t="s">
        <v>91</v>
      </c>
      <c r="D55" s="815">
        <f t="shared" si="3"/>
        <v>220000</v>
      </c>
      <c r="E55" s="296">
        <f t="shared" si="1"/>
        <v>220000</v>
      </c>
    </row>
    <row r="56" spans="1:5" s="211" customFormat="1" ht="16">
      <c r="A56" s="292">
        <v>53</v>
      </c>
      <c r="B56" s="288" t="s">
        <v>587</v>
      </c>
      <c r="C56" s="292" t="s">
        <v>64</v>
      </c>
      <c r="D56" s="815">
        <f t="shared" si="3"/>
        <v>10000</v>
      </c>
      <c r="E56" s="296">
        <f t="shared" si="1"/>
        <v>10000</v>
      </c>
    </row>
    <row r="57" spans="1:5" s="211" customFormat="1" ht="14">
      <c r="A57" s="292">
        <v>54</v>
      </c>
      <c r="B57" s="286" t="s">
        <v>166</v>
      </c>
      <c r="C57" s="292" t="s">
        <v>557</v>
      </c>
      <c r="D57" s="815">
        <f t="shared" si="3"/>
        <v>140000</v>
      </c>
      <c r="E57" s="296">
        <f t="shared" si="1"/>
        <v>140000</v>
      </c>
    </row>
    <row r="58" spans="1:5" s="211" customFormat="1" ht="14">
      <c r="A58" s="292">
        <v>55</v>
      </c>
      <c r="B58" s="283" t="s">
        <v>165</v>
      </c>
      <c r="C58" s="292" t="s">
        <v>557</v>
      </c>
      <c r="D58" s="815">
        <f t="shared" si="3"/>
        <v>70000</v>
      </c>
      <c r="E58" s="296">
        <f t="shared" si="1"/>
        <v>70000</v>
      </c>
    </row>
    <row r="59" spans="1:5" s="211" customFormat="1" ht="14">
      <c r="A59" s="292">
        <v>56</v>
      </c>
      <c r="B59" s="286" t="s">
        <v>98</v>
      </c>
      <c r="C59" s="292" t="s">
        <v>99</v>
      </c>
      <c r="D59" s="815">
        <f>L254</f>
        <v>145000</v>
      </c>
      <c r="E59" s="296">
        <f t="shared" si="1"/>
        <v>145000</v>
      </c>
    </row>
    <row r="60" spans="1:5" s="211" customFormat="1" ht="14">
      <c r="A60" s="292">
        <v>57</v>
      </c>
      <c r="B60" s="286" t="s">
        <v>558</v>
      </c>
      <c r="C60" s="292" t="s">
        <v>134</v>
      </c>
      <c r="D60" s="815">
        <v>8672</v>
      </c>
      <c r="E60" s="296">
        <f t="shared" si="1"/>
        <v>8672</v>
      </c>
    </row>
    <row r="61" spans="1:5" s="211" customFormat="1" ht="14">
      <c r="A61" s="292">
        <v>58</v>
      </c>
      <c r="B61" s="283" t="s">
        <v>168</v>
      </c>
      <c r="C61" s="292" t="s">
        <v>134</v>
      </c>
      <c r="D61" s="815">
        <f t="shared" ref="D61:D67" si="4">VLOOKUP(B61,$H$170:$L$440,5,0)</f>
        <v>12000</v>
      </c>
      <c r="E61" s="296">
        <f t="shared" si="1"/>
        <v>12000</v>
      </c>
    </row>
    <row r="62" spans="1:5" s="211" customFormat="1" ht="14">
      <c r="A62" s="292">
        <v>59</v>
      </c>
      <c r="B62" s="288" t="s">
        <v>100</v>
      </c>
      <c r="C62" s="292" t="s">
        <v>91</v>
      </c>
      <c r="D62" s="815">
        <f t="shared" si="4"/>
        <v>210000</v>
      </c>
      <c r="E62" s="296">
        <f t="shared" si="1"/>
        <v>210000</v>
      </c>
    </row>
    <row r="63" spans="1:5" s="211" customFormat="1" ht="14">
      <c r="A63" s="292">
        <v>60</v>
      </c>
      <c r="B63" s="283" t="s">
        <v>115</v>
      </c>
      <c r="C63" s="292" t="s">
        <v>91</v>
      </c>
      <c r="D63" s="815">
        <f t="shared" si="4"/>
        <v>350000</v>
      </c>
      <c r="E63" s="296">
        <f t="shared" si="1"/>
        <v>350000</v>
      </c>
    </row>
    <row r="64" spans="1:5" s="211" customFormat="1" ht="14">
      <c r="A64" s="292">
        <v>61</v>
      </c>
      <c r="B64" s="284" t="s">
        <v>559</v>
      </c>
      <c r="C64" s="292" t="s">
        <v>91</v>
      </c>
      <c r="D64" s="815">
        <f t="shared" si="4"/>
        <v>46000</v>
      </c>
      <c r="E64" s="296">
        <f t="shared" si="1"/>
        <v>46000</v>
      </c>
    </row>
    <row r="65" spans="1:6" s="211" customFormat="1" ht="14">
      <c r="A65" s="292">
        <v>62</v>
      </c>
      <c r="B65" s="284" t="s">
        <v>281</v>
      </c>
      <c r="C65" s="292" t="s">
        <v>91</v>
      </c>
      <c r="D65" s="815">
        <f t="shared" si="4"/>
        <v>400000</v>
      </c>
      <c r="E65" s="296">
        <f t="shared" si="1"/>
        <v>400000</v>
      </c>
    </row>
    <row r="66" spans="1:6" s="211" customFormat="1" ht="14">
      <c r="A66" s="292">
        <v>63</v>
      </c>
      <c r="B66" s="283" t="s">
        <v>155</v>
      </c>
      <c r="C66" s="292" t="s">
        <v>91</v>
      </c>
      <c r="D66" s="815">
        <f t="shared" si="4"/>
        <v>700000</v>
      </c>
      <c r="E66" s="296">
        <f t="shared" si="1"/>
        <v>700000</v>
      </c>
    </row>
    <row r="67" spans="1:6" s="264" customFormat="1" ht="14">
      <c r="A67" s="292">
        <v>64</v>
      </c>
      <c r="B67" s="283" t="s">
        <v>225</v>
      </c>
      <c r="C67" s="292" t="s">
        <v>91</v>
      </c>
      <c r="D67" s="815">
        <f t="shared" si="4"/>
        <v>2400000</v>
      </c>
      <c r="E67" s="296">
        <f t="shared" si="1"/>
        <v>2400000</v>
      </c>
      <c r="F67" s="211"/>
    </row>
    <row r="68" spans="1:6" s="211" customFormat="1" ht="14">
      <c r="A68" s="292">
        <v>65</v>
      </c>
      <c r="B68" s="283" t="s">
        <v>560</v>
      </c>
      <c r="C68" s="287" t="s">
        <v>91</v>
      </c>
      <c r="D68" s="815">
        <f>L410</f>
        <v>135000000</v>
      </c>
      <c r="E68" s="296">
        <f t="shared" si="1"/>
        <v>135000000</v>
      </c>
      <c r="F68" s="264"/>
    </row>
    <row r="69" spans="1:6" s="211" customFormat="1" ht="14">
      <c r="A69" s="292">
        <v>66</v>
      </c>
      <c r="B69" s="297" t="s">
        <v>645</v>
      </c>
      <c r="C69" s="292" t="s">
        <v>91</v>
      </c>
      <c r="D69" s="815">
        <f>VLOOKUP(B69,$H$170:$L$440,5,0)</f>
        <v>9910000</v>
      </c>
      <c r="E69" s="296">
        <f t="shared" ref="E69:E132" si="5">D69*1</f>
        <v>9910000</v>
      </c>
    </row>
    <row r="70" spans="1:6" s="266" customFormat="1" ht="14">
      <c r="A70" s="292">
        <v>67</v>
      </c>
      <c r="B70" s="283" t="s">
        <v>562</v>
      </c>
      <c r="C70" s="282" t="s">
        <v>91</v>
      </c>
      <c r="D70" s="815">
        <f>L414</f>
        <v>179900000</v>
      </c>
      <c r="E70" s="296">
        <f t="shared" si="5"/>
        <v>179900000</v>
      </c>
      <c r="F70" s="265"/>
    </row>
    <row r="71" spans="1:6" s="211" customFormat="1" ht="14">
      <c r="A71" s="292">
        <v>68</v>
      </c>
      <c r="B71" s="283" t="s">
        <v>290</v>
      </c>
      <c r="C71" s="292" t="s">
        <v>91</v>
      </c>
      <c r="D71" s="815">
        <f>VLOOKUP(B71,$H$170:$L$440,5,0)</f>
        <v>2150000</v>
      </c>
      <c r="E71" s="296">
        <f t="shared" si="5"/>
        <v>2150000</v>
      </c>
    </row>
    <row r="72" spans="1:6" s="211" customFormat="1" ht="14">
      <c r="A72" s="292">
        <v>69</v>
      </c>
      <c r="B72" s="283" t="s">
        <v>410</v>
      </c>
      <c r="C72" s="292" t="s">
        <v>91</v>
      </c>
      <c r="D72" s="815">
        <f>VLOOKUP(B72,$H$170:$L$440,5,0)</f>
        <v>2145000</v>
      </c>
      <c r="E72" s="296">
        <f t="shared" si="5"/>
        <v>2145000</v>
      </c>
    </row>
    <row r="73" spans="1:6" s="211" customFormat="1" ht="14">
      <c r="A73" s="292">
        <v>70</v>
      </c>
      <c r="B73" s="285" t="s">
        <v>563</v>
      </c>
      <c r="C73" s="292" t="s">
        <v>91</v>
      </c>
      <c r="D73" s="815">
        <f>L411</f>
        <v>14445000</v>
      </c>
      <c r="E73" s="296">
        <f t="shared" si="5"/>
        <v>14445000</v>
      </c>
    </row>
    <row r="74" spans="1:6" s="211" customFormat="1" ht="14">
      <c r="A74" s="292">
        <v>71</v>
      </c>
      <c r="B74" s="283" t="s">
        <v>564</v>
      </c>
      <c r="C74" s="292" t="s">
        <v>91</v>
      </c>
      <c r="D74" s="815">
        <f>VLOOKUP(B74,$H$170:$L$440,5,0)</f>
        <v>4082000</v>
      </c>
      <c r="E74" s="296">
        <f t="shared" si="5"/>
        <v>4082000</v>
      </c>
    </row>
    <row r="75" spans="1:6" s="211" customFormat="1" ht="14">
      <c r="A75" s="292">
        <v>72</v>
      </c>
      <c r="B75" s="283" t="s">
        <v>247</v>
      </c>
      <c r="C75" s="292" t="s">
        <v>91</v>
      </c>
      <c r="D75" s="815">
        <f>VLOOKUP(B75,$H$170:$L$440,5,0)</f>
        <v>101818000</v>
      </c>
      <c r="E75" s="296">
        <f t="shared" si="5"/>
        <v>101818000</v>
      </c>
    </row>
    <row r="76" spans="1:6" s="211" customFormat="1" ht="14">
      <c r="A76" s="292">
        <v>73</v>
      </c>
      <c r="B76" s="286" t="s">
        <v>565</v>
      </c>
      <c r="C76" s="292" t="s">
        <v>91</v>
      </c>
      <c r="D76" s="815">
        <f>L227</f>
        <v>2000000</v>
      </c>
      <c r="E76" s="296">
        <f t="shared" si="5"/>
        <v>2000000</v>
      </c>
    </row>
    <row r="77" spans="1:6" s="211" customFormat="1" ht="14">
      <c r="A77" s="292">
        <v>74</v>
      </c>
      <c r="B77" s="283" t="s">
        <v>638</v>
      </c>
      <c r="C77" s="292" t="s">
        <v>91</v>
      </c>
      <c r="D77" s="815">
        <f>VLOOKUP(B77,$H$170:$L$440,5,0)</f>
        <v>2000000</v>
      </c>
      <c r="E77" s="296">
        <f t="shared" si="5"/>
        <v>2000000</v>
      </c>
    </row>
    <row r="78" spans="1:6" s="211" customFormat="1" ht="14">
      <c r="A78" s="292">
        <v>75</v>
      </c>
      <c r="B78" s="285" t="s">
        <v>561</v>
      </c>
      <c r="C78" s="292" t="s">
        <v>91</v>
      </c>
      <c r="D78" s="815">
        <f>L415</f>
        <v>500000000</v>
      </c>
      <c r="E78" s="296">
        <f t="shared" si="5"/>
        <v>500000000</v>
      </c>
    </row>
    <row r="79" spans="1:6" s="211" customFormat="1" ht="14">
      <c r="A79" s="292">
        <v>76</v>
      </c>
      <c r="B79" s="286" t="s">
        <v>568</v>
      </c>
      <c r="C79" s="292" t="s">
        <v>91</v>
      </c>
      <c r="D79" s="815">
        <f>L422</f>
        <v>280800000</v>
      </c>
      <c r="E79" s="296">
        <f t="shared" si="5"/>
        <v>280800000</v>
      </c>
    </row>
    <row r="80" spans="1:6" s="211" customFormat="1" ht="14">
      <c r="A80" s="292">
        <v>77</v>
      </c>
      <c r="B80" s="288" t="s">
        <v>569</v>
      </c>
      <c r="C80" s="292" t="s">
        <v>91</v>
      </c>
      <c r="D80" s="815">
        <f>VLOOKUP(B80,$H$170:$L$440,5,0)</f>
        <v>205000</v>
      </c>
      <c r="E80" s="296">
        <f t="shared" si="5"/>
        <v>205000</v>
      </c>
    </row>
    <row r="81" spans="1:5" s="211" customFormat="1" ht="14">
      <c r="A81" s="292">
        <v>78</v>
      </c>
      <c r="B81" s="286" t="s">
        <v>566</v>
      </c>
      <c r="C81" s="292" t="s">
        <v>91</v>
      </c>
      <c r="D81" s="815">
        <f>VLOOKUP(B81,$H$170:$L$440,5,0)</f>
        <v>78082000</v>
      </c>
      <c r="E81" s="296">
        <f t="shared" si="5"/>
        <v>78082000</v>
      </c>
    </row>
    <row r="82" spans="1:5" s="211" customFormat="1" ht="14">
      <c r="A82" s="292">
        <v>79</v>
      </c>
      <c r="B82" s="286" t="s">
        <v>224</v>
      </c>
      <c r="C82" s="292" t="s">
        <v>91</v>
      </c>
      <c r="D82" s="815">
        <f>L208</f>
        <v>205000</v>
      </c>
      <c r="E82" s="296">
        <f t="shared" si="5"/>
        <v>205000</v>
      </c>
    </row>
    <row r="83" spans="1:5" s="211" customFormat="1" ht="14">
      <c r="A83" s="292">
        <v>80</v>
      </c>
      <c r="B83" s="283" t="s">
        <v>238</v>
      </c>
      <c r="C83" s="292" t="s">
        <v>91</v>
      </c>
      <c r="D83" s="815">
        <f>L398</f>
        <v>98800000</v>
      </c>
      <c r="E83" s="296">
        <f t="shared" si="5"/>
        <v>98800000</v>
      </c>
    </row>
    <row r="84" spans="1:5" s="211" customFormat="1" ht="14">
      <c r="A84" s="292">
        <v>81</v>
      </c>
      <c r="B84" s="283" t="s">
        <v>264</v>
      </c>
      <c r="C84" s="292" t="s">
        <v>91</v>
      </c>
      <c r="D84" s="815">
        <f>VLOOKUP(B84,$H$170:$L$440,5,0)</f>
        <v>13127000</v>
      </c>
      <c r="E84" s="296">
        <f t="shared" si="5"/>
        <v>13127000</v>
      </c>
    </row>
    <row r="85" spans="1:5" s="211" customFormat="1" ht="14">
      <c r="A85" s="292">
        <v>82</v>
      </c>
      <c r="B85" s="286" t="s">
        <v>131</v>
      </c>
      <c r="C85" s="292" t="s">
        <v>91</v>
      </c>
      <c r="D85" s="815">
        <f>VLOOKUP(B85,$H$170:$L$440,5,0)</f>
        <v>13900000</v>
      </c>
      <c r="E85" s="296">
        <f t="shared" si="5"/>
        <v>13900000</v>
      </c>
    </row>
    <row r="86" spans="1:5" s="211" customFormat="1" ht="14">
      <c r="A86" s="292">
        <v>83</v>
      </c>
      <c r="B86" s="286" t="s">
        <v>570</v>
      </c>
      <c r="C86" s="292" t="s">
        <v>91</v>
      </c>
      <c r="D86" s="815">
        <f>L224</f>
        <v>500000</v>
      </c>
      <c r="E86" s="296">
        <f t="shared" si="5"/>
        <v>500000</v>
      </c>
    </row>
    <row r="87" spans="1:5" s="211" customFormat="1" ht="14">
      <c r="A87" s="292">
        <v>84</v>
      </c>
      <c r="B87" s="286" t="s">
        <v>101</v>
      </c>
      <c r="C87" s="292" t="s">
        <v>91</v>
      </c>
      <c r="D87" s="815">
        <f>VLOOKUP(B87,$H$170:$L$440,5,0)</f>
        <v>50000</v>
      </c>
      <c r="E87" s="296">
        <f t="shared" si="5"/>
        <v>50000</v>
      </c>
    </row>
    <row r="88" spans="1:5" s="211" customFormat="1" ht="14">
      <c r="A88" s="292">
        <v>85</v>
      </c>
      <c r="B88" s="286" t="s">
        <v>151</v>
      </c>
      <c r="C88" s="292" t="s">
        <v>152</v>
      </c>
      <c r="D88" s="815">
        <f>VLOOKUP(B88,$H$170:$L$440,5,0)</f>
        <v>50000</v>
      </c>
      <c r="E88" s="296">
        <f t="shared" si="5"/>
        <v>50000</v>
      </c>
    </row>
    <row r="89" spans="1:5" s="211" customFormat="1" ht="14">
      <c r="A89" s="292">
        <v>86</v>
      </c>
      <c r="B89" s="286" t="s">
        <v>245</v>
      </c>
      <c r="C89" s="292" t="s">
        <v>167</v>
      </c>
      <c r="D89" s="815">
        <f>VLOOKUP(B89,$H$170:$L$440,5,0)</f>
        <v>990000</v>
      </c>
      <c r="E89" s="296">
        <f t="shared" si="5"/>
        <v>990000</v>
      </c>
    </row>
    <row r="90" spans="1:5" s="211" customFormat="1" ht="14">
      <c r="A90" s="292">
        <v>87</v>
      </c>
      <c r="B90" s="286" t="s">
        <v>244</v>
      </c>
      <c r="C90" s="292" t="s">
        <v>167</v>
      </c>
      <c r="D90" s="815">
        <f>VLOOKUP(B90,$H$170:$L$440,5,0)</f>
        <v>1420000</v>
      </c>
      <c r="E90" s="296">
        <f t="shared" si="5"/>
        <v>1420000</v>
      </c>
    </row>
    <row r="91" spans="1:5" s="211" customFormat="1" ht="14">
      <c r="A91" s="292">
        <v>88</v>
      </c>
      <c r="B91" s="295" t="s">
        <v>398</v>
      </c>
      <c r="C91" s="292" t="s">
        <v>167</v>
      </c>
      <c r="D91" s="815">
        <f>VLOOKUP(B91,$H$170:$L$440,5,0)</f>
        <v>1600000</v>
      </c>
      <c r="E91" s="296">
        <f t="shared" si="5"/>
        <v>1600000</v>
      </c>
    </row>
    <row r="92" spans="1:5" s="211" customFormat="1" ht="14">
      <c r="A92" s="292">
        <v>89</v>
      </c>
      <c r="B92" s="283" t="s">
        <v>249</v>
      </c>
      <c r="C92" s="292" t="s">
        <v>167</v>
      </c>
      <c r="D92" s="815">
        <f>L318</f>
        <v>620000</v>
      </c>
      <c r="E92" s="296">
        <f t="shared" si="5"/>
        <v>620000</v>
      </c>
    </row>
    <row r="93" spans="1:5" s="211" customFormat="1" ht="14">
      <c r="A93" s="292">
        <v>90</v>
      </c>
      <c r="B93" s="285" t="s">
        <v>571</v>
      </c>
      <c r="C93" s="292" t="s">
        <v>66</v>
      </c>
      <c r="D93" s="815">
        <f>L328</f>
        <v>1600000</v>
      </c>
      <c r="E93" s="296">
        <f t="shared" si="5"/>
        <v>1600000</v>
      </c>
    </row>
    <row r="94" spans="1:5" s="211" customFormat="1" ht="14">
      <c r="A94" s="292">
        <v>91</v>
      </c>
      <c r="B94" s="286" t="s">
        <v>572</v>
      </c>
      <c r="C94" s="292" t="s">
        <v>66</v>
      </c>
      <c r="D94" s="815">
        <f>VLOOKUP(B94,$H$170:$L$440,5,0)</f>
        <v>2200000</v>
      </c>
      <c r="E94" s="296">
        <f t="shared" si="5"/>
        <v>2200000</v>
      </c>
    </row>
    <row r="95" spans="1:5" s="211" customFormat="1" ht="14">
      <c r="A95" s="292">
        <v>92</v>
      </c>
      <c r="B95" s="288" t="s">
        <v>223</v>
      </c>
      <c r="C95" s="292" t="s">
        <v>103</v>
      </c>
      <c r="D95" s="815">
        <f>VLOOKUP(B95,$H$170:$L$440,5,0)</f>
        <v>30000</v>
      </c>
      <c r="E95" s="296">
        <f t="shared" si="5"/>
        <v>30000</v>
      </c>
    </row>
    <row r="96" spans="1:5" s="211" customFormat="1" ht="14">
      <c r="A96" s="292">
        <v>93</v>
      </c>
      <c r="B96" s="286" t="s">
        <v>102</v>
      </c>
      <c r="C96" s="292" t="s">
        <v>103</v>
      </c>
      <c r="D96" s="815">
        <f>VLOOKUP(B96,$H$170:$L$440,5,0)</f>
        <v>10000</v>
      </c>
      <c r="E96" s="296">
        <f t="shared" si="5"/>
        <v>10000</v>
      </c>
    </row>
    <row r="97" spans="1:5" s="211" customFormat="1" ht="14">
      <c r="A97" s="292">
        <v>94</v>
      </c>
      <c r="B97" s="286" t="s">
        <v>112</v>
      </c>
      <c r="C97" s="292" t="s">
        <v>91</v>
      </c>
      <c r="D97" s="815">
        <f>VLOOKUP(B97,$H$170:$L$440,5,0)</f>
        <v>50000</v>
      </c>
      <c r="E97" s="296">
        <f t="shared" si="5"/>
        <v>50000</v>
      </c>
    </row>
    <row r="98" spans="1:5" s="211" customFormat="1" ht="14">
      <c r="A98" s="292">
        <v>95</v>
      </c>
      <c r="B98" s="286" t="s">
        <v>104</v>
      </c>
      <c r="C98" s="292" t="s">
        <v>91</v>
      </c>
      <c r="D98" s="815">
        <f>VLOOKUP(B98,$H$170:$L$440,5,0)</f>
        <v>100000</v>
      </c>
      <c r="E98" s="296">
        <f t="shared" si="5"/>
        <v>100000</v>
      </c>
    </row>
    <row r="99" spans="1:5" s="211" customFormat="1" ht="14">
      <c r="A99" s="292">
        <v>96</v>
      </c>
      <c r="B99" s="286" t="s">
        <v>292</v>
      </c>
      <c r="C99" s="292" t="s">
        <v>91</v>
      </c>
      <c r="D99" s="815">
        <f>L187</f>
        <v>100000</v>
      </c>
      <c r="E99" s="296">
        <f t="shared" si="5"/>
        <v>100000</v>
      </c>
    </row>
    <row r="100" spans="1:5" s="211" customFormat="1" ht="14">
      <c r="A100" s="292">
        <v>97</v>
      </c>
      <c r="B100" s="286" t="s">
        <v>105</v>
      </c>
      <c r="C100" s="292" t="s">
        <v>91</v>
      </c>
      <c r="D100" s="815">
        <f>VLOOKUP(B100,$H$170:$L$440,5,0)</f>
        <v>1380000</v>
      </c>
      <c r="E100" s="296">
        <f t="shared" si="5"/>
        <v>1380000</v>
      </c>
    </row>
    <row r="101" spans="1:5" s="211" customFormat="1" ht="14">
      <c r="A101" s="292">
        <v>98</v>
      </c>
      <c r="B101" s="286" t="s">
        <v>592</v>
      </c>
      <c r="C101" s="292" t="s">
        <v>574</v>
      </c>
      <c r="D101" s="815">
        <f>L397</f>
        <v>686364000</v>
      </c>
      <c r="E101" s="296">
        <f t="shared" si="5"/>
        <v>686364000</v>
      </c>
    </row>
    <row r="102" spans="1:5" s="211" customFormat="1" ht="14">
      <c r="A102" s="292">
        <v>99</v>
      </c>
      <c r="B102" s="288" t="s">
        <v>573</v>
      </c>
      <c r="C102" s="292" t="s">
        <v>574</v>
      </c>
      <c r="D102" s="815">
        <f>L397</f>
        <v>686364000</v>
      </c>
      <c r="E102" s="296">
        <f t="shared" si="5"/>
        <v>686364000</v>
      </c>
    </row>
    <row r="103" spans="1:5" s="211" customFormat="1" ht="14">
      <c r="A103" s="292">
        <v>100</v>
      </c>
      <c r="B103" s="283" t="s">
        <v>575</v>
      </c>
      <c r="C103" s="292" t="s">
        <v>94</v>
      </c>
      <c r="D103" s="815">
        <f>VLOOKUP(B103,$H$170:$L$440,5,0)</f>
        <v>170790000</v>
      </c>
      <c r="E103" s="296">
        <f t="shared" si="5"/>
        <v>170790000</v>
      </c>
    </row>
    <row r="104" spans="1:5" s="211" customFormat="1" ht="14">
      <c r="A104" s="292">
        <v>101</v>
      </c>
      <c r="B104" s="283" t="s">
        <v>169</v>
      </c>
      <c r="C104" s="292" t="s">
        <v>94</v>
      </c>
      <c r="D104" s="815">
        <f>L425</f>
        <v>170790000</v>
      </c>
      <c r="E104" s="296">
        <f t="shared" si="5"/>
        <v>170790000</v>
      </c>
    </row>
    <row r="105" spans="1:5" s="211" customFormat="1" ht="14">
      <c r="A105" s="292">
        <v>102</v>
      </c>
      <c r="B105" s="286" t="s">
        <v>158</v>
      </c>
      <c r="C105" s="292" t="s">
        <v>91</v>
      </c>
      <c r="D105" s="815">
        <f>VLOOKUP(B105,$H$170:$L$440,5,0)</f>
        <v>290000</v>
      </c>
      <c r="E105" s="296">
        <f t="shared" si="5"/>
        <v>290000</v>
      </c>
    </row>
    <row r="106" spans="1:5" s="211" customFormat="1" ht="14">
      <c r="A106" s="292">
        <v>103</v>
      </c>
      <c r="B106" s="283" t="s">
        <v>260</v>
      </c>
      <c r="C106" s="292" t="s">
        <v>91</v>
      </c>
      <c r="D106" s="815">
        <f>VLOOKUP(B106,$H$170:$L$440,5,0)</f>
        <v>2640000</v>
      </c>
      <c r="E106" s="296">
        <f t="shared" si="5"/>
        <v>2640000</v>
      </c>
    </row>
    <row r="107" spans="1:5" s="211" customFormat="1" ht="14">
      <c r="A107" s="292">
        <v>104</v>
      </c>
      <c r="B107" s="286" t="s">
        <v>106</v>
      </c>
      <c r="C107" s="292" t="s">
        <v>94</v>
      </c>
      <c r="D107" s="815">
        <f>L170</f>
        <v>210000</v>
      </c>
      <c r="E107" s="296">
        <f t="shared" si="5"/>
        <v>210000</v>
      </c>
    </row>
    <row r="108" spans="1:5" s="211" customFormat="1" ht="14">
      <c r="A108" s="292">
        <v>105</v>
      </c>
      <c r="B108" s="286" t="s">
        <v>130</v>
      </c>
      <c r="C108" s="292" t="s">
        <v>91</v>
      </c>
      <c r="D108" s="815">
        <f>VLOOKUP(B108,$H$170:$L$440,5,0)</f>
        <v>13800000</v>
      </c>
      <c r="E108" s="296">
        <f t="shared" si="5"/>
        <v>13800000</v>
      </c>
    </row>
    <row r="109" spans="1:5" s="211" customFormat="1" ht="14">
      <c r="A109" s="292">
        <v>106</v>
      </c>
      <c r="B109" s="288" t="s">
        <v>147</v>
      </c>
      <c r="C109" s="292" t="s">
        <v>16</v>
      </c>
      <c r="D109" s="815">
        <f>L299</f>
        <v>14500</v>
      </c>
      <c r="E109" s="296">
        <f t="shared" si="5"/>
        <v>14500</v>
      </c>
    </row>
    <row r="110" spans="1:5" s="211" customFormat="1" ht="14">
      <c r="A110" s="292">
        <v>107</v>
      </c>
      <c r="B110" s="286" t="s">
        <v>130</v>
      </c>
      <c r="C110" s="292" t="s">
        <v>91</v>
      </c>
      <c r="D110" s="815">
        <f t="shared" ref="D110:D123" si="6">VLOOKUP(B110,$H$170:$L$440,5,0)</f>
        <v>13800000</v>
      </c>
      <c r="E110" s="296">
        <f t="shared" si="5"/>
        <v>13800000</v>
      </c>
    </row>
    <row r="111" spans="1:5" s="211" customFormat="1" ht="14">
      <c r="A111" s="292">
        <v>108</v>
      </c>
      <c r="B111" s="286" t="s">
        <v>141</v>
      </c>
      <c r="C111" s="292" t="s">
        <v>116</v>
      </c>
      <c r="D111" s="815">
        <f t="shared" si="6"/>
        <v>10000</v>
      </c>
      <c r="E111" s="296">
        <f t="shared" si="5"/>
        <v>10000</v>
      </c>
    </row>
    <row r="112" spans="1:5" s="211" customFormat="1" ht="14">
      <c r="A112" s="292">
        <v>109</v>
      </c>
      <c r="B112" s="286" t="s">
        <v>273</v>
      </c>
      <c r="C112" s="292" t="s">
        <v>116</v>
      </c>
      <c r="D112" s="815">
        <f t="shared" si="6"/>
        <v>8500</v>
      </c>
      <c r="E112" s="296">
        <f t="shared" si="5"/>
        <v>8500</v>
      </c>
    </row>
    <row r="113" spans="1:6" s="211" customFormat="1" ht="14">
      <c r="A113" s="292">
        <v>110</v>
      </c>
      <c r="B113" s="283" t="s">
        <v>163</v>
      </c>
      <c r="C113" s="292" t="s">
        <v>94</v>
      </c>
      <c r="D113" s="815">
        <f t="shared" si="6"/>
        <v>160000</v>
      </c>
      <c r="E113" s="296">
        <f t="shared" si="5"/>
        <v>160000</v>
      </c>
    </row>
    <row r="114" spans="1:6" s="211" customFormat="1" ht="14">
      <c r="A114" s="292">
        <v>111</v>
      </c>
      <c r="B114" s="286" t="s">
        <v>400</v>
      </c>
      <c r="C114" s="292" t="s">
        <v>218</v>
      </c>
      <c r="D114" s="815">
        <f t="shared" si="6"/>
        <v>120000</v>
      </c>
      <c r="E114" s="296">
        <f t="shared" si="5"/>
        <v>120000</v>
      </c>
    </row>
    <row r="115" spans="1:6" s="266" customFormat="1" ht="14">
      <c r="A115" s="292">
        <v>112</v>
      </c>
      <c r="B115" s="286" t="s">
        <v>408</v>
      </c>
      <c r="C115" s="292" t="s">
        <v>94</v>
      </c>
      <c r="D115" s="815">
        <f t="shared" si="6"/>
        <v>160000</v>
      </c>
      <c r="E115" s="296">
        <f t="shared" si="5"/>
        <v>160000</v>
      </c>
      <c r="F115" s="211"/>
    </row>
    <row r="116" spans="1:6" s="211" customFormat="1" ht="14">
      <c r="A116" s="292">
        <v>113</v>
      </c>
      <c r="B116" s="283" t="s">
        <v>399</v>
      </c>
      <c r="C116" s="292" t="s">
        <v>218</v>
      </c>
      <c r="D116" s="815">
        <f t="shared" si="6"/>
        <v>120000</v>
      </c>
      <c r="E116" s="296">
        <f t="shared" si="5"/>
        <v>120000</v>
      </c>
    </row>
    <row r="117" spans="1:6" s="211" customFormat="1" ht="14">
      <c r="A117" s="292">
        <v>114</v>
      </c>
      <c r="B117" s="283" t="s">
        <v>164</v>
      </c>
      <c r="C117" s="282" t="s">
        <v>16</v>
      </c>
      <c r="D117" s="815">
        <f t="shared" si="6"/>
        <v>225000</v>
      </c>
      <c r="E117" s="296">
        <f t="shared" si="5"/>
        <v>225000</v>
      </c>
      <c r="F117" s="266"/>
    </row>
    <row r="118" spans="1:6" s="211" customFormat="1" ht="14">
      <c r="A118" s="292">
        <v>115</v>
      </c>
      <c r="B118" s="286" t="s">
        <v>107</v>
      </c>
      <c r="C118" s="292" t="s">
        <v>99</v>
      </c>
      <c r="D118" s="815">
        <f t="shared" si="6"/>
        <v>26000</v>
      </c>
      <c r="E118" s="296">
        <f t="shared" si="5"/>
        <v>26000</v>
      </c>
    </row>
    <row r="119" spans="1:6" s="211" customFormat="1" ht="14">
      <c r="A119" s="292">
        <v>116</v>
      </c>
      <c r="B119" s="288" t="s">
        <v>280</v>
      </c>
      <c r="C119" s="292" t="s">
        <v>91</v>
      </c>
      <c r="D119" s="815">
        <f t="shared" si="6"/>
        <v>4000</v>
      </c>
      <c r="E119" s="296">
        <f t="shared" si="5"/>
        <v>4000</v>
      </c>
    </row>
    <row r="120" spans="1:6" s="211" customFormat="1" ht="14">
      <c r="A120" s="292">
        <v>117</v>
      </c>
      <c r="B120" s="283" t="s">
        <v>159</v>
      </c>
      <c r="C120" s="292" t="s">
        <v>91</v>
      </c>
      <c r="D120" s="815">
        <f t="shared" si="6"/>
        <v>2250000</v>
      </c>
      <c r="E120" s="296">
        <f t="shared" si="5"/>
        <v>2250000</v>
      </c>
    </row>
    <row r="121" spans="1:6" s="211" customFormat="1" ht="14">
      <c r="A121" s="292">
        <v>118</v>
      </c>
      <c r="B121" s="286" t="s">
        <v>114</v>
      </c>
      <c r="C121" s="292" t="s">
        <v>91</v>
      </c>
      <c r="D121" s="815">
        <f t="shared" si="6"/>
        <v>15000</v>
      </c>
      <c r="E121" s="296">
        <f t="shared" si="5"/>
        <v>15000</v>
      </c>
    </row>
    <row r="122" spans="1:6" s="211" customFormat="1" ht="14">
      <c r="A122" s="292">
        <v>119</v>
      </c>
      <c r="B122" s="286" t="s">
        <v>265</v>
      </c>
      <c r="C122" s="292" t="s">
        <v>91</v>
      </c>
      <c r="D122" s="815">
        <f t="shared" si="6"/>
        <v>16236000</v>
      </c>
      <c r="E122" s="296">
        <f t="shared" si="5"/>
        <v>16236000</v>
      </c>
    </row>
    <row r="123" spans="1:6" s="211" customFormat="1" ht="14">
      <c r="A123" s="292">
        <v>120</v>
      </c>
      <c r="B123" s="286" t="s">
        <v>113</v>
      </c>
      <c r="C123" s="292" t="s">
        <v>91</v>
      </c>
      <c r="D123" s="815">
        <f t="shared" si="6"/>
        <v>120000</v>
      </c>
      <c r="E123" s="296">
        <f t="shared" si="5"/>
        <v>120000</v>
      </c>
    </row>
    <row r="124" spans="1:6" s="211" customFormat="1" ht="14">
      <c r="A124" s="292">
        <v>121</v>
      </c>
      <c r="B124" s="283" t="s">
        <v>576</v>
      </c>
      <c r="C124" s="292" t="s">
        <v>91</v>
      </c>
      <c r="D124" s="815">
        <f>L200</f>
        <v>43000</v>
      </c>
      <c r="E124" s="296">
        <f t="shared" si="5"/>
        <v>43000</v>
      </c>
    </row>
    <row r="125" spans="1:6" s="211" customFormat="1" ht="14">
      <c r="A125" s="292">
        <v>122</v>
      </c>
      <c r="B125" s="286" t="s">
        <v>577</v>
      </c>
      <c r="C125" s="292" t="s">
        <v>91</v>
      </c>
      <c r="D125" s="815">
        <f>L194</f>
        <v>5000</v>
      </c>
      <c r="E125" s="296">
        <f t="shared" si="5"/>
        <v>5000</v>
      </c>
    </row>
    <row r="126" spans="1:6" s="211" customFormat="1" ht="14">
      <c r="A126" s="292">
        <v>123</v>
      </c>
      <c r="B126" s="283" t="s">
        <v>285</v>
      </c>
      <c r="C126" s="292" t="s">
        <v>91</v>
      </c>
      <c r="D126" s="815">
        <f>L197</f>
        <v>30000</v>
      </c>
      <c r="E126" s="296">
        <f t="shared" si="5"/>
        <v>30000</v>
      </c>
    </row>
    <row r="127" spans="1:6" s="211" customFormat="1" ht="14">
      <c r="A127" s="292">
        <v>124</v>
      </c>
      <c r="B127" s="283" t="s">
        <v>170</v>
      </c>
      <c r="C127" s="292" t="s">
        <v>91</v>
      </c>
      <c r="D127" s="815">
        <f t="shared" ref="D127:D136" si="7">VLOOKUP(B127,$H$170:$L$440,5,0)</f>
        <v>450000</v>
      </c>
      <c r="E127" s="296">
        <f t="shared" si="5"/>
        <v>450000</v>
      </c>
    </row>
    <row r="128" spans="1:6" s="211" customFormat="1" ht="14">
      <c r="A128" s="292">
        <v>125</v>
      </c>
      <c r="B128" s="288" t="s">
        <v>108</v>
      </c>
      <c r="C128" s="292" t="s">
        <v>91</v>
      </c>
      <c r="D128" s="815">
        <f t="shared" si="7"/>
        <v>18000</v>
      </c>
      <c r="E128" s="296">
        <f t="shared" si="5"/>
        <v>18000</v>
      </c>
    </row>
    <row r="129" spans="1:6" s="266" customFormat="1" ht="14">
      <c r="A129" s="292">
        <v>126</v>
      </c>
      <c r="B129" s="283" t="s">
        <v>227</v>
      </c>
      <c r="C129" s="292" t="s">
        <v>91</v>
      </c>
      <c r="D129" s="815">
        <f t="shared" si="7"/>
        <v>93000</v>
      </c>
      <c r="E129" s="296">
        <f t="shared" si="5"/>
        <v>93000</v>
      </c>
      <c r="F129" s="211"/>
    </row>
    <row r="130" spans="1:6" s="211" customFormat="1" ht="14">
      <c r="A130" s="292">
        <v>127</v>
      </c>
      <c r="B130" s="288" t="s">
        <v>148</v>
      </c>
      <c r="C130" s="292" t="s">
        <v>149</v>
      </c>
      <c r="D130" s="815">
        <f t="shared" si="7"/>
        <v>24820</v>
      </c>
      <c r="E130" s="296">
        <f t="shared" si="5"/>
        <v>24820</v>
      </c>
    </row>
    <row r="131" spans="1:6" s="211" customFormat="1" ht="14">
      <c r="A131" s="292">
        <v>128</v>
      </c>
      <c r="B131" s="288" t="s">
        <v>109</v>
      </c>
      <c r="C131" s="292" t="s">
        <v>91</v>
      </c>
      <c r="D131" s="815">
        <f t="shared" si="7"/>
        <v>50000</v>
      </c>
      <c r="E131" s="296">
        <f t="shared" si="5"/>
        <v>50000</v>
      </c>
    </row>
    <row r="132" spans="1:6" s="211" customFormat="1" ht="14">
      <c r="A132" s="292">
        <v>129</v>
      </c>
      <c r="B132" s="283" t="s">
        <v>142</v>
      </c>
      <c r="C132" s="282" t="s">
        <v>16</v>
      </c>
      <c r="D132" s="815">
        <f t="shared" si="7"/>
        <v>1650</v>
      </c>
      <c r="E132" s="296">
        <f t="shared" si="5"/>
        <v>1650</v>
      </c>
      <c r="F132" s="266"/>
    </row>
    <row r="133" spans="1:6" s="211" customFormat="1" ht="14">
      <c r="A133" s="292">
        <v>130</v>
      </c>
      <c r="B133" s="286" t="s">
        <v>261</v>
      </c>
      <c r="C133" s="292" t="s">
        <v>91</v>
      </c>
      <c r="D133" s="815">
        <f t="shared" si="7"/>
        <v>27000</v>
      </c>
      <c r="E133" s="296">
        <f t="shared" ref="E133:E166" si="8">D133*1</f>
        <v>27000</v>
      </c>
    </row>
    <row r="134" spans="1:6" s="211" customFormat="1" ht="14">
      <c r="A134" s="292">
        <v>131</v>
      </c>
      <c r="B134" s="286" t="s">
        <v>110</v>
      </c>
      <c r="C134" s="292" t="s">
        <v>91</v>
      </c>
      <c r="D134" s="815">
        <f t="shared" si="7"/>
        <v>80000</v>
      </c>
      <c r="E134" s="296">
        <f t="shared" si="8"/>
        <v>80000</v>
      </c>
    </row>
    <row r="135" spans="1:6">
      <c r="A135" s="292">
        <v>132</v>
      </c>
      <c r="B135" s="897" t="s">
        <v>599</v>
      </c>
      <c r="C135" s="898" t="s">
        <v>94</v>
      </c>
      <c r="D135" s="815">
        <f t="shared" si="7"/>
        <v>175000</v>
      </c>
      <c r="E135" s="296">
        <f t="shared" si="8"/>
        <v>175000</v>
      </c>
    </row>
    <row r="136" spans="1:6">
      <c r="A136" s="292">
        <v>133</v>
      </c>
      <c r="B136" s="897" t="s">
        <v>600</v>
      </c>
      <c r="C136" s="898" t="s">
        <v>91</v>
      </c>
      <c r="D136" s="815">
        <f t="shared" si="7"/>
        <v>690000</v>
      </c>
      <c r="E136" s="296">
        <f t="shared" si="8"/>
        <v>690000</v>
      </c>
    </row>
    <row r="137" spans="1:6" ht="16.5">
      <c r="A137" s="292">
        <v>134</v>
      </c>
      <c r="B137" s="899" t="s">
        <v>647</v>
      </c>
      <c r="C137" s="898" t="s">
        <v>91</v>
      </c>
      <c r="D137" s="815">
        <f>L407</f>
        <v>51190000</v>
      </c>
      <c r="E137" s="296">
        <f t="shared" si="8"/>
        <v>51190000</v>
      </c>
    </row>
    <row r="138" spans="1:6" ht="16.5">
      <c r="A138" s="292">
        <v>135</v>
      </c>
      <c r="B138" s="899" t="s">
        <v>650</v>
      </c>
      <c r="C138" s="898" t="s">
        <v>91</v>
      </c>
      <c r="D138" s="815">
        <f>L407</f>
        <v>51190000</v>
      </c>
      <c r="E138" s="296">
        <f t="shared" si="8"/>
        <v>51190000</v>
      </c>
    </row>
    <row r="139" spans="1:6" ht="16.5">
      <c r="A139" s="292">
        <v>136</v>
      </c>
      <c r="B139" s="899" t="s">
        <v>663</v>
      </c>
      <c r="C139" s="898" t="s">
        <v>94</v>
      </c>
      <c r="D139" s="815">
        <f>L218</f>
        <v>175000</v>
      </c>
      <c r="E139" s="296">
        <f t="shared" si="8"/>
        <v>175000</v>
      </c>
    </row>
    <row r="140" spans="1:6">
      <c r="A140" s="292">
        <v>137</v>
      </c>
      <c r="B140" s="897" t="s">
        <v>664</v>
      </c>
      <c r="C140" s="898" t="s">
        <v>91</v>
      </c>
      <c r="D140" s="815">
        <f>L196</f>
        <v>120000</v>
      </c>
      <c r="E140" s="296">
        <f t="shared" si="8"/>
        <v>120000</v>
      </c>
    </row>
    <row r="141" spans="1:6">
      <c r="A141" s="292">
        <v>138</v>
      </c>
      <c r="B141" s="897" t="s">
        <v>665</v>
      </c>
      <c r="C141" s="898" t="s">
        <v>99</v>
      </c>
      <c r="D141" s="815">
        <f>VLOOKUP(B141,$H$170:$L$440,5,0)</f>
        <v>145000</v>
      </c>
      <c r="E141" s="296">
        <f t="shared" si="8"/>
        <v>145000</v>
      </c>
    </row>
    <row r="142" spans="1:6">
      <c r="A142" s="292">
        <v>139</v>
      </c>
      <c r="B142" s="897" t="s">
        <v>666</v>
      </c>
      <c r="C142" s="898" t="s">
        <v>91</v>
      </c>
      <c r="D142" s="815">
        <f>L227</f>
        <v>2000000</v>
      </c>
      <c r="E142" s="296">
        <f t="shared" si="8"/>
        <v>2000000</v>
      </c>
    </row>
    <row r="143" spans="1:6">
      <c r="A143" s="292">
        <v>140</v>
      </c>
      <c r="B143" s="897" t="s">
        <v>667</v>
      </c>
      <c r="C143" s="898" t="s">
        <v>91</v>
      </c>
      <c r="D143" s="815">
        <f>L228</f>
        <v>2400000</v>
      </c>
      <c r="E143" s="296">
        <f t="shared" si="8"/>
        <v>2400000</v>
      </c>
    </row>
    <row r="144" spans="1:6">
      <c r="A144" s="292">
        <v>141</v>
      </c>
      <c r="B144" s="897" t="s">
        <v>668</v>
      </c>
      <c r="C144" s="898" t="s">
        <v>94</v>
      </c>
      <c r="D144" s="815">
        <f>L243</f>
        <v>165000</v>
      </c>
      <c r="E144" s="296">
        <f t="shared" si="8"/>
        <v>165000</v>
      </c>
    </row>
    <row r="145" spans="1:5">
      <c r="A145" s="292">
        <v>142</v>
      </c>
      <c r="B145" s="897" t="s">
        <v>611</v>
      </c>
      <c r="C145" s="898" t="s">
        <v>91</v>
      </c>
      <c r="D145" s="815">
        <f>VLOOKUP(B145,$H$170:$L$440,5,0)</f>
        <v>247000</v>
      </c>
      <c r="E145" s="296">
        <f t="shared" si="8"/>
        <v>247000</v>
      </c>
    </row>
    <row r="146" spans="1:5">
      <c r="A146" s="292">
        <v>143</v>
      </c>
      <c r="B146" s="291" t="s">
        <v>669</v>
      </c>
      <c r="C146" s="898" t="s">
        <v>91</v>
      </c>
      <c r="D146" s="815">
        <f>L404</f>
        <v>4082000</v>
      </c>
      <c r="E146" s="296">
        <f t="shared" si="8"/>
        <v>4082000</v>
      </c>
    </row>
    <row r="147" spans="1:5">
      <c r="A147" s="292">
        <v>144</v>
      </c>
      <c r="B147" s="291" t="s">
        <v>601</v>
      </c>
      <c r="C147" s="898" t="s">
        <v>91</v>
      </c>
      <c r="D147" s="815">
        <f>VLOOKUP(B147,$H$170:$L$440,5,0)</f>
        <v>280800000</v>
      </c>
      <c r="E147" s="296">
        <f t="shared" si="8"/>
        <v>280800000</v>
      </c>
    </row>
    <row r="148" spans="1:5">
      <c r="A148" s="292">
        <v>145</v>
      </c>
      <c r="B148" s="291" t="s">
        <v>602</v>
      </c>
      <c r="C148" s="898" t="s">
        <v>91</v>
      </c>
      <c r="D148" s="815">
        <f>VLOOKUP(B148,$H$170:$L$440,5,0)</f>
        <v>135000000</v>
      </c>
      <c r="E148" s="296">
        <f t="shared" si="8"/>
        <v>135000000</v>
      </c>
    </row>
    <row r="149" spans="1:5">
      <c r="A149" s="292">
        <v>146</v>
      </c>
      <c r="B149" s="291" t="s">
        <v>670</v>
      </c>
      <c r="C149" s="898" t="s">
        <v>91</v>
      </c>
      <c r="D149" s="815">
        <f>L401</f>
        <v>13900000</v>
      </c>
      <c r="E149" s="296">
        <f t="shared" si="8"/>
        <v>13900000</v>
      </c>
    </row>
    <row r="150" spans="1:5">
      <c r="A150" s="292">
        <v>147</v>
      </c>
      <c r="B150" s="291" t="s">
        <v>603</v>
      </c>
      <c r="C150" s="898" t="s">
        <v>94</v>
      </c>
      <c r="D150" s="815">
        <f>VLOOKUP(B150,$H$170:$L$440,5,0)</f>
        <v>85000000</v>
      </c>
      <c r="E150" s="296">
        <f t="shared" si="8"/>
        <v>85000000</v>
      </c>
    </row>
    <row r="151" spans="1:5">
      <c r="A151" s="292">
        <v>148</v>
      </c>
      <c r="B151" s="291" t="s">
        <v>671</v>
      </c>
      <c r="C151" s="898" t="s">
        <v>91</v>
      </c>
      <c r="D151" s="815">
        <f>VLOOKUP(B151,$H$170:$L$440,5,0)</f>
        <v>3990000</v>
      </c>
      <c r="E151" s="296">
        <f t="shared" si="8"/>
        <v>3990000</v>
      </c>
    </row>
    <row r="152" spans="1:5">
      <c r="A152" s="292">
        <v>149</v>
      </c>
      <c r="B152" s="291" t="s">
        <v>682</v>
      </c>
      <c r="C152" s="898" t="s">
        <v>167</v>
      </c>
      <c r="D152" s="815">
        <f>L329</f>
        <v>605000</v>
      </c>
      <c r="E152" s="296">
        <f t="shared" si="8"/>
        <v>605000</v>
      </c>
    </row>
    <row r="153" spans="1:5">
      <c r="A153" s="292">
        <v>150</v>
      </c>
      <c r="B153" s="291" t="s">
        <v>672</v>
      </c>
      <c r="C153" s="898" t="s">
        <v>116</v>
      </c>
      <c r="D153" s="815">
        <f>L288</f>
        <v>10000</v>
      </c>
      <c r="E153" s="296">
        <f t="shared" si="8"/>
        <v>10000</v>
      </c>
    </row>
    <row r="154" spans="1:5">
      <c r="A154" s="292">
        <v>151</v>
      </c>
      <c r="B154" s="291" t="s">
        <v>651</v>
      </c>
      <c r="C154" s="898" t="s">
        <v>116</v>
      </c>
      <c r="D154" s="815">
        <f>VLOOKUP(B154,$H$170:$L$440,5,0)</f>
        <v>8500</v>
      </c>
      <c r="E154" s="296">
        <f t="shared" si="8"/>
        <v>8500</v>
      </c>
    </row>
    <row r="155" spans="1:5">
      <c r="A155" s="292">
        <v>152</v>
      </c>
      <c r="B155" s="291" t="s">
        <v>652</v>
      </c>
      <c r="C155" s="898" t="s">
        <v>116</v>
      </c>
      <c r="D155" s="815">
        <f>L290</f>
        <v>8500</v>
      </c>
      <c r="E155" s="296">
        <f t="shared" si="8"/>
        <v>8500</v>
      </c>
    </row>
    <row r="156" spans="1:5">
      <c r="A156" s="292">
        <v>153</v>
      </c>
      <c r="B156" s="291" t="s">
        <v>653</v>
      </c>
      <c r="C156" s="898" t="s">
        <v>14</v>
      </c>
      <c r="D156" s="815">
        <f t="shared" ref="D156:D162" si="9">VLOOKUP(B156,$H$170:$L$440,5,0)</f>
        <v>5455000</v>
      </c>
      <c r="E156" s="296">
        <f t="shared" si="8"/>
        <v>5455000</v>
      </c>
    </row>
    <row r="157" spans="1:5">
      <c r="A157" s="292">
        <v>154</v>
      </c>
      <c r="B157" s="291" t="s">
        <v>656</v>
      </c>
      <c r="C157" s="898" t="s">
        <v>116</v>
      </c>
      <c r="D157" s="815">
        <f t="shared" si="9"/>
        <v>8500</v>
      </c>
      <c r="E157" s="296">
        <f t="shared" si="8"/>
        <v>8500</v>
      </c>
    </row>
    <row r="158" spans="1:5">
      <c r="A158" s="292">
        <v>155</v>
      </c>
      <c r="B158" s="291" t="s">
        <v>655</v>
      </c>
      <c r="C158" s="898" t="s">
        <v>94</v>
      </c>
      <c r="D158" s="815">
        <f t="shared" si="9"/>
        <v>150000</v>
      </c>
      <c r="E158" s="296">
        <f t="shared" si="8"/>
        <v>150000</v>
      </c>
    </row>
    <row r="159" spans="1:5">
      <c r="A159" s="292">
        <v>156</v>
      </c>
      <c r="B159" s="291" t="s">
        <v>657</v>
      </c>
      <c r="C159" s="898" t="s">
        <v>116</v>
      </c>
      <c r="D159" s="815">
        <f t="shared" si="9"/>
        <v>28000</v>
      </c>
      <c r="E159" s="296">
        <f t="shared" si="8"/>
        <v>28000</v>
      </c>
    </row>
    <row r="160" spans="1:5">
      <c r="A160" s="292">
        <v>157</v>
      </c>
      <c r="B160" s="291" t="s">
        <v>604</v>
      </c>
      <c r="C160" s="898" t="s">
        <v>136</v>
      </c>
      <c r="D160" s="815">
        <f t="shared" si="9"/>
        <v>10000</v>
      </c>
      <c r="E160" s="296">
        <f t="shared" si="8"/>
        <v>10000</v>
      </c>
    </row>
    <row r="161" spans="1:12">
      <c r="A161" s="292">
        <v>158</v>
      </c>
      <c r="B161" s="291" t="s">
        <v>658</v>
      </c>
      <c r="C161" s="898" t="s">
        <v>134</v>
      </c>
      <c r="D161" s="815">
        <f t="shared" si="9"/>
        <v>1000</v>
      </c>
      <c r="E161" s="296">
        <f t="shared" si="8"/>
        <v>1000</v>
      </c>
    </row>
    <row r="162" spans="1:12">
      <c r="A162" s="292">
        <v>159</v>
      </c>
      <c r="B162" s="291" t="s">
        <v>162</v>
      </c>
      <c r="C162" s="898" t="s">
        <v>272</v>
      </c>
      <c r="D162" s="815">
        <f t="shared" si="9"/>
        <v>11000</v>
      </c>
      <c r="E162" s="296">
        <f t="shared" si="8"/>
        <v>11000</v>
      </c>
    </row>
    <row r="163" spans="1:12">
      <c r="A163" s="292">
        <v>160</v>
      </c>
      <c r="B163" s="291" t="s">
        <v>659</v>
      </c>
      <c r="C163" s="898" t="s">
        <v>134</v>
      </c>
      <c r="D163" s="815">
        <f>L324</f>
        <v>30000</v>
      </c>
      <c r="E163" s="296">
        <f t="shared" si="8"/>
        <v>30000</v>
      </c>
    </row>
    <row r="164" spans="1:12">
      <c r="A164" s="292">
        <v>161</v>
      </c>
      <c r="B164" s="291" t="s">
        <v>660</v>
      </c>
      <c r="C164" s="898" t="s">
        <v>134</v>
      </c>
      <c r="D164" s="815">
        <f>VLOOKUP(B164,$H$170:$L$440,5,0)</f>
        <v>1000</v>
      </c>
      <c r="E164" s="296">
        <f t="shared" si="8"/>
        <v>1000</v>
      </c>
    </row>
    <row r="165" spans="1:12">
      <c r="A165" s="292">
        <v>162</v>
      </c>
      <c r="B165" s="291" t="s">
        <v>662</v>
      </c>
      <c r="C165" s="898" t="s">
        <v>134</v>
      </c>
      <c r="D165" s="815">
        <f>VLOOKUP(B165,$H$170:$L$440,5,0)</f>
        <v>1650</v>
      </c>
      <c r="E165" s="296">
        <f t="shared" si="8"/>
        <v>1650</v>
      </c>
    </row>
    <row r="166" spans="1:12">
      <c r="A166" s="292">
        <v>163</v>
      </c>
      <c r="B166" s="291" t="s">
        <v>661</v>
      </c>
      <c r="C166" s="898" t="s">
        <v>94</v>
      </c>
      <c r="D166" s="815">
        <f>L326</f>
        <v>150000</v>
      </c>
      <c r="E166" s="296">
        <f t="shared" si="8"/>
        <v>150000</v>
      </c>
    </row>
    <row r="167" spans="1:12">
      <c r="G167" s="1185" t="s">
        <v>686</v>
      </c>
      <c r="H167" s="1185"/>
      <c r="I167" s="1185"/>
      <c r="J167" s="1185"/>
      <c r="K167" s="1185"/>
      <c r="L167" s="1185"/>
    </row>
    <row r="168" spans="1:12">
      <c r="G168" s="989" t="s">
        <v>2</v>
      </c>
      <c r="H168" s="989" t="s">
        <v>687</v>
      </c>
      <c r="I168" s="989" t="s">
        <v>688</v>
      </c>
      <c r="J168" s="989" t="s">
        <v>689</v>
      </c>
      <c r="K168" s="989" t="s">
        <v>613</v>
      </c>
      <c r="L168" s="989" t="s">
        <v>80</v>
      </c>
    </row>
    <row r="169" spans="1:12">
      <c r="G169" s="989" t="s">
        <v>220</v>
      </c>
      <c r="H169" s="990" t="s">
        <v>690</v>
      </c>
      <c r="I169" s="989"/>
      <c r="J169" s="989"/>
      <c r="K169" s="991"/>
      <c r="L169" s="991"/>
    </row>
    <row r="170" spans="1:12">
      <c r="G170" s="992">
        <v>1</v>
      </c>
      <c r="H170" s="293" t="s">
        <v>90</v>
      </c>
      <c r="I170" s="992" t="s">
        <v>91</v>
      </c>
      <c r="J170" s="992">
        <v>1</v>
      </c>
      <c r="K170" s="994">
        <v>210000</v>
      </c>
      <c r="L170" s="994">
        <v>210000</v>
      </c>
    </row>
    <row r="171" spans="1:12">
      <c r="G171" s="992">
        <v>2</v>
      </c>
      <c r="H171" s="993" t="s">
        <v>92</v>
      </c>
      <c r="I171" s="992" t="s">
        <v>91</v>
      </c>
      <c r="J171" s="992">
        <v>1</v>
      </c>
      <c r="K171" s="994">
        <v>100000</v>
      </c>
      <c r="L171" s="994">
        <v>100000</v>
      </c>
    </row>
    <row r="172" spans="1:12">
      <c r="G172" s="992">
        <v>3</v>
      </c>
      <c r="H172" s="993" t="s">
        <v>597</v>
      </c>
      <c r="I172" s="992" t="s">
        <v>91</v>
      </c>
      <c r="J172" s="992">
        <v>1</v>
      </c>
      <c r="K172" s="994">
        <v>240000</v>
      </c>
      <c r="L172" s="994">
        <v>240000</v>
      </c>
    </row>
    <row r="173" spans="1:12">
      <c r="G173" s="992">
        <v>4</v>
      </c>
      <c r="H173" s="993" t="s">
        <v>93</v>
      </c>
      <c r="I173" s="992" t="s">
        <v>94</v>
      </c>
      <c r="J173" s="992">
        <v>1</v>
      </c>
      <c r="K173" s="994">
        <v>159000</v>
      </c>
      <c r="L173" s="994">
        <v>159000</v>
      </c>
    </row>
    <row r="174" spans="1:12">
      <c r="G174" s="992">
        <v>5</v>
      </c>
      <c r="H174" s="993" t="s">
        <v>393</v>
      </c>
      <c r="I174" s="992" t="s">
        <v>94</v>
      </c>
      <c r="J174" s="992">
        <v>1</v>
      </c>
      <c r="K174" s="994">
        <v>50000</v>
      </c>
      <c r="L174" s="994">
        <v>50000</v>
      </c>
    </row>
    <row r="175" spans="1:12">
      <c r="G175" s="992">
        <v>6</v>
      </c>
      <c r="H175" s="993" t="s">
        <v>95</v>
      </c>
      <c r="I175" s="992" t="s">
        <v>91</v>
      </c>
      <c r="J175" s="992">
        <v>1</v>
      </c>
      <c r="K175" s="994">
        <v>12000</v>
      </c>
      <c r="L175" s="994">
        <v>12000</v>
      </c>
    </row>
    <row r="176" spans="1:12">
      <c r="G176" s="992">
        <v>7</v>
      </c>
      <c r="H176" s="993" t="s">
        <v>692</v>
      </c>
      <c r="I176" s="992" t="s">
        <v>91</v>
      </c>
      <c r="J176" s="992">
        <v>1</v>
      </c>
      <c r="K176" s="994">
        <v>24000</v>
      </c>
      <c r="L176" s="994">
        <v>24000</v>
      </c>
    </row>
    <row r="177" spans="7:12">
      <c r="G177" s="992">
        <v>8</v>
      </c>
      <c r="H177" s="993" t="s">
        <v>693</v>
      </c>
      <c r="I177" s="992" t="s">
        <v>91</v>
      </c>
      <c r="J177" s="992">
        <v>1</v>
      </c>
      <c r="K177" s="994">
        <v>30000</v>
      </c>
      <c r="L177" s="994">
        <v>30000</v>
      </c>
    </row>
    <row r="178" spans="7:12">
      <c r="G178" s="992">
        <v>9</v>
      </c>
      <c r="H178" s="993" t="s">
        <v>694</v>
      </c>
      <c r="I178" s="992" t="s">
        <v>91</v>
      </c>
      <c r="J178" s="992">
        <v>1</v>
      </c>
      <c r="K178" s="994">
        <v>21000</v>
      </c>
      <c r="L178" s="994">
        <v>21000</v>
      </c>
    </row>
    <row r="179" spans="7:12">
      <c r="G179" s="992">
        <v>10</v>
      </c>
      <c r="H179" s="993" t="s">
        <v>96</v>
      </c>
      <c r="I179" s="992" t="s">
        <v>91</v>
      </c>
      <c r="J179" s="992">
        <v>1</v>
      </c>
      <c r="K179" s="994">
        <v>80000</v>
      </c>
      <c r="L179" s="994">
        <v>80000</v>
      </c>
    </row>
    <row r="180" spans="7:12">
      <c r="G180" s="992">
        <v>11</v>
      </c>
      <c r="H180" s="1004" t="s">
        <v>97</v>
      </c>
      <c r="I180" s="992" t="s">
        <v>91</v>
      </c>
      <c r="J180" s="992">
        <v>1</v>
      </c>
      <c r="K180" s="994">
        <v>60000</v>
      </c>
      <c r="L180" s="994">
        <v>60000</v>
      </c>
    </row>
    <row r="181" spans="7:12">
      <c r="G181" s="992">
        <v>12</v>
      </c>
      <c r="H181" s="993" t="s">
        <v>282</v>
      </c>
      <c r="I181" s="992" t="s">
        <v>94</v>
      </c>
      <c r="J181" s="992">
        <v>1</v>
      </c>
      <c r="K181" s="994">
        <v>100000</v>
      </c>
      <c r="L181" s="994">
        <v>100000</v>
      </c>
    </row>
    <row r="182" spans="7:12">
      <c r="G182" s="992">
        <v>13</v>
      </c>
      <c r="H182" s="993" t="s">
        <v>696</v>
      </c>
      <c r="I182" s="992" t="s">
        <v>99</v>
      </c>
      <c r="J182" s="992">
        <v>1</v>
      </c>
      <c r="K182" s="994">
        <v>145000</v>
      </c>
      <c r="L182" s="994">
        <v>145000</v>
      </c>
    </row>
    <row r="183" spans="7:12">
      <c r="G183" s="992">
        <v>14</v>
      </c>
      <c r="H183" s="993" t="s">
        <v>115</v>
      </c>
      <c r="I183" s="992" t="s">
        <v>91</v>
      </c>
      <c r="J183" s="992">
        <v>1</v>
      </c>
      <c r="K183" s="994">
        <v>350000</v>
      </c>
      <c r="L183" s="994">
        <v>350000</v>
      </c>
    </row>
    <row r="184" spans="7:12">
      <c r="G184" s="992">
        <v>15</v>
      </c>
      <c r="H184" s="993" t="s">
        <v>100</v>
      </c>
      <c r="I184" s="992" t="s">
        <v>91</v>
      </c>
      <c r="J184" s="992">
        <v>1</v>
      </c>
      <c r="K184" s="994">
        <v>210000</v>
      </c>
      <c r="L184" s="994">
        <v>210000</v>
      </c>
    </row>
    <row r="185" spans="7:12">
      <c r="G185" s="992">
        <v>16</v>
      </c>
      <c r="H185" s="993" t="s">
        <v>101</v>
      </c>
      <c r="I185" s="992" t="s">
        <v>91</v>
      </c>
      <c r="J185" s="992">
        <v>1</v>
      </c>
      <c r="K185" s="994">
        <v>50000</v>
      </c>
      <c r="L185" s="994">
        <v>50000</v>
      </c>
    </row>
    <row r="186" spans="7:12">
      <c r="G186" s="992">
        <v>17</v>
      </c>
      <c r="H186" s="993" t="s">
        <v>102</v>
      </c>
      <c r="I186" s="992" t="s">
        <v>103</v>
      </c>
      <c r="J186" s="992">
        <v>1</v>
      </c>
      <c r="K186" s="994">
        <v>10000</v>
      </c>
      <c r="L186" s="994">
        <v>10000</v>
      </c>
    </row>
    <row r="187" spans="7:12">
      <c r="G187" s="992">
        <v>18</v>
      </c>
      <c r="H187" s="993" t="s">
        <v>104</v>
      </c>
      <c r="I187" s="992" t="s">
        <v>91</v>
      </c>
      <c r="J187" s="992">
        <v>1</v>
      </c>
      <c r="K187" s="994">
        <v>100000</v>
      </c>
      <c r="L187" s="994">
        <v>100000</v>
      </c>
    </row>
    <row r="188" spans="7:12">
      <c r="G188" s="992">
        <v>19</v>
      </c>
      <c r="H188" s="993" t="s">
        <v>105</v>
      </c>
      <c r="I188" s="992" t="s">
        <v>91</v>
      </c>
      <c r="J188" s="992">
        <v>1</v>
      </c>
      <c r="K188" s="994">
        <v>1380000</v>
      </c>
      <c r="L188" s="994">
        <v>1380000</v>
      </c>
    </row>
    <row r="189" spans="7:12">
      <c r="G189" s="992">
        <v>20</v>
      </c>
      <c r="H189" s="993" t="s">
        <v>598</v>
      </c>
      <c r="I189" s="992" t="s">
        <v>94</v>
      </c>
      <c r="J189" s="992">
        <v>1</v>
      </c>
      <c r="K189" s="994">
        <v>350000</v>
      </c>
      <c r="L189" s="994">
        <v>350000</v>
      </c>
    </row>
    <row r="190" spans="7:12">
      <c r="G190" s="992">
        <v>21</v>
      </c>
      <c r="H190" s="993" t="s">
        <v>697</v>
      </c>
      <c r="I190" s="992" t="s">
        <v>116</v>
      </c>
      <c r="J190" s="992">
        <v>1</v>
      </c>
      <c r="K190" s="994">
        <v>15000</v>
      </c>
      <c r="L190" s="994">
        <v>15000</v>
      </c>
    </row>
    <row r="191" spans="7:12">
      <c r="G191" s="992">
        <v>22</v>
      </c>
      <c r="H191" s="993" t="s">
        <v>107</v>
      </c>
      <c r="I191" s="992" t="s">
        <v>99</v>
      </c>
      <c r="J191" s="992">
        <v>1</v>
      </c>
      <c r="K191" s="994">
        <v>26000</v>
      </c>
      <c r="L191" s="994">
        <v>26000</v>
      </c>
    </row>
    <row r="192" spans="7:12">
      <c r="G192" s="992">
        <v>23</v>
      </c>
      <c r="H192" s="993" t="s">
        <v>698</v>
      </c>
      <c r="I192" s="992" t="s">
        <v>91</v>
      </c>
      <c r="J192" s="992">
        <v>1</v>
      </c>
      <c r="K192" s="994">
        <v>49000</v>
      </c>
      <c r="L192" s="994">
        <v>49000</v>
      </c>
    </row>
    <row r="193" spans="7:12">
      <c r="G193" s="992">
        <v>24</v>
      </c>
      <c r="H193" s="993" t="s">
        <v>108</v>
      </c>
      <c r="I193" s="992" t="s">
        <v>91</v>
      </c>
      <c r="J193" s="992">
        <v>1</v>
      </c>
      <c r="K193" s="994">
        <v>18000</v>
      </c>
      <c r="L193" s="994">
        <v>18000</v>
      </c>
    </row>
    <row r="194" spans="7:12">
      <c r="G194" s="992">
        <v>25</v>
      </c>
      <c r="H194" s="993" t="s">
        <v>699</v>
      </c>
      <c r="I194" s="992" t="s">
        <v>91</v>
      </c>
      <c r="J194" s="992">
        <v>1</v>
      </c>
      <c r="K194" s="994">
        <v>5000</v>
      </c>
      <c r="L194" s="994">
        <v>5000</v>
      </c>
    </row>
    <row r="195" spans="7:12">
      <c r="G195" s="992">
        <v>26</v>
      </c>
      <c r="H195" s="993" t="s">
        <v>700</v>
      </c>
      <c r="I195" s="992" t="s">
        <v>91</v>
      </c>
      <c r="J195" s="992">
        <v>1</v>
      </c>
      <c r="K195" s="994">
        <v>50000</v>
      </c>
      <c r="L195" s="994">
        <v>50000</v>
      </c>
    </row>
    <row r="196" spans="7:12">
      <c r="G196" s="992">
        <v>27</v>
      </c>
      <c r="H196" s="993" t="s">
        <v>113</v>
      </c>
      <c r="I196" s="992" t="s">
        <v>91</v>
      </c>
      <c r="J196" s="992">
        <v>1</v>
      </c>
      <c r="K196" s="994">
        <v>120000</v>
      </c>
      <c r="L196" s="994">
        <v>120000</v>
      </c>
    </row>
    <row r="197" spans="7:12">
      <c r="G197" s="992">
        <v>28</v>
      </c>
      <c r="H197" s="993" t="s">
        <v>701</v>
      </c>
      <c r="I197" s="992" t="s">
        <v>91</v>
      </c>
      <c r="J197" s="992">
        <v>1</v>
      </c>
      <c r="K197" s="994">
        <v>30000</v>
      </c>
      <c r="L197" s="994">
        <v>30000</v>
      </c>
    </row>
    <row r="198" spans="7:12">
      <c r="G198" s="992">
        <v>29</v>
      </c>
      <c r="H198" s="993" t="s">
        <v>170</v>
      </c>
      <c r="I198" s="992" t="s">
        <v>91</v>
      </c>
      <c r="J198" s="992">
        <v>1</v>
      </c>
      <c r="K198" s="994">
        <v>450000</v>
      </c>
      <c r="L198" s="994">
        <v>450000</v>
      </c>
    </row>
    <row r="199" spans="7:12">
      <c r="G199" s="992">
        <v>30</v>
      </c>
      <c r="H199" s="993" t="s">
        <v>702</v>
      </c>
      <c r="I199" s="992" t="s">
        <v>91</v>
      </c>
      <c r="J199" s="992">
        <v>1</v>
      </c>
      <c r="K199" s="994">
        <v>1500000</v>
      </c>
      <c r="L199" s="994">
        <v>1500000</v>
      </c>
    </row>
    <row r="200" spans="7:12">
      <c r="G200" s="992">
        <v>31</v>
      </c>
      <c r="H200" s="993" t="s">
        <v>703</v>
      </c>
      <c r="I200" s="992" t="s">
        <v>91</v>
      </c>
      <c r="J200" s="992">
        <v>1</v>
      </c>
      <c r="K200" s="994">
        <v>43000</v>
      </c>
      <c r="L200" s="994">
        <v>43000</v>
      </c>
    </row>
    <row r="201" spans="7:12">
      <c r="G201" s="992">
        <v>32</v>
      </c>
      <c r="H201" s="993" t="s">
        <v>109</v>
      </c>
      <c r="I201" s="992" t="s">
        <v>91</v>
      </c>
      <c r="J201" s="992">
        <v>1</v>
      </c>
      <c r="K201" s="994">
        <v>50000</v>
      </c>
      <c r="L201" s="994">
        <v>50000</v>
      </c>
    </row>
    <row r="202" spans="7:12">
      <c r="G202" s="992">
        <v>33</v>
      </c>
      <c r="H202" s="993" t="s">
        <v>110</v>
      </c>
      <c r="I202" s="992" t="s">
        <v>91</v>
      </c>
      <c r="J202" s="992">
        <v>1</v>
      </c>
      <c r="K202" s="994">
        <v>80000</v>
      </c>
      <c r="L202" s="994">
        <v>80000</v>
      </c>
    </row>
    <row r="203" spans="7:12">
      <c r="G203" s="992">
        <v>34</v>
      </c>
      <c r="H203" s="993" t="s">
        <v>704</v>
      </c>
      <c r="I203" s="992" t="s">
        <v>91</v>
      </c>
      <c r="J203" s="992">
        <v>1</v>
      </c>
      <c r="K203" s="994">
        <v>180000</v>
      </c>
      <c r="L203" s="994">
        <v>180000</v>
      </c>
    </row>
    <row r="204" spans="7:12">
      <c r="G204" s="992">
        <v>35</v>
      </c>
      <c r="H204" s="993" t="s">
        <v>705</v>
      </c>
      <c r="I204" s="992" t="s">
        <v>91</v>
      </c>
      <c r="J204" s="992">
        <v>1</v>
      </c>
      <c r="K204" s="994">
        <v>87000</v>
      </c>
      <c r="L204" s="994">
        <v>87000</v>
      </c>
    </row>
    <row r="205" spans="7:12">
      <c r="G205" s="992">
        <v>36</v>
      </c>
      <c r="H205" s="993" t="s">
        <v>706</v>
      </c>
      <c r="I205" s="992" t="s">
        <v>91</v>
      </c>
      <c r="J205" s="992">
        <v>1</v>
      </c>
      <c r="K205" s="994">
        <v>150000</v>
      </c>
      <c r="L205" s="994">
        <v>150000</v>
      </c>
    </row>
    <row r="206" spans="7:12">
      <c r="G206" s="992">
        <v>37</v>
      </c>
      <c r="H206" s="993" t="s">
        <v>111</v>
      </c>
      <c r="I206" s="992" t="s">
        <v>707</v>
      </c>
      <c r="J206" s="992">
        <v>1</v>
      </c>
      <c r="K206" s="994">
        <v>15000</v>
      </c>
      <c r="L206" s="994">
        <v>15000</v>
      </c>
    </row>
    <row r="207" spans="7:12">
      <c r="G207" s="992">
        <v>38</v>
      </c>
      <c r="H207" s="993" t="s">
        <v>708</v>
      </c>
      <c r="I207" s="992" t="s">
        <v>91</v>
      </c>
      <c r="J207" s="992">
        <v>1</v>
      </c>
      <c r="K207" s="994">
        <v>287000</v>
      </c>
      <c r="L207" s="994">
        <v>287000</v>
      </c>
    </row>
    <row r="208" spans="7:12">
      <c r="G208" s="992">
        <v>39</v>
      </c>
      <c r="H208" s="993" t="s">
        <v>569</v>
      </c>
      <c r="I208" s="992" t="s">
        <v>91</v>
      </c>
      <c r="J208" s="992">
        <v>1</v>
      </c>
      <c r="K208" s="994">
        <v>205000</v>
      </c>
      <c r="L208" s="994">
        <v>205000</v>
      </c>
    </row>
    <row r="209" spans="7:12">
      <c r="G209" s="992">
        <v>40</v>
      </c>
      <c r="H209" s="993" t="s">
        <v>223</v>
      </c>
      <c r="I209" s="992" t="s">
        <v>91</v>
      </c>
      <c r="J209" s="992">
        <v>1</v>
      </c>
      <c r="K209" s="994">
        <v>30000</v>
      </c>
      <c r="L209" s="994">
        <v>30000</v>
      </c>
    </row>
    <row r="210" spans="7:12">
      <c r="G210" s="992">
        <v>41</v>
      </c>
      <c r="H210" s="993" t="s">
        <v>112</v>
      </c>
      <c r="I210" s="992" t="s">
        <v>91</v>
      </c>
      <c r="J210" s="992">
        <v>1</v>
      </c>
      <c r="K210" s="994">
        <v>50000</v>
      </c>
      <c r="L210" s="994">
        <v>50000</v>
      </c>
    </row>
    <row r="211" spans="7:12">
      <c r="G211" s="992">
        <v>42</v>
      </c>
      <c r="H211" s="993" t="s">
        <v>114</v>
      </c>
      <c r="I211" s="992" t="s">
        <v>91</v>
      </c>
      <c r="J211" s="992">
        <v>1</v>
      </c>
      <c r="K211" s="994">
        <v>15000</v>
      </c>
      <c r="L211" s="994">
        <v>15000</v>
      </c>
    </row>
    <row r="212" spans="7:12">
      <c r="G212" s="992">
        <v>43</v>
      </c>
      <c r="H212" s="993" t="s">
        <v>709</v>
      </c>
      <c r="I212" s="992" t="s">
        <v>91</v>
      </c>
      <c r="J212" s="992">
        <v>1</v>
      </c>
      <c r="K212" s="994">
        <v>1100000</v>
      </c>
      <c r="L212" s="994">
        <v>1100000</v>
      </c>
    </row>
    <row r="213" spans="7:12">
      <c r="G213" s="992">
        <v>44</v>
      </c>
      <c r="H213" s="993" t="s">
        <v>710</v>
      </c>
      <c r="I213" s="992" t="s">
        <v>91</v>
      </c>
      <c r="J213" s="992">
        <v>1</v>
      </c>
      <c r="K213" s="994">
        <v>300000</v>
      </c>
      <c r="L213" s="994">
        <v>300000</v>
      </c>
    </row>
    <row r="214" spans="7:12">
      <c r="G214" s="992">
        <v>45</v>
      </c>
      <c r="H214" s="993" t="s">
        <v>711</v>
      </c>
      <c r="I214" s="992" t="s">
        <v>91</v>
      </c>
      <c r="J214" s="992">
        <v>1</v>
      </c>
      <c r="K214" s="994">
        <v>198000</v>
      </c>
      <c r="L214" s="994">
        <v>198000</v>
      </c>
    </row>
    <row r="215" spans="7:12">
      <c r="G215" s="992">
        <v>46</v>
      </c>
      <c r="H215" s="993" t="s">
        <v>712</v>
      </c>
      <c r="I215" s="992" t="s">
        <v>91</v>
      </c>
      <c r="J215" s="992">
        <v>1</v>
      </c>
      <c r="K215" s="994">
        <v>66000</v>
      </c>
      <c r="L215" s="994">
        <v>66000</v>
      </c>
    </row>
    <row r="216" spans="7:12">
      <c r="G216" s="992">
        <v>47</v>
      </c>
      <c r="H216" s="993" t="s">
        <v>564</v>
      </c>
      <c r="I216" s="992" t="s">
        <v>91</v>
      </c>
      <c r="J216" s="992">
        <v>1</v>
      </c>
      <c r="K216" s="994">
        <v>4082000</v>
      </c>
      <c r="L216" s="994">
        <v>4082000</v>
      </c>
    </row>
    <row r="217" spans="7:12">
      <c r="G217" s="992">
        <v>48</v>
      </c>
      <c r="H217" s="993" t="s">
        <v>713</v>
      </c>
      <c r="I217" s="992" t="s">
        <v>707</v>
      </c>
      <c r="J217" s="992">
        <v>1</v>
      </c>
      <c r="K217" s="994">
        <v>15000</v>
      </c>
      <c r="L217" s="994">
        <v>15000</v>
      </c>
    </row>
    <row r="218" spans="7:12">
      <c r="G218" s="992">
        <v>49</v>
      </c>
      <c r="H218" s="993" t="s">
        <v>599</v>
      </c>
      <c r="I218" s="992" t="s">
        <v>94</v>
      </c>
      <c r="J218" s="992">
        <v>1</v>
      </c>
      <c r="K218" s="994">
        <v>175000</v>
      </c>
      <c r="L218" s="994">
        <v>175000</v>
      </c>
    </row>
    <row r="219" spans="7:12">
      <c r="G219" s="992">
        <v>50</v>
      </c>
      <c r="H219" s="993" t="s">
        <v>222</v>
      </c>
      <c r="I219" s="992" t="s">
        <v>91</v>
      </c>
      <c r="J219" s="992">
        <v>1</v>
      </c>
      <c r="K219" s="994">
        <v>83000</v>
      </c>
      <c r="L219" s="994">
        <v>83000</v>
      </c>
    </row>
    <row r="220" spans="7:12">
      <c r="G220" s="992">
        <v>51</v>
      </c>
      <c r="H220" s="993" t="s">
        <v>714</v>
      </c>
      <c r="I220" s="992" t="s">
        <v>91</v>
      </c>
      <c r="J220" s="992">
        <v>1</v>
      </c>
      <c r="K220" s="994">
        <v>20000</v>
      </c>
      <c r="L220" s="994">
        <v>20000</v>
      </c>
    </row>
    <row r="221" spans="7:12">
      <c r="G221" s="992">
        <v>52</v>
      </c>
      <c r="H221" s="993" t="s">
        <v>715</v>
      </c>
      <c r="I221" s="992" t="s">
        <v>116</v>
      </c>
      <c r="J221" s="992">
        <v>1</v>
      </c>
      <c r="K221" s="994">
        <v>50000</v>
      </c>
      <c r="L221" s="994">
        <v>50000</v>
      </c>
    </row>
    <row r="222" spans="7:12">
      <c r="G222" s="992">
        <v>53</v>
      </c>
      <c r="H222" s="993" t="s">
        <v>155</v>
      </c>
      <c r="I222" s="992" t="s">
        <v>91</v>
      </c>
      <c r="J222" s="992">
        <v>1</v>
      </c>
      <c r="K222" s="994">
        <v>700000</v>
      </c>
      <c r="L222" s="994">
        <v>700000</v>
      </c>
    </row>
    <row r="223" spans="7:12">
      <c r="G223" s="992">
        <v>54</v>
      </c>
      <c r="H223" s="993" t="s">
        <v>716</v>
      </c>
      <c r="I223" s="992" t="s">
        <v>91</v>
      </c>
      <c r="J223" s="992">
        <v>1</v>
      </c>
      <c r="K223" s="994">
        <v>140000</v>
      </c>
      <c r="L223" s="994">
        <v>140000</v>
      </c>
    </row>
    <row r="224" spans="7:12">
      <c r="G224" s="992">
        <v>55</v>
      </c>
      <c r="H224" s="993" t="s">
        <v>717</v>
      </c>
      <c r="I224" s="992" t="s">
        <v>91</v>
      </c>
      <c r="J224" s="992">
        <v>1</v>
      </c>
      <c r="K224" s="994">
        <v>500000</v>
      </c>
      <c r="L224" s="994">
        <v>500000</v>
      </c>
    </row>
    <row r="225" spans="7:12">
      <c r="G225" s="992">
        <v>57</v>
      </c>
      <c r="H225" s="993" t="s">
        <v>101</v>
      </c>
      <c r="I225" s="992" t="s">
        <v>91</v>
      </c>
      <c r="J225" s="992">
        <v>1</v>
      </c>
      <c r="K225" s="994">
        <v>50000</v>
      </c>
      <c r="L225" s="994">
        <v>50000</v>
      </c>
    </row>
    <row r="226" spans="7:12">
      <c r="G226" s="992">
        <v>58</v>
      </c>
      <c r="H226" s="993" t="s">
        <v>715</v>
      </c>
      <c r="I226" s="992" t="s">
        <v>116</v>
      </c>
      <c r="J226" s="992">
        <v>1</v>
      </c>
      <c r="K226" s="994">
        <v>50000</v>
      </c>
      <c r="L226" s="994">
        <v>50000</v>
      </c>
    </row>
    <row r="227" spans="7:12">
      <c r="G227" s="992">
        <v>59</v>
      </c>
      <c r="H227" s="993" t="s">
        <v>638</v>
      </c>
      <c r="I227" s="992" t="s">
        <v>91</v>
      </c>
      <c r="J227" s="992">
        <v>1</v>
      </c>
      <c r="K227" s="994">
        <v>2000000</v>
      </c>
      <c r="L227" s="994">
        <v>2000000</v>
      </c>
    </row>
    <row r="228" spans="7:12">
      <c r="G228" s="992">
        <v>60</v>
      </c>
      <c r="H228" s="993" t="s">
        <v>411</v>
      </c>
      <c r="I228" s="992" t="s">
        <v>91</v>
      </c>
      <c r="J228" s="992">
        <v>1</v>
      </c>
      <c r="K228" s="994">
        <v>2400000</v>
      </c>
      <c r="L228" s="994">
        <v>2400000</v>
      </c>
    </row>
    <row r="229" spans="7:12">
      <c r="G229" s="992">
        <v>61</v>
      </c>
      <c r="H229" s="993" t="s">
        <v>156</v>
      </c>
      <c r="I229" s="992" t="s">
        <v>91</v>
      </c>
      <c r="J229" s="992">
        <v>1</v>
      </c>
      <c r="K229" s="994">
        <v>87000</v>
      </c>
      <c r="L229" s="994">
        <v>87000</v>
      </c>
    </row>
    <row r="230" spans="7:12">
      <c r="G230" s="992">
        <v>62</v>
      </c>
      <c r="H230" s="993" t="s">
        <v>718</v>
      </c>
      <c r="I230" s="992" t="s">
        <v>91</v>
      </c>
      <c r="J230" s="992">
        <v>1</v>
      </c>
      <c r="K230" s="994">
        <v>93000</v>
      </c>
      <c r="L230" s="994">
        <v>93000</v>
      </c>
    </row>
    <row r="231" spans="7:12">
      <c r="G231" s="992">
        <v>63</v>
      </c>
      <c r="H231" s="993" t="s">
        <v>611</v>
      </c>
      <c r="I231" s="992" t="s">
        <v>91</v>
      </c>
      <c r="J231" s="992">
        <v>1</v>
      </c>
      <c r="K231" s="994">
        <v>247000</v>
      </c>
      <c r="L231" s="994">
        <v>247000</v>
      </c>
    </row>
    <row r="232" spans="7:12">
      <c r="G232" s="992">
        <v>64</v>
      </c>
      <c r="H232" s="993" t="s">
        <v>228</v>
      </c>
      <c r="I232" s="992" t="s">
        <v>91</v>
      </c>
      <c r="J232" s="992">
        <v>1</v>
      </c>
      <c r="K232" s="994">
        <v>175000</v>
      </c>
      <c r="L232" s="994">
        <v>175000</v>
      </c>
    </row>
    <row r="233" spans="7:12">
      <c r="G233" s="992">
        <v>65</v>
      </c>
      <c r="H233" s="993" t="s">
        <v>612</v>
      </c>
      <c r="I233" s="992" t="s">
        <v>719</v>
      </c>
      <c r="J233" s="992">
        <v>1</v>
      </c>
      <c r="K233" s="994">
        <v>2226</v>
      </c>
      <c r="L233" s="994">
        <v>2226</v>
      </c>
    </row>
    <row r="234" spans="7:12">
      <c r="G234" s="992">
        <v>66</v>
      </c>
      <c r="H234" s="813" t="s">
        <v>550</v>
      </c>
      <c r="I234" s="992" t="s">
        <v>91</v>
      </c>
      <c r="J234" s="992">
        <v>1</v>
      </c>
      <c r="K234" s="994">
        <v>819000</v>
      </c>
      <c r="L234" s="994">
        <v>819000</v>
      </c>
    </row>
    <row r="235" spans="7:12">
      <c r="G235" s="992">
        <v>67</v>
      </c>
      <c r="H235" s="993" t="s">
        <v>721</v>
      </c>
      <c r="I235" s="992" t="s">
        <v>91</v>
      </c>
      <c r="J235" s="992">
        <v>1</v>
      </c>
      <c r="K235" s="994">
        <v>285000</v>
      </c>
      <c r="L235" s="994">
        <v>285000</v>
      </c>
    </row>
    <row r="236" spans="7:12">
      <c r="G236" s="992">
        <v>68</v>
      </c>
      <c r="H236" s="993" t="s">
        <v>596</v>
      </c>
      <c r="I236" s="992" t="s">
        <v>91</v>
      </c>
      <c r="J236" s="992">
        <v>1</v>
      </c>
      <c r="K236" s="994">
        <v>300000</v>
      </c>
      <c r="L236" s="994">
        <v>300000</v>
      </c>
    </row>
    <row r="237" spans="7:12">
      <c r="G237" s="992">
        <v>69</v>
      </c>
      <c r="H237" s="993" t="s">
        <v>722</v>
      </c>
      <c r="I237" s="992" t="s">
        <v>99</v>
      </c>
      <c r="J237" s="992">
        <v>1</v>
      </c>
      <c r="K237" s="994">
        <v>25000</v>
      </c>
      <c r="L237" s="994">
        <v>25000</v>
      </c>
    </row>
    <row r="238" spans="7:12">
      <c r="G238" s="992">
        <v>70</v>
      </c>
      <c r="H238" s="993" t="s">
        <v>723</v>
      </c>
      <c r="I238" s="992" t="s">
        <v>91</v>
      </c>
      <c r="J238" s="992">
        <v>1</v>
      </c>
      <c r="K238" s="994">
        <v>150000</v>
      </c>
      <c r="L238" s="994">
        <v>150000</v>
      </c>
    </row>
    <row r="239" spans="7:12">
      <c r="G239" s="992">
        <v>71</v>
      </c>
      <c r="H239" s="993" t="s">
        <v>258</v>
      </c>
      <c r="I239" s="992" t="s">
        <v>91</v>
      </c>
      <c r="J239" s="992">
        <v>1</v>
      </c>
      <c r="K239" s="994">
        <v>1660000</v>
      </c>
      <c r="L239" s="994">
        <v>1660000</v>
      </c>
    </row>
    <row r="240" spans="7:12">
      <c r="G240" s="992">
        <v>72</v>
      </c>
      <c r="H240" s="993" t="s">
        <v>286</v>
      </c>
      <c r="I240" s="992" t="s">
        <v>91</v>
      </c>
      <c r="J240" s="992">
        <v>1</v>
      </c>
      <c r="K240" s="994">
        <v>1500000</v>
      </c>
      <c r="L240" s="994">
        <v>1500000</v>
      </c>
    </row>
    <row r="241" spans="7:12">
      <c r="G241" s="992">
        <v>73</v>
      </c>
      <c r="H241" s="993" t="s">
        <v>259</v>
      </c>
      <c r="I241" s="992" t="s">
        <v>91</v>
      </c>
      <c r="J241" s="992">
        <v>1</v>
      </c>
      <c r="K241" s="994">
        <v>600000</v>
      </c>
      <c r="L241" s="994">
        <v>600000</v>
      </c>
    </row>
    <row r="242" spans="7:12">
      <c r="G242" s="992">
        <v>74</v>
      </c>
      <c r="H242" s="993" t="s">
        <v>289</v>
      </c>
      <c r="I242" s="992" t="s">
        <v>91</v>
      </c>
      <c r="J242" s="992">
        <v>1</v>
      </c>
      <c r="K242" s="994">
        <v>100000</v>
      </c>
      <c r="L242" s="994">
        <v>100000</v>
      </c>
    </row>
    <row r="243" spans="7:12">
      <c r="G243" s="992">
        <v>75</v>
      </c>
      <c r="H243" s="993" t="s">
        <v>157</v>
      </c>
      <c r="I243" s="992" t="s">
        <v>91</v>
      </c>
      <c r="J243" s="992">
        <v>1</v>
      </c>
      <c r="K243" s="994">
        <v>165000</v>
      </c>
      <c r="L243" s="994">
        <v>165000</v>
      </c>
    </row>
    <row r="244" spans="7:12">
      <c r="G244" s="992">
        <v>76</v>
      </c>
      <c r="H244" s="993" t="s">
        <v>290</v>
      </c>
      <c r="I244" s="992" t="s">
        <v>91</v>
      </c>
      <c r="J244" s="992">
        <v>1</v>
      </c>
      <c r="K244" s="994">
        <v>2150000</v>
      </c>
      <c r="L244" s="994">
        <v>2150000</v>
      </c>
    </row>
    <row r="245" spans="7:12">
      <c r="G245" s="992">
        <v>77</v>
      </c>
      <c r="H245" s="993" t="s">
        <v>724</v>
      </c>
      <c r="I245" s="992" t="s">
        <v>91</v>
      </c>
      <c r="J245" s="992">
        <v>1</v>
      </c>
      <c r="K245" s="994">
        <v>2145000</v>
      </c>
      <c r="L245" s="994">
        <v>2145000</v>
      </c>
    </row>
    <row r="246" spans="7:12">
      <c r="G246" s="992">
        <v>78</v>
      </c>
      <c r="H246" s="993" t="s">
        <v>158</v>
      </c>
      <c r="I246" s="992" t="s">
        <v>91</v>
      </c>
      <c r="J246" s="992">
        <v>1</v>
      </c>
      <c r="K246" s="994">
        <v>290000</v>
      </c>
      <c r="L246" s="994">
        <v>290000</v>
      </c>
    </row>
    <row r="247" spans="7:12">
      <c r="G247" s="992">
        <v>79</v>
      </c>
      <c r="H247" s="993" t="s">
        <v>725</v>
      </c>
      <c r="I247" s="992" t="s">
        <v>91</v>
      </c>
      <c r="J247" s="992">
        <v>1</v>
      </c>
      <c r="K247" s="994">
        <v>1977000</v>
      </c>
      <c r="L247" s="994">
        <v>1977000</v>
      </c>
    </row>
    <row r="248" spans="7:12">
      <c r="G248" s="992">
        <v>80</v>
      </c>
      <c r="H248" s="993" t="s">
        <v>260</v>
      </c>
      <c r="I248" s="992" t="s">
        <v>91</v>
      </c>
      <c r="J248" s="992">
        <v>1</v>
      </c>
      <c r="K248" s="994">
        <v>2640000</v>
      </c>
      <c r="L248" s="994">
        <v>2640000</v>
      </c>
    </row>
    <row r="249" spans="7:12">
      <c r="G249" s="992">
        <v>81</v>
      </c>
      <c r="H249" s="993" t="s">
        <v>159</v>
      </c>
      <c r="I249" s="992" t="s">
        <v>91</v>
      </c>
      <c r="J249" s="992">
        <v>1</v>
      </c>
      <c r="K249" s="994">
        <v>2250000</v>
      </c>
      <c r="L249" s="994">
        <v>2250000</v>
      </c>
    </row>
    <row r="250" spans="7:12">
      <c r="G250" s="992">
        <v>82</v>
      </c>
      <c r="H250" s="993" t="s">
        <v>287</v>
      </c>
      <c r="I250" s="992" t="s">
        <v>91</v>
      </c>
      <c r="J250" s="992">
        <v>1</v>
      </c>
      <c r="K250" s="994">
        <v>220000</v>
      </c>
      <c r="L250" s="994">
        <v>220000</v>
      </c>
    </row>
    <row r="251" spans="7:12">
      <c r="G251" s="992">
        <v>83</v>
      </c>
      <c r="H251" s="993" t="s">
        <v>726</v>
      </c>
      <c r="I251" s="992" t="s">
        <v>91</v>
      </c>
      <c r="J251" s="992">
        <v>1</v>
      </c>
      <c r="K251" s="994">
        <v>275000</v>
      </c>
      <c r="L251" s="994">
        <v>275000</v>
      </c>
    </row>
    <row r="252" spans="7:12">
      <c r="G252" s="992">
        <v>84</v>
      </c>
      <c r="H252" s="993" t="s">
        <v>261</v>
      </c>
      <c r="I252" s="992" t="s">
        <v>91</v>
      </c>
      <c r="J252" s="992">
        <v>1</v>
      </c>
      <c r="K252" s="994">
        <v>27000</v>
      </c>
      <c r="L252" s="994">
        <v>27000</v>
      </c>
    </row>
    <row r="253" spans="7:12">
      <c r="G253" s="992">
        <v>85</v>
      </c>
      <c r="H253" s="993" t="s">
        <v>727</v>
      </c>
      <c r="I253" s="992" t="s">
        <v>116</v>
      </c>
      <c r="J253" s="992">
        <v>1</v>
      </c>
      <c r="K253" s="994">
        <v>83000</v>
      </c>
      <c r="L253" s="994">
        <v>83000</v>
      </c>
    </row>
    <row r="254" spans="7:12">
      <c r="G254" s="992">
        <v>86</v>
      </c>
      <c r="H254" s="993" t="s">
        <v>665</v>
      </c>
      <c r="I254" s="992" t="s">
        <v>99</v>
      </c>
      <c r="J254" s="992">
        <v>1</v>
      </c>
      <c r="K254" s="994">
        <v>145000</v>
      </c>
      <c r="L254" s="994">
        <v>145000</v>
      </c>
    </row>
    <row r="255" spans="7:12">
      <c r="G255" s="992">
        <v>87</v>
      </c>
      <c r="H255" s="993" t="s">
        <v>543</v>
      </c>
      <c r="I255" s="992" t="s">
        <v>91</v>
      </c>
      <c r="J255" s="992">
        <v>1</v>
      </c>
      <c r="K255" s="994">
        <v>100000</v>
      </c>
      <c r="L255" s="994">
        <v>100000</v>
      </c>
    </row>
    <row r="256" spans="7:12">
      <c r="G256" s="992">
        <v>88</v>
      </c>
      <c r="H256" s="993" t="s">
        <v>728</v>
      </c>
      <c r="I256" s="992" t="s">
        <v>91</v>
      </c>
      <c r="J256" s="992">
        <v>1</v>
      </c>
      <c r="K256" s="994">
        <v>300000</v>
      </c>
      <c r="L256" s="994">
        <v>300000</v>
      </c>
    </row>
    <row r="257" spans="7:12">
      <c r="G257" s="992">
        <v>89</v>
      </c>
      <c r="H257" s="1002" t="s">
        <v>541</v>
      </c>
      <c r="I257" s="992" t="s">
        <v>91</v>
      </c>
      <c r="J257" s="992">
        <v>1</v>
      </c>
      <c r="K257" s="994">
        <v>37000</v>
      </c>
      <c r="L257" s="994">
        <v>37000</v>
      </c>
    </row>
    <row r="258" spans="7:12">
      <c r="G258" s="992">
        <v>90</v>
      </c>
      <c r="H258" s="293" t="s">
        <v>542</v>
      </c>
      <c r="I258" s="992" t="s">
        <v>91</v>
      </c>
      <c r="J258" s="992">
        <v>1</v>
      </c>
      <c r="K258" s="994">
        <v>185000</v>
      </c>
      <c r="L258" s="994">
        <v>185000</v>
      </c>
    </row>
    <row r="259" spans="7:12">
      <c r="G259" s="992">
        <v>91</v>
      </c>
      <c r="H259" s="993" t="s">
        <v>731</v>
      </c>
      <c r="I259" s="992" t="s">
        <v>91</v>
      </c>
      <c r="J259" s="992">
        <v>1</v>
      </c>
      <c r="K259" s="994">
        <v>500000</v>
      </c>
      <c r="L259" s="994">
        <v>500000</v>
      </c>
    </row>
    <row r="260" spans="7:12">
      <c r="G260" s="992">
        <v>92</v>
      </c>
      <c r="H260" s="993" t="s">
        <v>559</v>
      </c>
      <c r="I260" s="992" t="s">
        <v>91</v>
      </c>
      <c r="J260" s="992">
        <v>1</v>
      </c>
      <c r="K260" s="994">
        <v>46000</v>
      </c>
      <c r="L260" s="994">
        <v>46000</v>
      </c>
    </row>
    <row r="261" spans="7:12">
      <c r="G261" s="992">
        <v>93</v>
      </c>
      <c r="H261" s="993" t="s">
        <v>548</v>
      </c>
      <c r="I261" s="992" t="s">
        <v>91</v>
      </c>
      <c r="J261" s="992">
        <v>1</v>
      </c>
      <c r="K261" s="994">
        <v>11500</v>
      </c>
      <c r="L261" s="994">
        <v>11500</v>
      </c>
    </row>
    <row r="262" spans="7:12">
      <c r="G262" s="992">
        <v>94</v>
      </c>
      <c r="H262" s="993" t="s">
        <v>600</v>
      </c>
      <c r="I262" s="992" t="s">
        <v>91</v>
      </c>
      <c r="J262" s="992">
        <v>1</v>
      </c>
      <c r="K262" s="994">
        <v>690000</v>
      </c>
      <c r="L262" s="994">
        <v>690000</v>
      </c>
    </row>
    <row r="263" spans="7:12">
      <c r="G263" s="992">
        <v>95</v>
      </c>
      <c r="H263" s="993" t="s">
        <v>732</v>
      </c>
      <c r="I263" s="992" t="s">
        <v>91</v>
      </c>
      <c r="J263" s="992">
        <v>1</v>
      </c>
      <c r="K263" s="994">
        <v>200000</v>
      </c>
      <c r="L263" s="994">
        <v>200000</v>
      </c>
    </row>
    <row r="264" spans="7:12">
      <c r="G264" s="992">
        <v>96</v>
      </c>
      <c r="H264" s="993" t="s">
        <v>608</v>
      </c>
      <c r="I264" s="992" t="s">
        <v>91</v>
      </c>
      <c r="J264" s="992">
        <v>1</v>
      </c>
      <c r="K264" s="994">
        <v>19000</v>
      </c>
      <c r="L264" s="994">
        <v>19000</v>
      </c>
    </row>
    <row r="265" spans="7:12">
      <c r="G265" s="992">
        <v>97</v>
      </c>
      <c r="H265" s="993" t="s">
        <v>733</v>
      </c>
      <c r="I265" s="992" t="s">
        <v>91</v>
      </c>
      <c r="J265" s="992">
        <v>1</v>
      </c>
      <c r="K265" s="994">
        <v>2459200</v>
      </c>
      <c r="L265" s="994">
        <v>2459200</v>
      </c>
    </row>
    <row r="266" spans="7:12">
      <c r="G266" s="992">
        <v>98</v>
      </c>
      <c r="H266" s="993" t="s">
        <v>734</v>
      </c>
      <c r="I266" s="992" t="s">
        <v>94</v>
      </c>
      <c r="J266" s="992">
        <v>1</v>
      </c>
      <c r="K266" s="994">
        <v>295000</v>
      </c>
      <c r="L266" s="994">
        <v>295000</v>
      </c>
    </row>
    <row r="267" spans="7:12">
      <c r="G267" s="992">
        <v>99</v>
      </c>
      <c r="H267" s="993" t="s">
        <v>735</v>
      </c>
      <c r="I267" s="992" t="s">
        <v>91</v>
      </c>
      <c r="J267" s="992">
        <v>1</v>
      </c>
      <c r="K267" s="994">
        <v>2890000</v>
      </c>
      <c r="L267" s="994">
        <v>2890000</v>
      </c>
    </row>
    <row r="268" spans="7:12">
      <c r="G268" s="989" t="s">
        <v>248</v>
      </c>
      <c r="H268" s="990" t="s">
        <v>736</v>
      </c>
      <c r="I268" s="992"/>
      <c r="J268" s="989"/>
      <c r="K268" s="994">
        <v>0</v>
      </c>
      <c r="L268" s="994">
        <v>0</v>
      </c>
    </row>
    <row r="269" spans="7:12">
      <c r="G269" s="992">
        <v>1</v>
      </c>
      <c r="H269" s="993" t="s">
        <v>133</v>
      </c>
      <c r="I269" s="992" t="s">
        <v>134</v>
      </c>
      <c r="J269" s="992">
        <v>1</v>
      </c>
      <c r="K269" s="994">
        <v>400000</v>
      </c>
      <c r="L269" s="994">
        <v>400000</v>
      </c>
    </row>
    <row r="270" spans="7:12">
      <c r="G270" s="992">
        <v>2</v>
      </c>
      <c r="H270" s="993" t="s">
        <v>135</v>
      </c>
      <c r="I270" s="992" t="s">
        <v>136</v>
      </c>
      <c r="J270" s="992">
        <v>1</v>
      </c>
      <c r="K270" s="994">
        <v>10000</v>
      </c>
      <c r="L270" s="994">
        <v>10000</v>
      </c>
    </row>
    <row r="271" spans="7:12">
      <c r="G271" s="992">
        <v>3</v>
      </c>
      <c r="H271" s="993" t="s">
        <v>604</v>
      </c>
      <c r="I271" s="992" t="s">
        <v>136</v>
      </c>
      <c r="J271" s="992">
        <v>1</v>
      </c>
      <c r="K271" s="994">
        <v>10000</v>
      </c>
      <c r="L271" s="994">
        <v>10000</v>
      </c>
    </row>
    <row r="272" spans="7:12">
      <c r="G272" s="992">
        <v>4</v>
      </c>
      <c r="H272" s="993" t="s">
        <v>737</v>
      </c>
      <c r="I272" s="992" t="s">
        <v>134</v>
      </c>
      <c r="J272" s="992">
        <v>1</v>
      </c>
      <c r="K272" s="994">
        <v>1000</v>
      </c>
      <c r="L272" s="994">
        <v>1000</v>
      </c>
    </row>
    <row r="273" spans="7:12" ht="18.5">
      <c r="G273" s="992">
        <v>5</v>
      </c>
      <c r="H273" s="993" t="s">
        <v>738</v>
      </c>
      <c r="I273" s="992" t="s">
        <v>134</v>
      </c>
      <c r="J273" s="992">
        <v>1</v>
      </c>
      <c r="K273" s="994">
        <v>10000</v>
      </c>
      <c r="L273" s="994">
        <v>10000</v>
      </c>
    </row>
    <row r="274" spans="7:12">
      <c r="G274" s="992">
        <v>6</v>
      </c>
      <c r="H274" s="993" t="s">
        <v>739</v>
      </c>
      <c r="I274" s="992" t="s">
        <v>94</v>
      </c>
      <c r="J274" s="992">
        <v>1</v>
      </c>
      <c r="K274" s="994">
        <v>1000</v>
      </c>
      <c r="L274" s="994">
        <v>1000</v>
      </c>
    </row>
    <row r="275" spans="7:12">
      <c r="G275" s="992">
        <v>7</v>
      </c>
      <c r="H275" s="993" t="s">
        <v>137</v>
      </c>
      <c r="I275" s="992" t="s">
        <v>94</v>
      </c>
      <c r="J275" s="992">
        <v>1</v>
      </c>
      <c r="K275" s="994">
        <v>20000</v>
      </c>
      <c r="L275" s="994">
        <v>20000</v>
      </c>
    </row>
    <row r="276" spans="7:12">
      <c r="G276" s="992">
        <v>8</v>
      </c>
      <c r="H276" s="993" t="s">
        <v>138</v>
      </c>
      <c r="I276" s="992" t="s">
        <v>94</v>
      </c>
      <c r="J276" s="992">
        <v>1</v>
      </c>
      <c r="K276" s="994">
        <v>20000</v>
      </c>
      <c r="L276" s="994">
        <v>20000</v>
      </c>
    </row>
    <row r="277" spans="7:12">
      <c r="G277" s="992">
        <v>9</v>
      </c>
      <c r="H277" s="993" t="s">
        <v>165</v>
      </c>
      <c r="I277" s="992" t="s">
        <v>139</v>
      </c>
      <c r="J277" s="992">
        <v>1</v>
      </c>
      <c r="K277" s="994">
        <v>70000</v>
      </c>
      <c r="L277" s="994">
        <v>70000</v>
      </c>
    </row>
    <row r="278" spans="7:12">
      <c r="G278" s="992">
        <v>10</v>
      </c>
      <c r="H278" s="993" t="s">
        <v>166</v>
      </c>
      <c r="I278" s="992" t="s">
        <v>139</v>
      </c>
      <c r="J278" s="992">
        <v>1</v>
      </c>
      <c r="K278" s="994">
        <v>140000</v>
      </c>
      <c r="L278" s="994">
        <v>140000</v>
      </c>
    </row>
    <row r="279" spans="7:12">
      <c r="G279" s="992">
        <v>11</v>
      </c>
      <c r="H279" s="993" t="s">
        <v>162</v>
      </c>
      <c r="I279" s="992" t="s">
        <v>272</v>
      </c>
      <c r="J279" s="992">
        <v>1</v>
      </c>
      <c r="K279" s="994">
        <v>11000</v>
      </c>
      <c r="L279" s="994">
        <v>11000</v>
      </c>
    </row>
    <row r="280" spans="7:12">
      <c r="G280" s="992">
        <v>12</v>
      </c>
      <c r="H280" s="993" t="s">
        <v>662</v>
      </c>
      <c r="I280" s="992" t="s">
        <v>134</v>
      </c>
      <c r="J280" s="992">
        <v>1</v>
      </c>
      <c r="K280" s="994">
        <v>1650</v>
      </c>
      <c r="L280" s="994">
        <v>1650</v>
      </c>
    </row>
    <row r="281" spans="7:12">
      <c r="G281" s="992">
        <v>13</v>
      </c>
      <c r="H281" s="993" t="s">
        <v>658</v>
      </c>
      <c r="I281" s="992" t="s">
        <v>134</v>
      </c>
      <c r="J281" s="992">
        <v>1</v>
      </c>
      <c r="K281" s="994">
        <v>1000</v>
      </c>
      <c r="L281" s="994">
        <v>1000</v>
      </c>
    </row>
    <row r="282" spans="7:12">
      <c r="G282" s="992">
        <v>14</v>
      </c>
      <c r="H282" s="993" t="s">
        <v>740</v>
      </c>
      <c r="I282" s="992" t="s">
        <v>134</v>
      </c>
      <c r="J282" s="992">
        <v>1</v>
      </c>
      <c r="K282" s="994">
        <v>1500</v>
      </c>
      <c r="L282" s="994">
        <v>1500</v>
      </c>
    </row>
    <row r="283" spans="7:12">
      <c r="G283" s="992">
        <v>15</v>
      </c>
      <c r="H283" s="993" t="s">
        <v>164</v>
      </c>
      <c r="I283" s="992" t="s">
        <v>16</v>
      </c>
      <c r="J283" s="992">
        <v>1</v>
      </c>
      <c r="K283" s="994">
        <v>225000</v>
      </c>
      <c r="L283" s="994">
        <v>225000</v>
      </c>
    </row>
    <row r="284" spans="7:12">
      <c r="G284" s="992">
        <v>16</v>
      </c>
      <c r="H284" s="993" t="s">
        <v>651</v>
      </c>
      <c r="I284" s="992" t="s">
        <v>116</v>
      </c>
      <c r="J284" s="992">
        <v>1</v>
      </c>
      <c r="K284" s="994">
        <v>8500</v>
      </c>
      <c r="L284" s="994">
        <v>8500</v>
      </c>
    </row>
    <row r="285" spans="7:12">
      <c r="G285" s="992">
        <v>17</v>
      </c>
      <c r="H285" s="993" t="s">
        <v>741</v>
      </c>
      <c r="I285" s="992" t="s">
        <v>116</v>
      </c>
      <c r="J285" s="992">
        <v>1</v>
      </c>
      <c r="K285" s="994">
        <v>8500</v>
      </c>
      <c r="L285" s="994">
        <v>8500</v>
      </c>
    </row>
    <row r="286" spans="7:12">
      <c r="G286" s="992">
        <v>18</v>
      </c>
      <c r="H286" s="993" t="s">
        <v>742</v>
      </c>
      <c r="I286" s="992" t="s">
        <v>116</v>
      </c>
      <c r="J286" s="992">
        <v>1</v>
      </c>
      <c r="K286" s="994">
        <v>8500</v>
      </c>
      <c r="L286" s="994">
        <v>8500</v>
      </c>
    </row>
    <row r="287" spans="7:12">
      <c r="G287" s="992">
        <v>19</v>
      </c>
      <c r="H287" s="993" t="s">
        <v>743</v>
      </c>
      <c r="I287" s="992" t="s">
        <v>116</v>
      </c>
      <c r="J287" s="992">
        <v>1</v>
      </c>
      <c r="K287" s="994">
        <v>8500</v>
      </c>
      <c r="L287" s="994">
        <v>8500</v>
      </c>
    </row>
    <row r="288" spans="7:12">
      <c r="G288" s="992">
        <v>20</v>
      </c>
      <c r="H288" s="993" t="s">
        <v>141</v>
      </c>
      <c r="I288" s="992" t="s">
        <v>116</v>
      </c>
      <c r="J288" s="992">
        <v>1</v>
      </c>
      <c r="K288" s="994">
        <v>10000</v>
      </c>
      <c r="L288" s="994">
        <v>10000</v>
      </c>
    </row>
    <row r="289" spans="7:12">
      <c r="G289" s="992">
        <v>21</v>
      </c>
      <c r="H289" s="993" t="s">
        <v>744</v>
      </c>
      <c r="I289" s="992" t="s">
        <v>116</v>
      </c>
      <c r="J289" s="992">
        <v>1</v>
      </c>
      <c r="K289" s="994">
        <v>10000</v>
      </c>
      <c r="L289" s="994">
        <v>10000</v>
      </c>
    </row>
    <row r="290" spans="7:12">
      <c r="G290" s="992">
        <v>22</v>
      </c>
      <c r="H290" s="993" t="s">
        <v>656</v>
      </c>
      <c r="I290" s="992" t="s">
        <v>116</v>
      </c>
      <c r="J290" s="992">
        <v>1</v>
      </c>
      <c r="K290" s="994">
        <v>8500</v>
      </c>
      <c r="L290" s="994">
        <v>8500</v>
      </c>
    </row>
    <row r="291" spans="7:12">
      <c r="G291" s="992">
        <v>23</v>
      </c>
      <c r="H291" s="993" t="s">
        <v>273</v>
      </c>
      <c r="I291" s="992" t="s">
        <v>116</v>
      </c>
      <c r="J291" s="992">
        <v>1</v>
      </c>
      <c r="K291" s="994">
        <v>8500</v>
      </c>
      <c r="L291" s="994">
        <v>8500</v>
      </c>
    </row>
    <row r="292" spans="7:12">
      <c r="G292" s="992">
        <v>24</v>
      </c>
      <c r="H292" s="993" t="s">
        <v>142</v>
      </c>
      <c r="I292" s="992" t="s">
        <v>16</v>
      </c>
      <c r="J292" s="992">
        <v>1</v>
      </c>
      <c r="K292" s="994">
        <v>1650</v>
      </c>
      <c r="L292" s="994">
        <v>1650</v>
      </c>
    </row>
    <row r="293" spans="7:12" ht="18.5">
      <c r="G293" s="992">
        <v>25</v>
      </c>
      <c r="H293" s="993" t="s">
        <v>143</v>
      </c>
      <c r="I293" s="992" t="s">
        <v>745</v>
      </c>
      <c r="J293" s="992">
        <v>1</v>
      </c>
      <c r="K293" s="994">
        <v>317262</v>
      </c>
      <c r="L293" s="994">
        <v>317262</v>
      </c>
    </row>
    <row r="294" spans="7:12" ht="18.5">
      <c r="G294" s="992">
        <v>26</v>
      </c>
      <c r="H294" s="993" t="s">
        <v>144</v>
      </c>
      <c r="I294" s="992" t="s">
        <v>745</v>
      </c>
      <c r="J294" s="992">
        <v>1</v>
      </c>
      <c r="K294" s="994">
        <v>240741</v>
      </c>
      <c r="L294" s="994">
        <v>240741</v>
      </c>
    </row>
    <row r="295" spans="7:12">
      <c r="G295" s="992">
        <v>27</v>
      </c>
      <c r="H295" s="293" t="s">
        <v>145</v>
      </c>
      <c r="I295" s="992" t="s">
        <v>91</v>
      </c>
      <c r="J295" s="992">
        <v>1</v>
      </c>
      <c r="K295" s="994">
        <v>4000</v>
      </c>
      <c r="L295" s="994">
        <v>4000</v>
      </c>
    </row>
    <row r="296" spans="7:12" ht="18.5">
      <c r="G296" s="992">
        <v>28</v>
      </c>
      <c r="H296" s="993" t="s">
        <v>653</v>
      </c>
      <c r="I296" s="992" t="s">
        <v>745</v>
      </c>
      <c r="J296" s="992">
        <v>1</v>
      </c>
      <c r="K296" s="994">
        <v>5455000</v>
      </c>
      <c r="L296" s="994">
        <v>5455000</v>
      </c>
    </row>
    <row r="297" spans="7:12">
      <c r="G297" s="992">
        <v>29</v>
      </c>
      <c r="H297" s="993" t="s">
        <v>146</v>
      </c>
      <c r="I297" s="992" t="s">
        <v>16</v>
      </c>
      <c r="J297" s="992">
        <v>1</v>
      </c>
      <c r="K297" s="994">
        <v>24000</v>
      </c>
      <c r="L297" s="994">
        <v>24000</v>
      </c>
    </row>
    <row r="298" spans="7:12">
      <c r="G298" s="992">
        <v>30</v>
      </c>
      <c r="H298" s="293" t="s">
        <v>243</v>
      </c>
      <c r="I298" s="992" t="s">
        <v>91</v>
      </c>
      <c r="J298" s="992">
        <v>1</v>
      </c>
      <c r="K298" s="994">
        <v>500000</v>
      </c>
      <c r="L298" s="994">
        <v>500000</v>
      </c>
    </row>
    <row r="299" spans="7:12">
      <c r="G299" s="992">
        <v>31</v>
      </c>
      <c r="H299" s="993" t="s">
        <v>748</v>
      </c>
      <c r="I299" s="992" t="s">
        <v>16</v>
      </c>
      <c r="J299" s="992">
        <v>1</v>
      </c>
      <c r="K299" s="994">
        <v>14500</v>
      </c>
      <c r="L299" s="994">
        <v>14500</v>
      </c>
    </row>
    <row r="300" spans="7:12">
      <c r="G300" s="992">
        <v>32</v>
      </c>
      <c r="H300" s="993" t="s">
        <v>148</v>
      </c>
      <c r="I300" s="992" t="s">
        <v>149</v>
      </c>
      <c r="J300" s="992">
        <v>1</v>
      </c>
      <c r="K300" s="994">
        <v>24820</v>
      </c>
      <c r="L300" s="994">
        <v>24820</v>
      </c>
    </row>
    <row r="301" spans="7:12">
      <c r="G301" s="992">
        <v>33</v>
      </c>
      <c r="H301" s="993" t="s">
        <v>150</v>
      </c>
      <c r="I301" s="992" t="s">
        <v>149</v>
      </c>
      <c r="J301" s="992">
        <v>1</v>
      </c>
      <c r="K301" s="994">
        <v>79000</v>
      </c>
      <c r="L301" s="994">
        <v>79000</v>
      </c>
    </row>
    <row r="302" spans="7:12">
      <c r="G302" s="992">
        <v>34</v>
      </c>
      <c r="H302" s="993" t="s">
        <v>151</v>
      </c>
      <c r="I302" s="992" t="s">
        <v>152</v>
      </c>
      <c r="J302" s="992">
        <v>1</v>
      </c>
      <c r="K302" s="994">
        <v>50000</v>
      </c>
      <c r="L302" s="994">
        <v>50000</v>
      </c>
    </row>
    <row r="303" spans="7:12">
      <c r="G303" s="992">
        <v>35</v>
      </c>
      <c r="H303" s="993" t="s">
        <v>749</v>
      </c>
      <c r="I303" s="992" t="s">
        <v>99</v>
      </c>
      <c r="J303" s="992">
        <v>1</v>
      </c>
      <c r="K303" s="994">
        <v>87000</v>
      </c>
      <c r="L303" s="994">
        <v>87000</v>
      </c>
    </row>
    <row r="304" spans="7:12">
      <c r="G304" s="992">
        <v>36</v>
      </c>
      <c r="H304" s="993" t="s">
        <v>750</v>
      </c>
      <c r="I304" s="992" t="s">
        <v>134</v>
      </c>
      <c r="J304" s="992">
        <v>1</v>
      </c>
      <c r="K304" s="994">
        <v>1000</v>
      </c>
      <c r="L304" s="994">
        <v>1000</v>
      </c>
    </row>
    <row r="305" spans="7:12">
      <c r="G305" s="992">
        <v>37</v>
      </c>
      <c r="H305" s="993" t="s">
        <v>751</v>
      </c>
      <c r="I305" s="992" t="s">
        <v>134</v>
      </c>
      <c r="J305" s="992">
        <v>1</v>
      </c>
      <c r="K305" s="994">
        <v>1000</v>
      </c>
      <c r="L305" s="994">
        <v>1000</v>
      </c>
    </row>
    <row r="306" spans="7:12">
      <c r="G306" s="992">
        <v>38</v>
      </c>
      <c r="H306" s="993" t="s">
        <v>160</v>
      </c>
      <c r="I306" s="992" t="s">
        <v>91</v>
      </c>
      <c r="J306" s="992">
        <v>1</v>
      </c>
      <c r="K306" s="994">
        <v>1000</v>
      </c>
      <c r="L306" s="994">
        <v>1000</v>
      </c>
    </row>
    <row r="307" spans="7:12">
      <c r="G307" s="992">
        <v>39</v>
      </c>
      <c r="H307" s="993" t="s">
        <v>752</v>
      </c>
      <c r="I307" s="992" t="s">
        <v>134</v>
      </c>
      <c r="J307" s="992">
        <v>1</v>
      </c>
      <c r="K307" s="994">
        <v>1000</v>
      </c>
      <c r="L307" s="994">
        <v>1000</v>
      </c>
    </row>
    <row r="308" spans="7:12">
      <c r="G308" s="992">
        <v>40</v>
      </c>
      <c r="H308" s="993" t="s">
        <v>660</v>
      </c>
      <c r="I308" s="992" t="s">
        <v>134</v>
      </c>
      <c r="J308" s="992">
        <v>1</v>
      </c>
      <c r="K308" s="994">
        <v>1000</v>
      </c>
      <c r="L308" s="994">
        <v>1000</v>
      </c>
    </row>
    <row r="309" spans="7:12">
      <c r="G309" s="992">
        <v>41</v>
      </c>
      <c r="H309" s="993" t="s">
        <v>161</v>
      </c>
      <c r="I309" s="992" t="s">
        <v>217</v>
      </c>
      <c r="J309" s="992">
        <v>1</v>
      </c>
      <c r="K309" s="994">
        <v>10000</v>
      </c>
      <c r="L309" s="994">
        <v>10000</v>
      </c>
    </row>
    <row r="310" spans="7:12">
      <c r="G310" s="992">
        <v>42</v>
      </c>
      <c r="H310" s="993" t="s">
        <v>606</v>
      </c>
      <c r="I310" s="992" t="s">
        <v>217</v>
      </c>
      <c r="J310" s="992">
        <v>1</v>
      </c>
      <c r="K310" s="994">
        <v>10000</v>
      </c>
      <c r="L310" s="994">
        <v>10000</v>
      </c>
    </row>
    <row r="311" spans="7:12">
      <c r="G311" s="992">
        <v>43</v>
      </c>
      <c r="H311" s="993" t="s">
        <v>753</v>
      </c>
      <c r="I311" s="992" t="s">
        <v>217</v>
      </c>
      <c r="J311" s="992">
        <v>1</v>
      </c>
      <c r="K311" s="994">
        <v>10000</v>
      </c>
      <c r="L311" s="994">
        <v>10000</v>
      </c>
    </row>
    <row r="312" spans="7:12">
      <c r="G312" s="992">
        <v>44</v>
      </c>
      <c r="H312" s="993" t="s">
        <v>168</v>
      </c>
      <c r="I312" s="992" t="s">
        <v>134</v>
      </c>
      <c r="J312" s="992">
        <v>1</v>
      </c>
      <c r="K312" s="994">
        <v>12000</v>
      </c>
      <c r="L312" s="994">
        <v>12000</v>
      </c>
    </row>
    <row r="313" spans="7:12">
      <c r="G313" s="992">
        <v>45</v>
      </c>
      <c r="H313" s="993" t="s">
        <v>398</v>
      </c>
      <c r="I313" s="992" t="s">
        <v>167</v>
      </c>
      <c r="J313" s="992">
        <v>1</v>
      </c>
      <c r="K313" s="994">
        <v>1600000</v>
      </c>
      <c r="L313" s="994">
        <v>1600000</v>
      </c>
    </row>
    <row r="314" spans="7:12">
      <c r="G314" s="992">
        <v>46</v>
      </c>
      <c r="H314" s="993" t="s">
        <v>754</v>
      </c>
      <c r="I314" s="992" t="s">
        <v>167</v>
      </c>
      <c r="J314" s="992">
        <v>1</v>
      </c>
      <c r="K314" s="994">
        <v>1600000</v>
      </c>
      <c r="L314" s="994">
        <v>1600000</v>
      </c>
    </row>
    <row r="315" spans="7:12">
      <c r="G315" s="992">
        <v>47</v>
      </c>
      <c r="H315" s="993" t="s">
        <v>755</v>
      </c>
      <c r="I315" s="992" t="s">
        <v>167</v>
      </c>
      <c r="J315" s="992">
        <v>1</v>
      </c>
      <c r="K315" s="994">
        <v>2900000</v>
      </c>
      <c r="L315" s="994">
        <v>2900000</v>
      </c>
    </row>
    <row r="316" spans="7:12">
      <c r="G316" s="992">
        <v>48</v>
      </c>
      <c r="H316" s="993" t="s">
        <v>244</v>
      </c>
      <c r="I316" s="992" t="s">
        <v>167</v>
      </c>
      <c r="J316" s="992">
        <v>1</v>
      </c>
      <c r="K316" s="994">
        <v>1420000</v>
      </c>
      <c r="L316" s="994">
        <v>1420000</v>
      </c>
    </row>
    <row r="317" spans="7:12">
      <c r="G317" s="992">
        <v>49</v>
      </c>
      <c r="H317" s="993" t="s">
        <v>245</v>
      </c>
      <c r="I317" s="992" t="s">
        <v>167</v>
      </c>
      <c r="J317" s="992">
        <v>1</v>
      </c>
      <c r="K317" s="994">
        <v>990000</v>
      </c>
      <c r="L317" s="994">
        <v>990000</v>
      </c>
    </row>
    <row r="318" spans="7:12">
      <c r="G318" s="992">
        <v>50</v>
      </c>
      <c r="H318" s="993" t="s">
        <v>756</v>
      </c>
      <c r="I318" s="992" t="s">
        <v>167</v>
      </c>
      <c r="J318" s="992">
        <v>1</v>
      </c>
      <c r="K318" s="994">
        <v>620000</v>
      </c>
      <c r="L318" s="994">
        <v>620000</v>
      </c>
    </row>
    <row r="319" spans="7:12">
      <c r="G319" s="992">
        <v>51</v>
      </c>
      <c r="H319" s="993" t="s">
        <v>757</v>
      </c>
      <c r="I319" s="992" t="s">
        <v>758</v>
      </c>
      <c r="J319" s="992">
        <v>1</v>
      </c>
      <c r="K319" s="994">
        <v>68000</v>
      </c>
      <c r="L319" s="994">
        <v>68000</v>
      </c>
    </row>
    <row r="320" spans="7:12">
      <c r="G320" s="992">
        <v>52</v>
      </c>
      <c r="H320" s="993" t="s">
        <v>399</v>
      </c>
      <c r="I320" s="992" t="s">
        <v>218</v>
      </c>
      <c r="J320" s="992">
        <v>1</v>
      </c>
      <c r="K320" s="994">
        <v>120000</v>
      </c>
      <c r="L320" s="994">
        <v>120000</v>
      </c>
    </row>
    <row r="321" spans="7:12">
      <c r="G321" s="992">
        <v>53</v>
      </c>
      <c r="H321" s="993" t="s">
        <v>400</v>
      </c>
      <c r="I321" s="992" t="s">
        <v>218</v>
      </c>
      <c r="J321" s="992">
        <v>1</v>
      </c>
      <c r="K321" s="994">
        <v>120000</v>
      </c>
      <c r="L321" s="994">
        <v>120000</v>
      </c>
    </row>
    <row r="322" spans="7:12">
      <c r="G322" s="992">
        <v>54</v>
      </c>
      <c r="H322" s="993" t="s">
        <v>408</v>
      </c>
      <c r="I322" s="992" t="s">
        <v>94</v>
      </c>
      <c r="J322" s="992">
        <v>1</v>
      </c>
      <c r="K322" s="994">
        <v>160000</v>
      </c>
      <c r="L322" s="994">
        <v>160000</v>
      </c>
    </row>
    <row r="323" spans="7:12">
      <c r="G323" s="992">
        <v>55</v>
      </c>
      <c r="H323" s="993" t="s">
        <v>163</v>
      </c>
      <c r="I323" s="992" t="s">
        <v>94</v>
      </c>
      <c r="J323" s="992">
        <v>1</v>
      </c>
      <c r="K323" s="994">
        <v>160000</v>
      </c>
      <c r="L323" s="994">
        <v>160000</v>
      </c>
    </row>
    <row r="324" spans="7:12" ht="31">
      <c r="G324" s="992">
        <v>56</v>
      </c>
      <c r="H324" s="993" t="s">
        <v>759</v>
      </c>
      <c r="I324" s="992" t="s">
        <v>134</v>
      </c>
      <c r="J324" s="992">
        <v>1</v>
      </c>
      <c r="K324" s="994">
        <v>30000</v>
      </c>
      <c r="L324" s="994">
        <v>30000</v>
      </c>
    </row>
    <row r="325" spans="7:12">
      <c r="G325" s="992">
        <v>57</v>
      </c>
      <c r="H325" s="1003" t="s">
        <v>242</v>
      </c>
      <c r="I325" s="992" t="s">
        <v>91</v>
      </c>
      <c r="J325" s="992">
        <v>1</v>
      </c>
      <c r="K325" s="994">
        <v>7500</v>
      </c>
      <c r="L325" s="994">
        <v>7500</v>
      </c>
    </row>
    <row r="326" spans="7:12" ht="31">
      <c r="G326" s="992">
        <v>58</v>
      </c>
      <c r="H326" s="993" t="s">
        <v>655</v>
      </c>
      <c r="I326" s="992" t="s">
        <v>94</v>
      </c>
      <c r="J326" s="992">
        <v>1</v>
      </c>
      <c r="K326" s="994">
        <v>150000</v>
      </c>
      <c r="L326" s="994">
        <v>150000</v>
      </c>
    </row>
    <row r="327" spans="7:12">
      <c r="G327" s="992">
        <v>59</v>
      </c>
      <c r="H327" s="993" t="s">
        <v>398</v>
      </c>
      <c r="I327" s="992" t="s">
        <v>167</v>
      </c>
      <c r="J327" s="992">
        <v>1</v>
      </c>
      <c r="K327" s="994">
        <v>1600000</v>
      </c>
      <c r="L327" s="994">
        <v>1600000</v>
      </c>
    </row>
    <row r="328" spans="7:12">
      <c r="G328" s="992">
        <v>60</v>
      </c>
      <c r="H328" s="993" t="s">
        <v>761</v>
      </c>
      <c r="I328" s="992" t="s">
        <v>167</v>
      </c>
      <c r="J328" s="992">
        <v>1</v>
      </c>
      <c r="K328" s="994">
        <v>1600000</v>
      </c>
      <c r="L328" s="994">
        <v>1600000</v>
      </c>
    </row>
    <row r="329" spans="7:12">
      <c r="G329" s="992">
        <v>61</v>
      </c>
      <c r="H329" s="993" t="s">
        <v>762</v>
      </c>
      <c r="I329" s="992" t="s">
        <v>167</v>
      </c>
      <c r="J329" s="992">
        <v>1</v>
      </c>
      <c r="K329" s="994">
        <v>605000</v>
      </c>
      <c r="L329" s="994">
        <v>605000</v>
      </c>
    </row>
    <row r="330" spans="7:12">
      <c r="G330" s="992">
        <v>62</v>
      </c>
      <c r="H330" s="993" t="s">
        <v>572</v>
      </c>
      <c r="I330" s="992" t="s">
        <v>167</v>
      </c>
      <c r="J330" s="992">
        <v>1</v>
      </c>
      <c r="K330" s="994">
        <v>2200000</v>
      </c>
      <c r="L330" s="994">
        <v>2200000</v>
      </c>
    </row>
    <row r="331" spans="7:12">
      <c r="G331" s="992">
        <v>63</v>
      </c>
      <c r="H331" s="993" t="s">
        <v>657</v>
      </c>
      <c r="I331" s="992" t="s">
        <v>116</v>
      </c>
      <c r="J331" s="992">
        <v>1</v>
      </c>
      <c r="K331" s="994">
        <v>28000</v>
      </c>
      <c r="L331" s="994">
        <v>28000</v>
      </c>
    </row>
    <row r="332" spans="7:12">
      <c r="G332" s="992">
        <v>64</v>
      </c>
      <c r="H332" s="993" t="s">
        <v>763</v>
      </c>
      <c r="I332" s="992" t="s">
        <v>149</v>
      </c>
      <c r="J332" s="992">
        <v>1</v>
      </c>
      <c r="K332" s="994">
        <v>51000</v>
      </c>
      <c r="L332" s="994">
        <v>51000</v>
      </c>
    </row>
    <row r="333" spans="7:12">
      <c r="G333" s="992">
        <v>65</v>
      </c>
      <c r="H333" s="993" t="s">
        <v>764</v>
      </c>
      <c r="I333" s="992" t="s">
        <v>91</v>
      </c>
      <c r="J333" s="992">
        <v>1</v>
      </c>
      <c r="K333" s="994">
        <v>25000</v>
      </c>
      <c r="L333" s="994">
        <v>25000</v>
      </c>
    </row>
    <row r="334" spans="7:12">
      <c r="G334" s="992">
        <v>66</v>
      </c>
      <c r="H334" s="993" t="s">
        <v>765</v>
      </c>
      <c r="I334" s="992" t="s">
        <v>91</v>
      </c>
      <c r="J334" s="992">
        <v>1</v>
      </c>
      <c r="K334" s="994">
        <v>12000</v>
      </c>
      <c r="L334" s="994">
        <v>12000</v>
      </c>
    </row>
    <row r="335" spans="7:12">
      <c r="G335" s="992">
        <v>67</v>
      </c>
      <c r="H335" s="993" t="s">
        <v>766</v>
      </c>
      <c r="I335" s="992" t="s">
        <v>134</v>
      </c>
      <c r="J335" s="992">
        <v>1</v>
      </c>
      <c r="K335" s="994">
        <v>400000</v>
      </c>
      <c r="L335" s="994">
        <v>400000</v>
      </c>
    </row>
    <row r="336" spans="7:12">
      <c r="G336" s="992">
        <v>68</v>
      </c>
      <c r="H336" s="993" t="s">
        <v>767</v>
      </c>
      <c r="I336" s="992" t="s">
        <v>149</v>
      </c>
      <c r="J336" s="992">
        <v>1</v>
      </c>
      <c r="K336" s="994">
        <v>45000</v>
      </c>
      <c r="L336" s="994">
        <v>45000</v>
      </c>
    </row>
    <row r="337" spans="7:12">
      <c r="G337" s="992">
        <v>69</v>
      </c>
      <c r="H337" s="993" t="s">
        <v>768</v>
      </c>
      <c r="I337" s="992" t="s">
        <v>91</v>
      </c>
      <c r="J337" s="992">
        <v>1</v>
      </c>
      <c r="K337" s="994">
        <v>550000</v>
      </c>
      <c r="L337" s="994">
        <v>550000</v>
      </c>
    </row>
    <row r="338" spans="7:12">
      <c r="G338" s="992">
        <v>70</v>
      </c>
      <c r="H338" s="993" t="s">
        <v>769</v>
      </c>
      <c r="I338" s="992" t="s">
        <v>91</v>
      </c>
      <c r="J338" s="992">
        <v>1</v>
      </c>
      <c r="K338" s="994">
        <v>35000</v>
      </c>
      <c r="L338" s="994">
        <v>35000</v>
      </c>
    </row>
    <row r="339" spans="7:12">
      <c r="G339" s="992">
        <v>71</v>
      </c>
      <c r="H339" s="993" t="s">
        <v>556</v>
      </c>
      <c r="I339" s="992" t="s">
        <v>167</v>
      </c>
      <c r="J339" s="992">
        <v>1</v>
      </c>
      <c r="K339" s="994">
        <v>12000</v>
      </c>
      <c r="L339" s="994">
        <v>12000</v>
      </c>
    </row>
    <row r="340" spans="7:12">
      <c r="G340" s="992">
        <v>72</v>
      </c>
      <c r="H340" s="993" t="s">
        <v>555</v>
      </c>
      <c r="I340" s="992" t="s">
        <v>167</v>
      </c>
      <c r="J340" s="992">
        <v>1</v>
      </c>
      <c r="K340" s="994">
        <v>3500</v>
      </c>
      <c r="L340" s="994">
        <v>3500</v>
      </c>
    </row>
    <row r="341" spans="7:12">
      <c r="G341" s="992">
        <v>73</v>
      </c>
      <c r="H341" s="993" t="s">
        <v>770</v>
      </c>
      <c r="I341" s="992" t="s">
        <v>91</v>
      </c>
      <c r="J341" s="992">
        <v>1</v>
      </c>
      <c r="K341" s="994">
        <v>40000</v>
      </c>
      <c r="L341" s="994">
        <v>40000</v>
      </c>
    </row>
    <row r="342" spans="7:12">
      <c r="G342" s="992">
        <v>74</v>
      </c>
      <c r="H342" s="993" t="s">
        <v>771</v>
      </c>
      <c r="I342" s="992" t="s">
        <v>134</v>
      </c>
      <c r="J342" s="992">
        <v>1</v>
      </c>
      <c r="K342" s="994">
        <v>1000</v>
      </c>
      <c r="L342" s="994">
        <v>1000</v>
      </c>
    </row>
    <row r="343" spans="7:12">
      <c r="G343" s="992">
        <v>75</v>
      </c>
      <c r="H343" s="993" t="s">
        <v>772</v>
      </c>
      <c r="I343" s="992" t="s">
        <v>134</v>
      </c>
      <c r="J343" s="992">
        <v>1</v>
      </c>
      <c r="K343" s="994">
        <v>1000</v>
      </c>
      <c r="L343" s="994">
        <v>1000</v>
      </c>
    </row>
    <row r="344" spans="7:12">
      <c r="G344" s="992">
        <v>76</v>
      </c>
      <c r="H344" s="993" t="s">
        <v>773</v>
      </c>
      <c r="I344" s="992" t="s">
        <v>134</v>
      </c>
      <c r="J344" s="992">
        <v>1</v>
      </c>
      <c r="K344" s="994">
        <v>1000</v>
      </c>
      <c r="L344" s="994">
        <v>1000</v>
      </c>
    </row>
    <row r="345" spans="7:12">
      <c r="G345" s="992">
        <v>77</v>
      </c>
      <c r="H345" s="993" t="s">
        <v>774</v>
      </c>
      <c r="I345" s="992" t="s">
        <v>134</v>
      </c>
      <c r="J345" s="992">
        <v>1</v>
      </c>
      <c r="K345" s="994">
        <v>1000</v>
      </c>
      <c r="L345" s="994">
        <v>1000</v>
      </c>
    </row>
    <row r="346" spans="7:12">
      <c r="G346" s="992">
        <v>78</v>
      </c>
      <c r="H346" s="286" t="s">
        <v>545</v>
      </c>
      <c r="I346" s="992" t="s">
        <v>574</v>
      </c>
      <c r="J346" s="992">
        <v>1</v>
      </c>
      <c r="K346" s="994">
        <v>5000</v>
      </c>
      <c r="L346" s="994">
        <v>5000</v>
      </c>
    </row>
    <row r="347" spans="7:12">
      <c r="G347" s="992">
        <v>79</v>
      </c>
      <c r="H347" s="286" t="s">
        <v>547</v>
      </c>
      <c r="I347" s="992" t="s">
        <v>91</v>
      </c>
      <c r="J347" s="992">
        <v>1</v>
      </c>
      <c r="K347" s="994">
        <v>20000</v>
      </c>
      <c r="L347" s="994">
        <v>20000</v>
      </c>
    </row>
    <row r="348" spans="7:12">
      <c r="G348" s="992">
        <v>80</v>
      </c>
      <c r="H348" s="293" t="s">
        <v>546</v>
      </c>
      <c r="I348" s="992" t="s">
        <v>91</v>
      </c>
      <c r="J348" s="992">
        <v>1</v>
      </c>
      <c r="K348" s="994">
        <v>10000</v>
      </c>
      <c r="L348" s="994">
        <v>10000</v>
      </c>
    </row>
    <row r="349" spans="7:12">
      <c r="G349" s="992">
        <v>81</v>
      </c>
      <c r="H349" s="993" t="s">
        <v>775</v>
      </c>
      <c r="I349" s="992" t="s">
        <v>707</v>
      </c>
      <c r="J349" s="992">
        <v>1</v>
      </c>
      <c r="K349" s="994">
        <v>2000</v>
      </c>
      <c r="L349" s="994">
        <v>2000</v>
      </c>
    </row>
    <row r="350" spans="7:12">
      <c r="G350" s="992">
        <v>82</v>
      </c>
      <c r="H350" s="993" t="s">
        <v>605</v>
      </c>
      <c r="I350" s="992" t="s">
        <v>91</v>
      </c>
      <c r="J350" s="992">
        <v>1</v>
      </c>
      <c r="K350" s="994">
        <v>3000</v>
      </c>
      <c r="L350" s="994">
        <v>3000</v>
      </c>
    </row>
    <row r="351" spans="7:12">
      <c r="G351" s="992">
        <v>83</v>
      </c>
      <c r="H351" s="993" t="s">
        <v>776</v>
      </c>
      <c r="I351" s="992" t="s">
        <v>134</v>
      </c>
      <c r="J351" s="992">
        <v>1</v>
      </c>
      <c r="K351" s="994">
        <v>150000</v>
      </c>
      <c r="L351" s="994">
        <v>150000</v>
      </c>
    </row>
    <row r="352" spans="7:12">
      <c r="G352" s="992">
        <v>84</v>
      </c>
      <c r="H352" s="993" t="s">
        <v>279</v>
      </c>
      <c r="I352" s="992" t="s">
        <v>91</v>
      </c>
      <c r="J352" s="992">
        <v>1</v>
      </c>
      <c r="K352" s="994">
        <v>2700</v>
      </c>
      <c r="L352" s="994">
        <v>2700</v>
      </c>
    </row>
    <row r="353" spans="7:12">
      <c r="G353" s="992">
        <v>85</v>
      </c>
      <c r="H353" s="993" t="s">
        <v>280</v>
      </c>
      <c r="I353" s="992" t="s">
        <v>91</v>
      </c>
      <c r="J353" s="992">
        <v>1</v>
      </c>
      <c r="K353" s="994">
        <v>4000</v>
      </c>
      <c r="L353" s="994">
        <v>4000</v>
      </c>
    </row>
    <row r="354" spans="7:12">
      <c r="G354" s="992">
        <v>86</v>
      </c>
      <c r="H354" s="993" t="s">
        <v>281</v>
      </c>
      <c r="I354" s="992" t="s">
        <v>91</v>
      </c>
      <c r="J354" s="992">
        <v>1</v>
      </c>
      <c r="K354" s="994">
        <v>400000</v>
      </c>
      <c r="L354" s="994">
        <v>400000</v>
      </c>
    </row>
    <row r="355" spans="7:12">
      <c r="G355" s="992">
        <v>87</v>
      </c>
      <c r="H355" s="993" t="s">
        <v>777</v>
      </c>
      <c r="I355" s="992" t="s">
        <v>134</v>
      </c>
      <c r="J355" s="992">
        <v>1</v>
      </c>
      <c r="K355" s="994">
        <v>30000</v>
      </c>
      <c r="L355" s="994">
        <v>30000</v>
      </c>
    </row>
    <row r="356" spans="7:12">
      <c r="G356" s="992">
        <v>88</v>
      </c>
      <c r="H356" s="993" t="s">
        <v>778</v>
      </c>
      <c r="I356" s="992" t="s">
        <v>707</v>
      </c>
      <c r="J356" s="992">
        <v>1</v>
      </c>
      <c r="K356" s="994">
        <v>1000</v>
      </c>
      <c r="L356" s="994">
        <v>1000</v>
      </c>
    </row>
    <row r="357" spans="7:12">
      <c r="G357" s="992">
        <v>89</v>
      </c>
      <c r="H357" s="993" t="s">
        <v>779</v>
      </c>
      <c r="I357" s="992" t="s">
        <v>134</v>
      </c>
      <c r="J357" s="992">
        <v>1</v>
      </c>
      <c r="K357" s="994">
        <v>770000</v>
      </c>
      <c r="L357" s="994">
        <v>770000</v>
      </c>
    </row>
    <row r="358" spans="7:12">
      <c r="G358" s="992">
        <v>90</v>
      </c>
      <c r="H358" s="993" t="s">
        <v>780</v>
      </c>
      <c r="I358" s="992" t="s">
        <v>167</v>
      </c>
      <c r="J358" s="992">
        <v>1</v>
      </c>
      <c r="K358" s="994">
        <v>2600</v>
      </c>
      <c r="L358" s="994">
        <v>2600</v>
      </c>
    </row>
    <row r="359" spans="7:12">
      <c r="G359" s="992">
        <v>91</v>
      </c>
      <c r="H359" s="993" t="s">
        <v>781</v>
      </c>
      <c r="I359" s="992" t="s">
        <v>167</v>
      </c>
      <c r="J359" s="992">
        <v>1</v>
      </c>
      <c r="K359" s="994">
        <v>3500</v>
      </c>
      <c r="L359" s="994">
        <v>3500</v>
      </c>
    </row>
    <row r="360" spans="7:12">
      <c r="G360" s="992">
        <v>92</v>
      </c>
      <c r="H360" s="993" t="s">
        <v>782</v>
      </c>
      <c r="I360" s="992" t="s">
        <v>91</v>
      </c>
      <c r="J360" s="992">
        <v>1</v>
      </c>
      <c r="K360" s="994">
        <v>38600</v>
      </c>
      <c r="L360" s="994">
        <v>38600</v>
      </c>
    </row>
    <row r="361" spans="7:12">
      <c r="G361" s="992">
        <v>93</v>
      </c>
      <c r="H361" s="993" t="s">
        <v>783</v>
      </c>
      <c r="I361" s="992" t="s">
        <v>784</v>
      </c>
      <c r="J361" s="992">
        <v>1</v>
      </c>
      <c r="K361" s="994">
        <v>4700</v>
      </c>
      <c r="L361" s="994">
        <v>4700</v>
      </c>
    </row>
    <row r="362" spans="7:12">
      <c r="G362" s="992">
        <v>94</v>
      </c>
      <c r="H362" s="993" t="s">
        <v>785</v>
      </c>
      <c r="I362" s="992" t="s">
        <v>91</v>
      </c>
      <c r="J362" s="992">
        <v>1</v>
      </c>
      <c r="K362" s="994">
        <v>145000</v>
      </c>
      <c r="L362" s="994">
        <v>145000</v>
      </c>
    </row>
    <row r="363" spans="7:12">
      <c r="G363" s="992">
        <v>95</v>
      </c>
      <c r="H363" s="993" t="s">
        <v>786</v>
      </c>
      <c r="I363" s="992" t="s">
        <v>16</v>
      </c>
      <c r="J363" s="992">
        <v>1</v>
      </c>
      <c r="K363" s="994">
        <v>168000</v>
      </c>
      <c r="L363" s="994">
        <v>168000</v>
      </c>
    </row>
    <row r="364" spans="7:12">
      <c r="G364" s="992">
        <v>96</v>
      </c>
      <c r="H364" s="993" t="s">
        <v>787</v>
      </c>
      <c r="I364" s="992" t="s">
        <v>16</v>
      </c>
      <c r="J364" s="992">
        <v>1</v>
      </c>
      <c r="K364" s="994">
        <v>14000</v>
      </c>
      <c r="L364" s="994">
        <v>14000</v>
      </c>
    </row>
    <row r="365" spans="7:12">
      <c r="G365" s="992">
        <v>97</v>
      </c>
      <c r="H365" s="993" t="s">
        <v>788</v>
      </c>
      <c r="I365" s="992" t="s">
        <v>789</v>
      </c>
      <c r="J365" s="992">
        <v>1</v>
      </c>
      <c r="K365" s="994">
        <v>130000</v>
      </c>
      <c r="L365" s="994">
        <v>130000</v>
      </c>
    </row>
    <row r="366" spans="7:12">
      <c r="G366" s="992">
        <v>98</v>
      </c>
      <c r="H366" s="993" t="s">
        <v>790</v>
      </c>
      <c r="I366" s="992" t="s">
        <v>91</v>
      </c>
      <c r="J366" s="992">
        <v>1</v>
      </c>
      <c r="K366" s="994">
        <v>305000</v>
      </c>
      <c r="L366" s="994">
        <v>305000</v>
      </c>
    </row>
    <row r="367" spans="7:12">
      <c r="G367" s="992">
        <v>99</v>
      </c>
      <c r="H367" s="993" t="s">
        <v>791</v>
      </c>
      <c r="I367" s="992" t="s">
        <v>91</v>
      </c>
      <c r="J367" s="992">
        <v>1</v>
      </c>
      <c r="K367" s="994">
        <v>850000</v>
      </c>
      <c r="L367" s="994">
        <v>850000</v>
      </c>
    </row>
    <row r="368" spans="7:12">
      <c r="G368" s="992">
        <v>100</v>
      </c>
      <c r="H368" s="993" t="s">
        <v>792</v>
      </c>
      <c r="I368" s="992" t="s">
        <v>793</v>
      </c>
      <c r="J368" s="992">
        <v>1</v>
      </c>
      <c r="K368" s="994">
        <v>43000</v>
      </c>
      <c r="L368" s="994">
        <v>43000</v>
      </c>
    </row>
    <row r="369" spans="7:12">
      <c r="G369" s="992">
        <v>101</v>
      </c>
      <c r="H369" s="993" t="s">
        <v>794</v>
      </c>
      <c r="I369" s="992" t="s">
        <v>793</v>
      </c>
      <c r="J369" s="992">
        <v>1</v>
      </c>
      <c r="K369" s="994">
        <v>250000</v>
      </c>
      <c r="L369" s="994">
        <v>250000</v>
      </c>
    </row>
    <row r="370" spans="7:12">
      <c r="G370" s="992">
        <v>102</v>
      </c>
      <c r="H370" s="993" t="s">
        <v>795</v>
      </c>
      <c r="I370" s="992" t="s">
        <v>793</v>
      </c>
      <c r="J370" s="992">
        <v>1</v>
      </c>
      <c r="K370" s="994">
        <v>120000</v>
      </c>
      <c r="L370" s="994">
        <v>120000</v>
      </c>
    </row>
    <row r="371" spans="7:12">
      <c r="G371" s="992">
        <v>103</v>
      </c>
      <c r="H371" s="993" t="s">
        <v>796</v>
      </c>
      <c r="I371" s="992" t="s">
        <v>793</v>
      </c>
      <c r="J371" s="992">
        <v>1</v>
      </c>
      <c r="K371" s="994">
        <v>230000</v>
      </c>
      <c r="L371" s="994">
        <v>230000</v>
      </c>
    </row>
    <row r="372" spans="7:12">
      <c r="G372" s="992">
        <v>104</v>
      </c>
      <c r="H372" s="993" t="s">
        <v>797</v>
      </c>
      <c r="I372" s="992" t="s">
        <v>91</v>
      </c>
      <c r="J372" s="992">
        <v>1</v>
      </c>
      <c r="K372" s="994">
        <v>650000</v>
      </c>
      <c r="L372" s="994">
        <v>650000</v>
      </c>
    </row>
    <row r="373" spans="7:12">
      <c r="G373" s="992">
        <v>105</v>
      </c>
      <c r="H373" s="993" t="s">
        <v>798</v>
      </c>
      <c r="I373" s="992" t="s">
        <v>149</v>
      </c>
      <c r="J373" s="992">
        <v>1</v>
      </c>
      <c r="K373" s="994">
        <v>27000</v>
      </c>
      <c r="L373" s="994">
        <v>27000</v>
      </c>
    </row>
    <row r="374" spans="7:12">
      <c r="G374" s="992">
        <v>106</v>
      </c>
      <c r="H374" s="993" t="s">
        <v>799</v>
      </c>
      <c r="I374" s="992" t="s">
        <v>149</v>
      </c>
      <c r="J374" s="992">
        <v>1</v>
      </c>
      <c r="K374" s="994">
        <v>30620</v>
      </c>
      <c r="L374" s="994">
        <v>30620</v>
      </c>
    </row>
    <row r="375" spans="7:12">
      <c r="G375" s="992">
        <v>107</v>
      </c>
      <c r="H375" s="993" t="s">
        <v>800</v>
      </c>
      <c r="I375" s="992" t="s">
        <v>91</v>
      </c>
      <c r="J375" s="992">
        <v>1</v>
      </c>
      <c r="K375" s="994">
        <v>13560</v>
      </c>
      <c r="L375" s="994">
        <v>13560</v>
      </c>
    </row>
    <row r="376" spans="7:12">
      <c r="G376" s="992">
        <v>108</v>
      </c>
      <c r="H376" s="993" t="s">
        <v>801</v>
      </c>
      <c r="I376" s="992" t="s">
        <v>16</v>
      </c>
      <c r="J376" s="992">
        <v>1</v>
      </c>
      <c r="K376" s="994">
        <v>88000</v>
      </c>
      <c r="L376" s="994">
        <v>88000</v>
      </c>
    </row>
    <row r="377" spans="7:12">
      <c r="G377" s="992">
        <v>109</v>
      </c>
      <c r="H377" s="993" t="s">
        <v>802</v>
      </c>
      <c r="I377" s="992" t="s">
        <v>16</v>
      </c>
      <c r="J377" s="992">
        <v>1</v>
      </c>
      <c r="K377" s="994">
        <v>126000</v>
      </c>
      <c r="L377" s="994">
        <v>126000</v>
      </c>
    </row>
    <row r="378" spans="7:12">
      <c r="G378" s="992">
        <v>110</v>
      </c>
      <c r="H378" s="993" t="s">
        <v>803</v>
      </c>
      <c r="I378" s="992" t="s">
        <v>16</v>
      </c>
      <c r="J378" s="992">
        <v>1</v>
      </c>
      <c r="K378" s="994">
        <v>198000</v>
      </c>
      <c r="L378" s="994">
        <v>198000</v>
      </c>
    </row>
    <row r="379" spans="7:12">
      <c r="G379" s="992">
        <v>111</v>
      </c>
      <c r="H379" s="993" t="s">
        <v>804</v>
      </c>
      <c r="I379" s="992" t="s">
        <v>134</v>
      </c>
      <c r="J379" s="992">
        <v>1</v>
      </c>
      <c r="K379" s="994">
        <v>6182</v>
      </c>
      <c r="L379" s="994">
        <v>6182</v>
      </c>
    </row>
    <row r="380" spans="7:12">
      <c r="G380" s="992">
        <v>112</v>
      </c>
      <c r="H380" s="993" t="s">
        <v>805</v>
      </c>
      <c r="I380" s="992" t="s">
        <v>16</v>
      </c>
      <c r="J380" s="992">
        <v>1</v>
      </c>
      <c r="K380" s="994">
        <v>21172</v>
      </c>
      <c r="L380" s="994">
        <v>21172</v>
      </c>
    </row>
    <row r="381" spans="7:12">
      <c r="G381" s="992">
        <v>113</v>
      </c>
      <c r="H381" s="993" t="s">
        <v>806</v>
      </c>
      <c r="I381" s="992" t="s">
        <v>793</v>
      </c>
      <c r="J381" s="992">
        <v>1</v>
      </c>
      <c r="K381" s="994">
        <v>853000</v>
      </c>
      <c r="L381" s="994">
        <v>853000</v>
      </c>
    </row>
    <row r="382" spans="7:12" ht="18.5">
      <c r="G382" s="992">
        <v>114</v>
      </c>
      <c r="H382" s="993" t="s">
        <v>807</v>
      </c>
      <c r="I382" s="992" t="s">
        <v>808</v>
      </c>
      <c r="J382" s="992">
        <v>1</v>
      </c>
      <c r="K382" s="994">
        <v>1600000</v>
      </c>
      <c r="L382" s="994">
        <v>1600000</v>
      </c>
    </row>
    <row r="383" spans="7:12" ht="18.5">
      <c r="G383" s="992">
        <v>115</v>
      </c>
      <c r="H383" s="993" t="s">
        <v>809</v>
      </c>
      <c r="I383" s="992" t="s">
        <v>808</v>
      </c>
      <c r="J383" s="992">
        <v>1</v>
      </c>
      <c r="K383" s="994">
        <v>88000</v>
      </c>
      <c r="L383" s="994">
        <v>88000</v>
      </c>
    </row>
    <row r="384" spans="7:12">
      <c r="G384" s="992">
        <v>116</v>
      </c>
      <c r="H384" s="993" t="s">
        <v>810</v>
      </c>
      <c r="I384" s="992" t="s">
        <v>17</v>
      </c>
      <c r="J384" s="992">
        <v>1</v>
      </c>
      <c r="K384" s="994">
        <v>135000</v>
      </c>
      <c r="L384" s="994">
        <v>135000</v>
      </c>
    </row>
    <row r="385" spans="7:12">
      <c r="G385" s="992">
        <v>117</v>
      </c>
      <c r="H385" s="993" t="s">
        <v>811</v>
      </c>
      <c r="I385" s="992" t="s">
        <v>91</v>
      </c>
      <c r="J385" s="992">
        <v>1</v>
      </c>
      <c r="K385" s="994">
        <v>1000</v>
      </c>
      <c r="L385" s="994">
        <v>1000</v>
      </c>
    </row>
    <row r="386" spans="7:12">
      <c r="G386" s="992">
        <v>118</v>
      </c>
      <c r="H386" s="993" t="s">
        <v>812</v>
      </c>
      <c r="I386" s="992" t="s">
        <v>91</v>
      </c>
      <c r="J386" s="992">
        <v>1</v>
      </c>
      <c r="K386" s="994">
        <v>49680</v>
      </c>
      <c r="L386" s="994">
        <v>49680</v>
      </c>
    </row>
    <row r="387" spans="7:12">
      <c r="G387" s="992">
        <v>119</v>
      </c>
      <c r="H387" s="993" t="s">
        <v>813</v>
      </c>
      <c r="I387" s="992" t="s">
        <v>91</v>
      </c>
      <c r="J387" s="992">
        <v>1</v>
      </c>
      <c r="K387" s="994">
        <v>57600</v>
      </c>
      <c r="L387" s="994">
        <v>57600</v>
      </c>
    </row>
    <row r="388" spans="7:12">
      <c r="G388" s="992">
        <v>120</v>
      </c>
      <c r="H388" s="993" t="s">
        <v>814</v>
      </c>
      <c r="I388" s="992" t="s">
        <v>793</v>
      </c>
      <c r="J388" s="992">
        <v>1</v>
      </c>
      <c r="K388" s="994">
        <v>140000</v>
      </c>
      <c r="L388" s="994">
        <v>140000</v>
      </c>
    </row>
    <row r="389" spans="7:12">
      <c r="G389" s="992">
        <v>121</v>
      </c>
      <c r="H389" s="993" t="s">
        <v>815</v>
      </c>
      <c r="I389" s="992" t="s">
        <v>91</v>
      </c>
      <c r="J389" s="992">
        <v>1</v>
      </c>
      <c r="K389" s="994">
        <v>618426</v>
      </c>
      <c r="L389" s="994">
        <v>618426</v>
      </c>
    </row>
    <row r="390" spans="7:12">
      <c r="G390" s="992">
        <v>122</v>
      </c>
      <c r="H390" s="993" t="s">
        <v>816</v>
      </c>
      <c r="I390" s="992" t="s">
        <v>91</v>
      </c>
      <c r="J390" s="992">
        <v>1</v>
      </c>
      <c r="K390" s="994">
        <v>51000</v>
      </c>
      <c r="L390" s="994">
        <v>51000</v>
      </c>
    </row>
    <row r="391" spans="7:12">
      <c r="G391" s="992">
        <v>123</v>
      </c>
      <c r="H391" s="993" t="s">
        <v>817</v>
      </c>
      <c r="I391" s="992" t="s">
        <v>149</v>
      </c>
      <c r="J391" s="992">
        <v>1</v>
      </c>
      <c r="K391" s="994">
        <v>24360</v>
      </c>
      <c r="L391" s="994">
        <v>24360</v>
      </c>
    </row>
    <row r="392" spans="7:12">
      <c r="G392" s="992">
        <v>124</v>
      </c>
      <c r="H392" s="993" t="s">
        <v>818</v>
      </c>
      <c r="I392" s="992" t="s">
        <v>149</v>
      </c>
      <c r="J392" s="992">
        <v>1</v>
      </c>
      <c r="K392" s="994">
        <v>194249</v>
      </c>
      <c r="L392" s="994">
        <v>194249</v>
      </c>
    </row>
    <row r="393" spans="7:12">
      <c r="G393" s="992">
        <v>125</v>
      </c>
      <c r="H393" s="993" t="s">
        <v>819</v>
      </c>
      <c r="I393" s="992" t="s">
        <v>149</v>
      </c>
      <c r="J393" s="992">
        <v>1</v>
      </c>
      <c r="K393" s="994">
        <v>180000</v>
      </c>
      <c r="L393" s="994">
        <v>180000</v>
      </c>
    </row>
    <row r="394" spans="7:12">
      <c r="G394" s="992">
        <v>126</v>
      </c>
      <c r="H394" s="993" t="s">
        <v>820</v>
      </c>
      <c r="I394" s="992" t="s">
        <v>821</v>
      </c>
      <c r="J394" s="992">
        <v>1</v>
      </c>
      <c r="K394" s="994">
        <v>164000</v>
      </c>
      <c r="L394" s="994">
        <v>164000</v>
      </c>
    </row>
    <row r="395" spans="7:12" ht="18.5">
      <c r="G395" s="992">
        <v>127</v>
      </c>
      <c r="H395" s="993" t="s">
        <v>822</v>
      </c>
      <c r="I395" s="992" t="s">
        <v>745</v>
      </c>
      <c r="J395" s="992">
        <v>1</v>
      </c>
      <c r="K395" s="994">
        <v>5000</v>
      </c>
      <c r="L395" s="994">
        <v>5000</v>
      </c>
    </row>
    <row r="396" spans="7:12">
      <c r="G396" s="996" t="s">
        <v>297</v>
      </c>
      <c r="H396" s="990" t="s">
        <v>823</v>
      </c>
      <c r="I396" s="992"/>
      <c r="J396" s="992"/>
      <c r="K396" s="994">
        <v>0</v>
      </c>
      <c r="L396" s="994">
        <v>0</v>
      </c>
    </row>
    <row r="397" spans="7:12">
      <c r="G397" s="997">
        <v>1</v>
      </c>
      <c r="H397" s="993" t="s">
        <v>824</v>
      </c>
      <c r="I397" s="992" t="s">
        <v>91</v>
      </c>
      <c r="J397" s="992">
        <v>1</v>
      </c>
      <c r="K397" s="994">
        <v>686364000</v>
      </c>
      <c r="L397" s="994">
        <v>686364000</v>
      </c>
    </row>
    <row r="398" spans="7:12">
      <c r="G398" s="997">
        <v>2</v>
      </c>
      <c r="H398" s="993" t="s">
        <v>825</v>
      </c>
      <c r="I398" s="992" t="s">
        <v>94</v>
      </c>
      <c r="J398" s="992">
        <v>1</v>
      </c>
      <c r="K398" s="994">
        <v>98800000</v>
      </c>
      <c r="L398" s="994">
        <v>98800000</v>
      </c>
    </row>
    <row r="399" spans="7:12">
      <c r="G399" s="997">
        <v>3</v>
      </c>
      <c r="H399" s="993" t="s">
        <v>130</v>
      </c>
      <c r="I399" s="992" t="s">
        <v>94</v>
      </c>
      <c r="J399" s="992">
        <v>1</v>
      </c>
      <c r="K399" s="994">
        <v>13800000</v>
      </c>
      <c r="L399" s="994">
        <v>13800000</v>
      </c>
    </row>
    <row r="400" spans="7:12">
      <c r="G400" s="992">
        <v>4</v>
      </c>
      <c r="H400" s="293" t="s">
        <v>591</v>
      </c>
      <c r="I400" s="992" t="s">
        <v>91</v>
      </c>
      <c r="J400" s="992">
        <v>1</v>
      </c>
      <c r="K400" s="994">
        <v>1100000</v>
      </c>
      <c r="L400" s="994">
        <v>1100000</v>
      </c>
    </row>
    <row r="401" spans="7:12">
      <c r="G401" s="992">
        <v>5</v>
      </c>
      <c r="H401" s="993" t="s">
        <v>131</v>
      </c>
      <c r="I401" s="992" t="s">
        <v>91</v>
      </c>
      <c r="J401" s="992">
        <v>1</v>
      </c>
      <c r="K401" s="994">
        <v>13900000</v>
      </c>
      <c r="L401" s="994">
        <v>13900000</v>
      </c>
    </row>
    <row r="402" spans="7:12">
      <c r="G402" s="992">
        <v>6</v>
      </c>
      <c r="H402" s="993" t="s">
        <v>603</v>
      </c>
      <c r="I402" s="992" t="s">
        <v>94</v>
      </c>
      <c r="J402" s="992">
        <v>1</v>
      </c>
      <c r="K402" s="994">
        <v>85000000</v>
      </c>
      <c r="L402" s="994">
        <v>85000000</v>
      </c>
    </row>
    <row r="403" spans="7:12">
      <c r="G403" s="992">
        <v>7</v>
      </c>
      <c r="H403" s="993" t="s">
        <v>264</v>
      </c>
      <c r="I403" s="992" t="s">
        <v>91</v>
      </c>
      <c r="J403" s="992">
        <v>1</v>
      </c>
      <c r="K403" s="994">
        <v>13127000</v>
      </c>
      <c r="L403" s="994">
        <v>13127000</v>
      </c>
    </row>
    <row r="404" spans="7:12">
      <c r="G404" s="992">
        <v>8</v>
      </c>
      <c r="H404" s="993" t="s">
        <v>827</v>
      </c>
      <c r="I404" s="992" t="s">
        <v>91</v>
      </c>
      <c r="J404" s="992">
        <v>1</v>
      </c>
      <c r="K404" s="994">
        <v>4082000</v>
      </c>
      <c r="L404" s="994">
        <v>4082000</v>
      </c>
    </row>
    <row r="405" spans="7:12">
      <c r="G405" s="992">
        <v>9</v>
      </c>
      <c r="H405" s="993" t="s">
        <v>247</v>
      </c>
      <c r="I405" s="992" t="s">
        <v>91</v>
      </c>
      <c r="J405" s="992">
        <v>1</v>
      </c>
      <c r="K405" s="994">
        <v>101818000</v>
      </c>
      <c r="L405" s="994">
        <v>101818000</v>
      </c>
    </row>
    <row r="406" spans="7:12">
      <c r="G406" s="992">
        <v>10</v>
      </c>
      <c r="H406" s="993" t="s">
        <v>645</v>
      </c>
      <c r="I406" s="992" t="s">
        <v>91</v>
      </c>
      <c r="J406" s="992">
        <v>1</v>
      </c>
      <c r="K406" s="994">
        <v>9910000</v>
      </c>
      <c r="L406" s="994">
        <v>9910000</v>
      </c>
    </row>
    <row r="407" spans="7:12">
      <c r="G407" s="992">
        <v>11</v>
      </c>
      <c r="H407" s="993" t="s">
        <v>828</v>
      </c>
      <c r="I407" s="992" t="s">
        <v>91</v>
      </c>
      <c r="J407" s="992">
        <v>1</v>
      </c>
      <c r="K407" s="994">
        <v>51190000</v>
      </c>
      <c r="L407" s="994">
        <v>51190000</v>
      </c>
    </row>
    <row r="408" spans="7:12">
      <c r="G408" s="992">
        <v>12</v>
      </c>
      <c r="H408" s="993" t="s">
        <v>829</v>
      </c>
      <c r="I408" s="992" t="s">
        <v>91</v>
      </c>
      <c r="J408" s="992">
        <v>1</v>
      </c>
      <c r="K408" s="994">
        <v>66000000</v>
      </c>
      <c r="L408" s="994">
        <v>66000000</v>
      </c>
    </row>
    <row r="409" spans="7:12">
      <c r="G409" s="992">
        <v>13</v>
      </c>
      <c r="H409" s="993" t="s">
        <v>265</v>
      </c>
      <c r="I409" s="992" t="s">
        <v>94</v>
      </c>
      <c r="J409" s="992">
        <v>1</v>
      </c>
      <c r="K409" s="994">
        <v>16236000</v>
      </c>
      <c r="L409" s="994">
        <v>16236000</v>
      </c>
    </row>
    <row r="410" spans="7:12">
      <c r="G410" s="992">
        <v>14</v>
      </c>
      <c r="H410" s="993" t="s">
        <v>602</v>
      </c>
      <c r="I410" s="992" t="s">
        <v>91</v>
      </c>
      <c r="J410" s="992">
        <v>1</v>
      </c>
      <c r="K410" s="994">
        <v>135000000</v>
      </c>
      <c r="L410" s="994">
        <v>135000000</v>
      </c>
    </row>
    <row r="411" spans="7:12">
      <c r="G411" s="992">
        <v>15</v>
      </c>
      <c r="H411" s="993" t="s">
        <v>830</v>
      </c>
      <c r="I411" s="992" t="s">
        <v>91</v>
      </c>
      <c r="J411" s="992">
        <v>1</v>
      </c>
      <c r="K411" s="994">
        <v>14445000</v>
      </c>
      <c r="L411" s="994">
        <v>14445000</v>
      </c>
    </row>
    <row r="412" spans="7:12">
      <c r="G412" s="992">
        <v>16</v>
      </c>
      <c r="H412" s="993" t="s">
        <v>671</v>
      </c>
      <c r="I412" s="992" t="s">
        <v>91</v>
      </c>
      <c r="J412" s="992">
        <v>1</v>
      </c>
      <c r="K412" s="994">
        <v>3990000</v>
      </c>
      <c r="L412" s="994">
        <v>3990000</v>
      </c>
    </row>
    <row r="413" spans="7:12">
      <c r="G413" s="992">
        <v>17</v>
      </c>
      <c r="H413" s="993" t="s">
        <v>831</v>
      </c>
      <c r="I413" s="992" t="s">
        <v>91</v>
      </c>
      <c r="J413" s="992">
        <v>1</v>
      </c>
      <c r="K413" s="994">
        <v>78082000</v>
      </c>
      <c r="L413" s="994">
        <v>78082000</v>
      </c>
    </row>
    <row r="414" spans="7:12">
      <c r="G414" s="992">
        <v>18</v>
      </c>
      <c r="H414" s="993" t="s">
        <v>832</v>
      </c>
      <c r="I414" s="992" t="s">
        <v>91</v>
      </c>
      <c r="J414" s="992">
        <v>1</v>
      </c>
      <c r="K414" s="994">
        <v>179900000</v>
      </c>
      <c r="L414" s="994">
        <v>179900000</v>
      </c>
    </row>
    <row r="415" spans="7:12">
      <c r="G415" s="992">
        <v>19</v>
      </c>
      <c r="H415" s="993" t="s">
        <v>833</v>
      </c>
      <c r="I415" s="992" t="s">
        <v>91</v>
      </c>
      <c r="J415" s="992">
        <v>1</v>
      </c>
      <c r="K415" s="994">
        <v>500000000</v>
      </c>
      <c r="L415" s="994">
        <v>500000000</v>
      </c>
    </row>
    <row r="416" spans="7:12" ht="31">
      <c r="G416" s="992">
        <v>20</v>
      </c>
      <c r="H416" s="993" t="s">
        <v>834</v>
      </c>
      <c r="I416" s="992" t="s">
        <v>91</v>
      </c>
      <c r="J416" s="992">
        <v>1</v>
      </c>
      <c r="K416" s="994">
        <v>15150000</v>
      </c>
      <c r="L416" s="994">
        <v>15150000</v>
      </c>
    </row>
    <row r="417" spans="7:12" ht="31">
      <c r="G417" s="992">
        <v>21</v>
      </c>
      <c r="H417" s="993" t="s">
        <v>835</v>
      </c>
      <c r="I417" s="992" t="s">
        <v>91</v>
      </c>
      <c r="J417" s="992">
        <v>1</v>
      </c>
      <c r="K417" s="994">
        <v>16900000</v>
      </c>
      <c r="L417" s="994">
        <v>16900000</v>
      </c>
    </row>
    <row r="418" spans="7:12">
      <c r="G418" s="992">
        <v>22</v>
      </c>
      <c r="H418" s="993" t="s">
        <v>836</v>
      </c>
      <c r="I418" s="992" t="s">
        <v>91</v>
      </c>
      <c r="J418" s="992">
        <v>1</v>
      </c>
      <c r="K418" s="994">
        <v>1999000</v>
      </c>
      <c r="L418" s="994">
        <v>1999000</v>
      </c>
    </row>
    <row r="419" spans="7:12">
      <c r="G419" s="992">
        <v>23</v>
      </c>
      <c r="H419" s="993" t="s">
        <v>837</v>
      </c>
      <c r="I419" s="992" t="s">
        <v>91</v>
      </c>
      <c r="J419" s="992">
        <v>1</v>
      </c>
      <c r="K419" s="994">
        <v>15690000</v>
      </c>
      <c r="L419" s="994">
        <v>15690000</v>
      </c>
    </row>
    <row r="420" spans="7:12">
      <c r="G420" s="992">
        <v>24</v>
      </c>
      <c r="H420" s="993" t="s">
        <v>838</v>
      </c>
      <c r="I420" s="992" t="s">
        <v>91</v>
      </c>
      <c r="J420" s="992">
        <v>1</v>
      </c>
      <c r="K420" s="994">
        <v>465000</v>
      </c>
      <c r="L420" s="994">
        <v>465000</v>
      </c>
    </row>
    <row r="421" spans="7:12">
      <c r="G421" s="992">
        <v>25</v>
      </c>
      <c r="H421" s="993" t="s">
        <v>839</v>
      </c>
      <c r="I421" s="992" t="s">
        <v>91</v>
      </c>
      <c r="J421" s="992">
        <v>1</v>
      </c>
      <c r="K421" s="994">
        <v>85223000</v>
      </c>
      <c r="L421" s="994">
        <v>85223000</v>
      </c>
    </row>
    <row r="422" spans="7:12">
      <c r="G422" s="992">
        <v>26</v>
      </c>
      <c r="H422" s="993" t="s">
        <v>601</v>
      </c>
      <c r="I422" s="992" t="s">
        <v>91</v>
      </c>
      <c r="J422" s="992">
        <v>1</v>
      </c>
      <c r="K422" s="994">
        <v>280800000</v>
      </c>
      <c r="L422" s="994">
        <v>280800000</v>
      </c>
    </row>
    <row r="423" spans="7:12">
      <c r="G423" s="989" t="s">
        <v>428</v>
      </c>
      <c r="H423" s="990" t="s">
        <v>840</v>
      </c>
      <c r="I423" s="992"/>
      <c r="J423" s="992"/>
      <c r="K423" s="994">
        <v>0</v>
      </c>
      <c r="L423" s="994">
        <v>0</v>
      </c>
    </row>
    <row r="424" spans="7:12">
      <c r="G424" s="992">
        <v>1</v>
      </c>
      <c r="H424" s="993" t="s">
        <v>841</v>
      </c>
      <c r="I424" s="992" t="s">
        <v>266</v>
      </c>
      <c r="J424" s="992">
        <v>1</v>
      </c>
      <c r="K424" s="994">
        <v>13600000</v>
      </c>
      <c r="L424" s="994">
        <v>13600000</v>
      </c>
    </row>
    <row r="425" spans="7:12">
      <c r="G425" s="992">
        <v>2</v>
      </c>
      <c r="H425" s="993" t="s">
        <v>842</v>
      </c>
      <c r="I425" s="992" t="s">
        <v>266</v>
      </c>
      <c r="J425" s="992">
        <v>1</v>
      </c>
      <c r="K425" s="994">
        <v>170790000</v>
      </c>
      <c r="L425" s="994">
        <v>170790000</v>
      </c>
    </row>
    <row r="426" spans="7:12">
      <c r="G426" s="992">
        <v>3</v>
      </c>
      <c r="H426" s="993" t="s">
        <v>575</v>
      </c>
      <c r="I426" s="992" t="s">
        <v>266</v>
      </c>
      <c r="J426" s="992">
        <v>1</v>
      </c>
      <c r="K426" s="994">
        <v>170790000</v>
      </c>
      <c r="L426" s="994">
        <v>170790000</v>
      </c>
    </row>
    <row r="427" spans="7:12">
      <c r="G427" s="992">
        <v>4</v>
      </c>
      <c r="H427" s="993" t="s">
        <v>843</v>
      </c>
      <c r="I427" s="992" t="s">
        <v>91</v>
      </c>
      <c r="J427" s="992">
        <v>1</v>
      </c>
      <c r="K427" s="994">
        <v>49253000</v>
      </c>
      <c r="L427" s="994">
        <v>49253000</v>
      </c>
    </row>
    <row r="428" spans="7:12">
      <c r="G428" s="992">
        <v>5</v>
      </c>
      <c r="H428" s="993" t="s">
        <v>844</v>
      </c>
      <c r="I428" s="992" t="s">
        <v>91</v>
      </c>
      <c r="J428" s="992">
        <v>1</v>
      </c>
      <c r="K428" s="994">
        <v>113048000</v>
      </c>
      <c r="L428" s="994">
        <v>113048000</v>
      </c>
    </row>
    <row r="429" spans="7:12">
      <c r="G429" s="992">
        <v>6</v>
      </c>
      <c r="H429" s="993" t="s">
        <v>845</v>
      </c>
      <c r="I429" s="992" t="s">
        <v>91</v>
      </c>
      <c r="J429" s="992">
        <v>1</v>
      </c>
      <c r="K429" s="994">
        <v>148270000</v>
      </c>
      <c r="L429" s="994">
        <v>148270000</v>
      </c>
    </row>
    <row r="430" spans="7:12">
      <c r="G430" s="992">
        <v>7</v>
      </c>
      <c r="H430" s="993" t="s">
        <v>846</v>
      </c>
      <c r="I430" s="992" t="s">
        <v>91</v>
      </c>
      <c r="J430" s="992">
        <v>1</v>
      </c>
      <c r="K430" s="994">
        <v>7077285000</v>
      </c>
      <c r="L430" s="994">
        <v>7077285000</v>
      </c>
    </row>
    <row r="431" spans="7:12">
      <c r="G431" s="992">
        <v>8</v>
      </c>
      <c r="H431" s="993" t="s">
        <v>847</v>
      </c>
      <c r="I431" s="992" t="s">
        <v>91</v>
      </c>
      <c r="J431" s="992">
        <v>1</v>
      </c>
      <c r="K431" s="994">
        <v>47848218</v>
      </c>
      <c r="L431" s="994">
        <v>47848218</v>
      </c>
    </row>
    <row r="432" spans="7:12">
      <c r="G432" s="992">
        <v>9</v>
      </c>
      <c r="H432" s="993" t="s">
        <v>848</v>
      </c>
      <c r="I432" s="992" t="s">
        <v>94</v>
      </c>
      <c r="J432" s="992">
        <v>1</v>
      </c>
      <c r="K432" s="994">
        <v>205675344</v>
      </c>
      <c r="L432" s="994">
        <v>205675344</v>
      </c>
    </row>
    <row r="433" spans="7:12">
      <c r="G433" s="992">
        <v>10</v>
      </c>
      <c r="H433" s="993" t="s">
        <v>849</v>
      </c>
      <c r="I433" s="992" t="s">
        <v>91</v>
      </c>
      <c r="J433" s="992">
        <v>1</v>
      </c>
      <c r="K433" s="994">
        <v>3383302252</v>
      </c>
      <c r="L433" s="994">
        <v>3383302252</v>
      </c>
    </row>
    <row r="434" spans="7:12">
      <c r="G434" s="992">
        <v>11</v>
      </c>
      <c r="H434" s="993" t="s">
        <v>850</v>
      </c>
      <c r="I434" s="992" t="s">
        <v>91</v>
      </c>
      <c r="J434" s="992">
        <v>1</v>
      </c>
      <c r="K434" s="994">
        <v>193600000</v>
      </c>
      <c r="L434" s="994">
        <v>193600000</v>
      </c>
    </row>
    <row r="435" spans="7:12">
      <c r="G435" s="992">
        <v>12</v>
      </c>
      <c r="H435" s="993" t="s">
        <v>851</v>
      </c>
      <c r="I435" s="992" t="s">
        <v>91</v>
      </c>
      <c r="J435" s="992">
        <v>1</v>
      </c>
      <c r="K435" s="994">
        <v>520000000</v>
      </c>
      <c r="L435" s="994">
        <v>520000000</v>
      </c>
    </row>
    <row r="436" spans="7:12">
      <c r="G436" s="992">
        <v>13</v>
      </c>
      <c r="H436" s="993" t="s">
        <v>852</v>
      </c>
      <c r="I436" s="992" t="s">
        <v>266</v>
      </c>
      <c r="J436" s="992">
        <v>1</v>
      </c>
      <c r="K436" s="994">
        <v>123024630</v>
      </c>
      <c r="L436" s="994">
        <v>123024630</v>
      </c>
    </row>
    <row r="437" spans="7:12">
      <c r="G437" s="992">
        <v>14</v>
      </c>
      <c r="H437" s="993" t="s">
        <v>853</v>
      </c>
      <c r="I437" s="992" t="s">
        <v>266</v>
      </c>
      <c r="J437" s="992">
        <v>1</v>
      </c>
      <c r="K437" s="994">
        <v>70012160</v>
      </c>
      <c r="L437" s="994">
        <v>70012160</v>
      </c>
    </row>
    <row r="438" spans="7:12">
      <c r="G438" s="992">
        <v>15</v>
      </c>
      <c r="H438" s="993" t="s">
        <v>854</v>
      </c>
      <c r="I438" s="992" t="s">
        <v>266</v>
      </c>
      <c r="J438" s="992">
        <v>1</v>
      </c>
      <c r="K438" s="994">
        <v>45899490</v>
      </c>
      <c r="L438" s="994">
        <v>45899490</v>
      </c>
    </row>
    <row r="439" spans="7:12">
      <c r="G439" s="992">
        <v>16</v>
      </c>
      <c r="H439" s="993" t="s">
        <v>855</v>
      </c>
      <c r="I439" s="992" t="s">
        <v>266</v>
      </c>
      <c r="J439" s="992">
        <v>1</v>
      </c>
      <c r="K439" s="994">
        <v>12300000</v>
      </c>
      <c r="L439" s="994">
        <v>12300000</v>
      </c>
    </row>
    <row r="440" spans="7:12">
      <c r="G440" s="992">
        <v>17</v>
      </c>
      <c r="H440" s="993" t="s">
        <v>856</v>
      </c>
      <c r="I440" s="992" t="s">
        <v>266</v>
      </c>
      <c r="J440" s="992">
        <v>1</v>
      </c>
      <c r="K440" s="994">
        <v>7590000</v>
      </c>
      <c r="L440" s="994">
        <v>7590000</v>
      </c>
    </row>
  </sheetData>
  <autoFilter ref="A3:E166"/>
  <sortState ref="A4:L134">
    <sortCondition ref="B4:B134"/>
  </sortState>
  <mergeCells count="2">
    <mergeCell ref="A1:E1"/>
    <mergeCell ref="G167:L167"/>
  </mergeCells>
  <pageMargins left="0.7" right="0.7" top="0.75" bottom="0.75" header="0.3" footer="0.3"/>
  <pageSetup paperSize="9" orientation="portrait" horizontalDpi="300" verticalDpi="300" r:id="rId1"/>
  <ignoredErrors>
    <ignoredError sqref="D68:D76 D47 D86 D99 D104 D107 D109 D146 D149 D154:D155 D163 D14"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DGSP_tonghop</vt:lpstr>
      <vt:lpstr>DGSP_chitiet</vt:lpstr>
      <vt:lpstr>DGSP_chitiet (truKH)</vt:lpstr>
      <vt:lpstr>NhanCong</vt:lpstr>
      <vt:lpstr>Dcu</vt:lpstr>
      <vt:lpstr>TBi</vt:lpstr>
      <vt:lpstr>VLieu</vt:lpstr>
      <vt:lpstr>GiaVL</vt:lpstr>
      <vt:lpstr>Chứng thư</vt:lpstr>
      <vt:lpstr>L_CBac</vt:lpstr>
      <vt:lpstr>HeSoKK</vt:lpstr>
      <vt:lpstr>L_CViec</vt:lpstr>
      <vt:lpstr>Dcu!Print_Area</vt:lpstr>
      <vt:lpstr>NhanCong!Print_Area</vt:lpstr>
      <vt:lpstr>VLieu!Print_Area</vt:lpstr>
      <vt:lpstr>Dcu!Print_Titles</vt:lpstr>
      <vt:lpstr>DGSP_chitiet!Print_Titles</vt:lpstr>
      <vt:lpstr>'DGSP_chitiet (truKH)'!Print_Titles</vt:lpstr>
      <vt:lpstr>DGSP_tonghop!Print_Titles</vt:lpstr>
      <vt:lpstr>L_CBac!Print_Titles</vt:lpstr>
      <vt:lpstr>TBi!Print_Titles</vt:lpstr>
      <vt:lpstr>VLieu!Print_Titles</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DUONG VAN HAI</dc:creator>
  <cp:lastModifiedBy>Tuan Anh Phi</cp:lastModifiedBy>
  <cp:lastPrinted>2026-01-27T02:44:16Z</cp:lastPrinted>
  <dcterms:created xsi:type="dcterms:W3CDTF">2002-07-07T11:49:09Z</dcterms:created>
  <dcterms:modified xsi:type="dcterms:W3CDTF">2026-06-29T14:18:42Z</dcterms:modified>
</cp:coreProperties>
</file>