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25" windowWidth="22995" windowHeight="9855"/>
  </bookViews>
  <sheets>
    <sheet name="PAPB " sheetId="8" r:id="rId1"/>
    <sheet name="Quy định" sheetId="7" r:id="rId2"/>
    <sheet name="Xã DTTS, thôn ĐBKK" sheetId="2" r:id="rId3"/>
    <sheet name="DT NST" sheetId="5" r:id="rId4"/>
  </sheets>
  <definedNames>
    <definedName name="_xlnm._FilterDatabase" localSheetId="3" hidden="1">'DT NST'!$A$9:$G$106</definedName>
    <definedName name="_xlnm._FilterDatabase" localSheetId="0" hidden="1">'PAPB '!$A$10:$Q$116</definedName>
  </definedNames>
  <calcPr calcId="144525"/>
</workbook>
</file>

<file path=xl/calcChain.xml><?xml version="1.0" encoding="utf-8"?>
<calcChain xmlns="http://schemas.openxmlformats.org/spreadsheetml/2006/main">
  <c r="L104" i="8" l="1"/>
  <c r="L105" i="8"/>
  <c r="L106" i="8"/>
  <c r="J108" i="8"/>
  <c r="K108" i="8"/>
  <c r="I108" i="8"/>
  <c r="T1" i="8" l="1"/>
  <c r="S1" i="8"/>
  <c r="H108" i="8" l="1"/>
  <c r="E108" i="8"/>
  <c r="R107" i="8"/>
  <c r="S107" i="8"/>
  <c r="T107" i="8"/>
  <c r="O99" i="8"/>
  <c r="U99" i="8" s="1"/>
  <c r="O100" i="8"/>
  <c r="U100" i="8" s="1"/>
  <c r="O101" i="8"/>
  <c r="U101" i="8" s="1"/>
  <c r="O102" i="8"/>
  <c r="U102" i="8" s="1"/>
  <c r="O103" i="8"/>
  <c r="U103" i="8" s="1"/>
  <c r="O104" i="8"/>
  <c r="U104" i="8" s="1"/>
  <c r="O105" i="8"/>
  <c r="U105" i="8" s="1"/>
  <c r="O106" i="8"/>
  <c r="U106" i="8" s="1"/>
  <c r="O107" i="8"/>
  <c r="Q107" i="8"/>
  <c r="P107" i="8"/>
  <c r="Q1" i="8"/>
  <c r="P1" i="8"/>
  <c r="Y107" i="8" l="1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68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9" i="5"/>
  <c r="I70" i="5"/>
  <c r="I71" i="5"/>
  <c r="I72" i="5"/>
  <c r="I73" i="5"/>
  <c r="I82" i="5"/>
  <c r="I83" i="5"/>
  <c r="I84" i="5"/>
  <c r="I85" i="5"/>
  <c r="I86" i="5"/>
  <c r="I74" i="5"/>
  <c r="I75" i="5"/>
  <c r="I76" i="5"/>
  <c r="I87" i="5"/>
  <c r="I88" i="5"/>
  <c r="I89" i="5"/>
  <c r="I90" i="5"/>
  <c r="I77" i="5"/>
  <c r="I91" i="5"/>
  <c r="I78" i="5"/>
  <c r="I92" i="5"/>
  <c r="I79" i="5"/>
  <c r="I80" i="5"/>
  <c r="I81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" i="5"/>
  <c r="J107" i="8" l="1"/>
  <c r="J106" i="8"/>
  <c r="M106" i="8" s="1"/>
  <c r="I106" i="8"/>
  <c r="J105" i="8"/>
  <c r="M105" i="8" s="1"/>
  <c r="I105" i="8"/>
  <c r="J104" i="8"/>
  <c r="M104" i="8" s="1"/>
  <c r="I104" i="8"/>
  <c r="J103" i="8"/>
  <c r="M103" i="8" s="1"/>
  <c r="I103" i="8"/>
  <c r="L103" i="8" s="1"/>
  <c r="J102" i="8"/>
  <c r="M102" i="8" s="1"/>
  <c r="I102" i="8"/>
  <c r="J101" i="8"/>
  <c r="M101" i="8" s="1"/>
  <c r="I101" i="8"/>
  <c r="L101" i="8" s="1"/>
  <c r="N101" i="8" s="1"/>
  <c r="J100" i="8"/>
  <c r="M100" i="8" s="1"/>
  <c r="I100" i="8"/>
  <c r="L100" i="8" s="1"/>
  <c r="J99" i="8"/>
  <c r="M99" i="8" s="1"/>
  <c r="I99" i="8"/>
  <c r="L99" i="8" s="1"/>
  <c r="J98" i="8"/>
  <c r="M98" i="8" s="1"/>
  <c r="I98" i="8"/>
  <c r="L98" i="8" s="1"/>
  <c r="J97" i="8"/>
  <c r="M97" i="8" s="1"/>
  <c r="I97" i="8"/>
  <c r="L97" i="8" s="1"/>
  <c r="J96" i="8"/>
  <c r="M96" i="8" s="1"/>
  <c r="I96" i="8"/>
  <c r="L96" i="8" s="1"/>
  <c r="N96" i="8" s="1"/>
  <c r="J95" i="8"/>
  <c r="M95" i="8" s="1"/>
  <c r="I95" i="8"/>
  <c r="L95" i="8" s="1"/>
  <c r="J94" i="8"/>
  <c r="M94" i="8" s="1"/>
  <c r="I94" i="8"/>
  <c r="L94" i="8" s="1"/>
  <c r="J82" i="8"/>
  <c r="M82" i="8" s="1"/>
  <c r="I82" i="8"/>
  <c r="L82" i="8" s="1"/>
  <c r="J81" i="8"/>
  <c r="M81" i="8" s="1"/>
  <c r="I81" i="8"/>
  <c r="L81" i="8" s="1"/>
  <c r="N81" i="8" s="1"/>
  <c r="J80" i="8"/>
  <c r="M80" i="8" s="1"/>
  <c r="I80" i="8"/>
  <c r="L80" i="8" s="1"/>
  <c r="J93" i="8"/>
  <c r="M93" i="8" s="1"/>
  <c r="I93" i="8"/>
  <c r="L93" i="8" s="1"/>
  <c r="J79" i="8"/>
  <c r="M79" i="8" s="1"/>
  <c r="I79" i="8"/>
  <c r="L79" i="8" s="1"/>
  <c r="J92" i="8"/>
  <c r="M92" i="8" s="1"/>
  <c r="I92" i="8"/>
  <c r="L92" i="8" s="1"/>
  <c r="J78" i="8"/>
  <c r="M78" i="8" s="1"/>
  <c r="I78" i="8"/>
  <c r="L78" i="8" s="1"/>
  <c r="J91" i="8"/>
  <c r="M91" i="8" s="1"/>
  <c r="I91" i="8"/>
  <c r="L91" i="8" s="1"/>
  <c r="J90" i="8"/>
  <c r="M90" i="8" s="1"/>
  <c r="I90" i="8"/>
  <c r="L90" i="8" s="1"/>
  <c r="J89" i="8"/>
  <c r="M89" i="8" s="1"/>
  <c r="I89" i="8"/>
  <c r="L89" i="8" s="1"/>
  <c r="J88" i="8"/>
  <c r="M88" i="8" s="1"/>
  <c r="I88" i="8"/>
  <c r="L88" i="8" s="1"/>
  <c r="J77" i="8"/>
  <c r="M77" i="8" s="1"/>
  <c r="I77" i="8"/>
  <c r="L77" i="8" s="1"/>
  <c r="J76" i="8"/>
  <c r="M76" i="8" s="1"/>
  <c r="I76" i="8"/>
  <c r="L76" i="8" s="1"/>
  <c r="N76" i="8" s="1"/>
  <c r="J75" i="8"/>
  <c r="M75" i="8" s="1"/>
  <c r="I75" i="8"/>
  <c r="L75" i="8" s="1"/>
  <c r="J87" i="8"/>
  <c r="M87" i="8" s="1"/>
  <c r="I87" i="8"/>
  <c r="L87" i="8" s="1"/>
  <c r="J86" i="8"/>
  <c r="M86" i="8" s="1"/>
  <c r="I86" i="8"/>
  <c r="L86" i="8" s="1"/>
  <c r="J85" i="8"/>
  <c r="M85" i="8" s="1"/>
  <c r="I85" i="8"/>
  <c r="L85" i="8" s="1"/>
  <c r="J84" i="8"/>
  <c r="M84" i="8" s="1"/>
  <c r="I84" i="8"/>
  <c r="L84" i="8" s="1"/>
  <c r="J83" i="8"/>
  <c r="M83" i="8" s="1"/>
  <c r="I83" i="8"/>
  <c r="L83" i="8" s="1"/>
  <c r="J74" i="8"/>
  <c r="M74" i="8" s="1"/>
  <c r="I74" i="8"/>
  <c r="L74" i="8" s="1"/>
  <c r="J73" i="8"/>
  <c r="M73" i="8" s="1"/>
  <c r="I73" i="8"/>
  <c r="L73" i="8" s="1"/>
  <c r="J72" i="8"/>
  <c r="M72" i="8" s="1"/>
  <c r="I72" i="8"/>
  <c r="L72" i="8" s="1"/>
  <c r="J71" i="8"/>
  <c r="M71" i="8" s="1"/>
  <c r="I71" i="8"/>
  <c r="L71" i="8" s="1"/>
  <c r="J70" i="8"/>
  <c r="M70" i="8" s="1"/>
  <c r="I70" i="8"/>
  <c r="L70" i="8" s="1"/>
  <c r="J69" i="8"/>
  <c r="M69" i="8" s="1"/>
  <c r="I69" i="8"/>
  <c r="L69" i="8" s="1"/>
  <c r="J68" i="8"/>
  <c r="M68" i="8" s="1"/>
  <c r="I68" i="8"/>
  <c r="L68" i="8" s="1"/>
  <c r="J67" i="8"/>
  <c r="M67" i="8" s="1"/>
  <c r="I67" i="8"/>
  <c r="L67" i="8" s="1"/>
  <c r="J66" i="8"/>
  <c r="M66" i="8" s="1"/>
  <c r="I66" i="8"/>
  <c r="L66" i="8" s="1"/>
  <c r="J65" i="8"/>
  <c r="M65" i="8" s="1"/>
  <c r="I65" i="8"/>
  <c r="L65" i="8" s="1"/>
  <c r="J64" i="8"/>
  <c r="M64" i="8" s="1"/>
  <c r="I64" i="8"/>
  <c r="L64" i="8" s="1"/>
  <c r="J63" i="8"/>
  <c r="M63" i="8" s="1"/>
  <c r="I63" i="8"/>
  <c r="L63" i="8" s="1"/>
  <c r="J62" i="8"/>
  <c r="M62" i="8" s="1"/>
  <c r="I62" i="8"/>
  <c r="L62" i="8" s="1"/>
  <c r="J61" i="8"/>
  <c r="M61" i="8" s="1"/>
  <c r="I61" i="8"/>
  <c r="L61" i="8" s="1"/>
  <c r="N61" i="8" s="1"/>
  <c r="J60" i="8"/>
  <c r="M60" i="8" s="1"/>
  <c r="I60" i="8"/>
  <c r="L60" i="8" s="1"/>
  <c r="J59" i="8"/>
  <c r="M59" i="8" s="1"/>
  <c r="I59" i="8"/>
  <c r="L59" i="8" s="1"/>
  <c r="J58" i="8"/>
  <c r="M58" i="8" s="1"/>
  <c r="I58" i="8"/>
  <c r="L58" i="8" s="1"/>
  <c r="J57" i="8"/>
  <c r="M57" i="8" s="1"/>
  <c r="I57" i="8"/>
  <c r="L57" i="8" s="1"/>
  <c r="N57" i="8" s="1"/>
  <c r="J56" i="8"/>
  <c r="M56" i="8" s="1"/>
  <c r="I56" i="8"/>
  <c r="L56" i="8" s="1"/>
  <c r="N56" i="8" s="1"/>
  <c r="J55" i="8"/>
  <c r="M55" i="8" s="1"/>
  <c r="I55" i="8"/>
  <c r="L55" i="8" s="1"/>
  <c r="J54" i="8"/>
  <c r="M54" i="8" s="1"/>
  <c r="I54" i="8"/>
  <c r="L54" i="8" s="1"/>
  <c r="J53" i="8"/>
  <c r="M53" i="8" s="1"/>
  <c r="I53" i="8"/>
  <c r="L53" i="8" s="1"/>
  <c r="J52" i="8"/>
  <c r="M52" i="8" s="1"/>
  <c r="I52" i="8"/>
  <c r="L52" i="8" s="1"/>
  <c r="J51" i="8"/>
  <c r="M51" i="8" s="1"/>
  <c r="I51" i="8"/>
  <c r="L51" i="8" s="1"/>
  <c r="J50" i="8"/>
  <c r="M50" i="8" s="1"/>
  <c r="I50" i="8"/>
  <c r="L50" i="8" s="1"/>
  <c r="J49" i="8"/>
  <c r="M49" i="8" s="1"/>
  <c r="I49" i="8"/>
  <c r="L49" i="8" s="1"/>
  <c r="J48" i="8"/>
  <c r="M48" i="8" s="1"/>
  <c r="I48" i="8"/>
  <c r="L48" i="8" s="1"/>
  <c r="N48" i="8" s="1"/>
  <c r="J47" i="8"/>
  <c r="M47" i="8" s="1"/>
  <c r="I47" i="8"/>
  <c r="L47" i="8" s="1"/>
  <c r="J46" i="8"/>
  <c r="M46" i="8" s="1"/>
  <c r="I46" i="8"/>
  <c r="L46" i="8" s="1"/>
  <c r="J45" i="8"/>
  <c r="M45" i="8" s="1"/>
  <c r="I45" i="8"/>
  <c r="L45" i="8" s="1"/>
  <c r="N45" i="8" s="1"/>
  <c r="J44" i="8"/>
  <c r="M44" i="8" s="1"/>
  <c r="I44" i="8"/>
  <c r="L44" i="8" s="1"/>
  <c r="J43" i="8"/>
  <c r="M43" i="8" s="1"/>
  <c r="I43" i="8"/>
  <c r="L43" i="8" s="1"/>
  <c r="J42" i="8"/>
  <c r="M42" i="8" s="1"/>
  <c r="I42" i="8"/>
  <c r="J41" i="8"/>
  <c r="M41" i="8" s="1"/>
  <c r="I41" i="8"/>
  <c r="L41" i="8" s="1"/>
  <c r="N41" i="8" s="1"/>
  <c r="J40" i="8"/>
  <c r="M40" i="8" s="1"/>
  <c r="I40" i="8"/>
  <c r="J39" i="8"/>
  <c r="M39" i="8" s="1"/>
  <c r="I39" i="8"/>
  <c r="L39" i="8" s="1"/>
  <c r="J38" i="8"/>
  <c r="M38" i="8" s="1"/>
  <c r="I38" i="8"/>
  <c r="J37" i="8"/>
  <c r="M37" i="8" s="1"/>
  <c r="I37" i="8"/>
  <c r="L37" i="8" s="1"/>
  <c r="J36" i="8"/>
  <c r="M36" i="8" s="1"/>
  <c r="I36" i="8"/>
  <c r="J35" i="8"/>
  <c r="M35" i="8" s="1"/>
  <c r="I35" i="8"/>
  <c r="L35" i="8" s="1"/>
  <c r="J34" i="8"/>
  <c r="M34" i="8" s="1"/>
  <c r="I34" i="8"/>
  <c r="J33" i="8"/>
  <c r="M33" i="8" s="1"/>
  <c r="I33" i="8"/>
  <c r="L33" i="8" s="1"/>
  <c r="N33" i="8" s="1"/>
  <c r="J32" i="8"/>
  <c r="M32" i="8" s="1"/>
  <c r="I32" i="8"/>
  <c r="J31" i="8"/>
  <c r="M31" i="8" s="1"/>
  <c r="I31" i="8"/>
  <c r="L31" i="8" s="1"/>
  <c r="N31" i="8" s="1"/>
  <c r="J30" i="8"/>
  <c r="M30" i="8" s="1"/>
  <c r="I30" i="8"/>
  <c r="J29" i="8"/>
  <c r="M29" i="8" s="1"/>
  <c r="I29" i="8"/>
  <c r="L29" i="8" s="1"/>
  <c r="N29" i="8" s="1"/>
  <c r="J28" i="8"/>
  <c r="M28" i="8" s="1"/>
  <c r="I28" i="8"/>
  <c r="J27" i="8"/>
  <c r="M27" i="8" s="1"/>
  <c r="I27" i="8"/>
  <c r="L27" i="8" s="1"/>
  <c r="J26" i="8"/>
  <c r="M26" i="8" s="1"/>
  <c r="I26" i="8"/>
  <c r="J25" i="8"/>
  <c r="M25" i="8" s="1"/>
  <c r="I25" i="8"/>
  <c r="L25" i="8" s="1"/>
  <c r="N25" i="8" s="1"/>
  <c r="J24" i="8"/>
  <c r="M24" i="8" s="1"/>
  <c r="I24" i="8"/>
  <c r="J23" i="8"/>
  <c r="M23" i="8" s="1"/>
  <c r="I23" i="8"/>
  <c r="L23" i="8" s="1"/>
  <c r="J22" i="8"/>
  <c r="M22" i="8" s="1"/>
  <c r="I22" i="8"/>
  <c r="J21" i="8"/>
  <c r="M21" i="8" s="1"/>
  <c r="I21" i="8"/>
  <c r="L21" i="8" s="1"/>
  <c r="J20" i="8"/>
  <c r="M20" i="8" s="1"/>
  <c r="I20" i="8"/>
  <c r="J19" i="8"/>
  <c r="M19" i="8" s="1"/>
  <c r="I19" i="8"/>
  <c r="L19" i="8" s="1"/>
  <c r="J18" i="8"/>
  <c r="M18" i="8" s="1"/>
  <c r="I18" i="8"/>
  <c r="J17" i="8"/>
  <c r="M17" i="8" s="1"/>
  <c r="I17" i="8"/>
  <c r="L17" i="8" s="1"/>
  <c r="N17" i="8" s="1"/>
  <c r="J16" i="8"/>
  <c r="M16" i="8" s="1"/>
  <c r="I16" i="8"/>
  <c r="J15" i="8"/>
  <c r="M15" i="8" s="1"/>
  <c r="I15" i="8"/>
  <c r="L15" i="8" s="1"/>
  <c r="J14" i="8"/>
  <c r="M14" i="8" s="1"/>
  <c r="I14" i="8"/>
  <c r="J13" i="8"/>
  <c r="M13" i="8" s="1"/>
  <c r="I13" i="8"/>
  <c r="L13" i="8" s="1"/>
  <c r="J12" i="8"/>
  <c r="M12" i="8" s="1"/>
  <c r="I12" i="8"/>
  <c r="J11" i="8"/>
  <c r="I11" i="8"/>
  <c r="K107" i="8" l="1"/>
  <c r="M107" i="8"/>
  <c r="N107" i="8" s="1"/>
  <c r="M11" i="8"/>
  <c r="L11" i="8"/>
  <c r="N11" i="8" s="1"/>
  <c r="K12" i="8"/>
  <c r="L12" i="8"/>
  <c r="N12" i="8" s="1"/>
  <c r="K18" i="8"/>
  <c r="L18" i="8"/>
  <c r="N18" i="8" s="1"/>
  <c r="K24" i="8"/>
  <c r="L24" i="8"/>
  <c r="N24" i="8" s="1"/>
  <c r="K30" i="8"/>
  <c r="L30" i="8"/>
  <c r="N30" i="8" s="1"/>
  <c r="K38" i="8"/>
  <c r="L38" i="8"/>
  <c r="N38" i="8" s="1"/>
  <c r="K14" i="8"/>
  <c r="L14" i="8"/>
  <c r="N14" i="8" s="1"/>
  <c r="K20" i="8"/>
  <c r="L20" i="8"/>
  <c r="N20" i="8" s="1"/>
  <c r="K26" i="8"/>
  <c r="L26" i="8"/>
  <c r="N26" i="8" s="1"/>
  <c r="K32" i="8"/>
  <c r="L32" i="8"/>
  <c r="N32" i="8" s="1"/>
  <c r="K40" i="8"/>
  <c r="L40" i="8"/>
  <c r="N40" i="8" s="1"/>
  <c r="K104" i="8"/>
  <c r="N104" i="8"/>
  <c r="K102" i="8"/>
  <c r="L102" i="8"/>
  <c r="N102" i="8" s="1"/>
  <c r="K106" i="8"/>
  <c r="N106" i="8"/>
  <c r="K16" i="8"/>
  <c r="L16" i="8"/>
  <c r="N16" i="8" s="1"/>
  <c r="K22" i="8"/>
  <c r="L22" i="8"/>
  <c r="N22" i="8" s="1"/>
  <c r="K28" i="8"/>
  <c r="L28" i="8"/>
  <c r="N28" i="8" s="1"/>
  <c r="K34" i="8"/>
  <c r="L34" i="8"/>
  <c r="N34" i="8" s="1"/>
  <c r="K36" i="8"/>
  <c r="L36" i="8"/>
  <c r="N36" i="8" s="1"/>
  <c r="K42" i="8"/>
  <c r="L42" i="8"/>
  <c r="N42" i="8" s="1"/>
  <c r="K44" i="8"/>
  <c r="K46" i="8"/>
  <c r="K48" i="8"/>
  <c r="K50" i="8"/>
  <c r="K52" i="8"/>
  <c r="K54" i="8"/>
  <c r="K56" i="8"/>
  <c r="K58" i="8"/>
  <c r="K60" i="8"/>
  <c r="K62" i="8"/>
  <c r="K64" i="8"/>
  <c r="K66" i="8"/>
  <c r="K68" i="8"/>
  <c r="K70" i="8"/>
  <c r="K72" i="8"/>
  <c r="K94" i="8"/>
  <c r="K96" i="8"/>
  <c r="K98" i="8"/>
  <c r="K101" i="8"/>
  <c r="K105" i="8"/>
  <c r="K100" i="8"/>
  <c r="K13" i="8"/>
  <c r="K15" i="8"/>
  <c r="K17" i="8"/>
  <c r="K19" i="8"/>
  <c r="K21" i="8"/>
  <c r="K23" i="8"/>
  <c r="K25" i="8"/>
  <c r="K27" i="8"/>
  <c r="K29" i="8"/>
  <c r="K31" i="8"/>
  <c r="K33" i="8"/>
  <c r="K35" i="8"/>
  <c r="K37" i="8"/>
  <c r="K39" i="8"/>
  <c r="K41" i="8"/>
  <c r="K43" i="8"/>
  <c r="K45" i="8"/>
  <c r="K47" i="8"/>
  <c r="K49" i="8"/>
  <c r="K51" i="8"/>
  <c r="K53" i="8"/>
  <c r="K55" i="8"/>
  <c r="K57" i="8"/>
  <c r="K59" i="8"/>
  <c r="K61" i="8"/>
  <c r="K63" i="8"/>
  <c r="K65" i="8"/>
  <c r="K67" i="8"/>
  <c r="K69" i="8"/>
  <c r="K71" i="8"/>
  <c r="K73" i="8"/>
  <c r="K83" i="8"/>
  <c r="K85" i="8"/>
  <c r="K87" i="8"/>
  <c r="K76" i="8"/>
  <c r="K88" i="8"/>
  <c r="K90" i="8"/>
  <c r="K78" i="8"/>
  <c r="K79" i="8"/>
  <c r="K80" i="8"/>
  <c r="K82" i="8"/>
  <c r="K95" i="8"/>
  <c r="K97" i="8"/>
  <c r="K99" i="8"/>
  <c r="K103" i="8"/>
  <c r="K74" i="8"/>
  <c r="K84" i="8"/>
  <c r="K86" i="8"/>
  <c r="K75" i="8"/>
  <c r="K77" i="8"/>
  <c r="K89" i="8"/>
  <c r="K91" i="8"/>
  <c r="K92" i="8"/>
  <c r="K93" i="8"/>
  <c r="K81" i="8"/>
  <c r="N68" i="8"/>
  <c r="N89" i="8"/>
  <c r="N99" i="8"/>
  <c r="N78" i="8"/>
  <c r="N67" i="8"/>
  <c r="N15" i="8"/>
  <c r="N19" i="8"/>
  <c r="N27" i="8"/>
  <c r="N35" i="8"/>
  <c r="N39" i="8"/>
  <c r="N47" i="8"/>
  <c r="N23" i="8"/>
  <c r="N43" i="8"/>
  <c r="N51" i="8"/>
  <c r="N55" i="8"/>
  <c r="N63" i="8"/>
  <c r="N71" i="8"/>
  <c r="N87" i="8"/>
  <c r="N88" i="8"/>
  <c r="N80" i="8"/>
  <c r="N95" i="8"/>
  <c r="N59" i="8"/>
  <c r="N83" i="8"/>
  <c r="N103" i="8"/>
  <c r="N100" i="8"/>
  <c r="N64" i="8"/>
  <c r="N73" i="8"/>
  <c r="N69" i="8"/>
  <c r="N49" i="8"/>
  <c r="N50" i="8"/>
  <c r="N74" i="8"/>
  <c r="N77" i="8"/>
  <c r="N72" i="8"/>
  <c r="N98" i="8"/>
  <c r="N94" i="8"/>
  <c r="N93" i="8"/>
  <c r="N91" i="8"/>
  <c r="N86" i="8"/>
  <c r="N70" i="8"/>
  <c r="N66" i="8"/>
  <c r="N62" i="8"/>
  <c r="N54" i="8"/>
  <c r="N105" i="8"/>
  <c r="N97" i="8"/>
  <c r="N82" i="8"/>
  <c r="N79" i="8"/>
  <c r="N90" i="8"/>
  <c r="N85" i="8"/>
  <c r="N65" i="8"/>
  <c r="N53" i="8"/>
  <c r="N37" i="8"/>
  <c r="N21" i="8"/>
  <c r="N92" i="8"/>
  <c r="N75" i="8"/>
  <c r="N84" i="8"/>
  <c r="N60" i="8"/>
  <c r="N52" i="8"/>
  <c r="N44" i="8"/>
  <c r="N46" i="8"/>
  <c r="N58" i="8"/>
  <c r="N13" i="8"/>
  <c r="K11" i="8"/>
  <c r="M108" i="8" l="1"/>
  <c r="L108" i="8"/>
  <c r="N108" i="8"/>
  <c r="Q2" i="8" l="1"/>
  <c r="P2" i="8"/>
  <c r="S2" i="8"/>
  <c r="T2" i="8"/>
  <c r="F106" i="5"/>
  <c r="T36" i="8" l="1"/>
  <c r="T67" i="8"/>
  <c r="T105" i="8"/>
  <c r="X105" i="8" s="1"/>
  <c r="T43" i="8"/>
  <c r="T74" i="8"/>
  <c r="T18" i="8"/>
  <c r="T50" i="8"/>
  <c r="T93" i="8"/>
  <c r="T29" i="8"/>
  <c r="T61" i="8"/>
  <c r="T100" i="8"/>
  <c r="X100" i="8" s="1"/>
  <c r="T17" i="8"/>
  <c r="T33" i="8"/>
  <c r="T49" i="8"/>
  <c r="T65" i="8"/>
  <c r="T81" i="8"/>
  <c r="T97" i="8"/>
  <c r="T19" i="8"/>
  <c r="T35" i="8"/>
  <c r="T51" i="8"/>
  <c r="T69" i="8"/>
  <c r="T57" i="8"/>
  <c r="T39" i="8"/>
  <c r="T25" i="8"/>
  <c r="T92" i="8"/>
  <c r="T80" i="8"/>
  <c r="T59" i="8"/>
  <c r="T45" i="8"/>
  <c r="T27" i="8"/>
  <c r="T13" i="8"/>
  <c r="T98" i="8"/>
  <c r="T89" i="8"/>
  <c r="T55" i="8"/>
  <c r="T41" i="8"/>
  <c r="T23" i="8"/>
  <c r="T77" i="8"/>
  <c r="T15" i="8"/>
  <c r="T79" i="8"/>
  <c r="T12" i="8"/>
  <c r="T60" i="8"/>
  <c r="T71" i="8"/>
  <c r="T106" i="8"/>
  <c r="X106" i="8" s="1"/>
  <c r="T73" i="8"/>
  <c r="T22" i="8"/>
  <c r="T38" i="8"/>
  <c r="T54" i="8"/>
  <c r="T70" i="8"/>
  <c r="T86" i="8"/>
  <c r="T102" i="8"/>
  <c r="X102" i="8" s="1"/>
  <c r="T21" i="8"/>
  <c r="T37" i="8"/>
  <c r="T53" i="8"/>
  <c r="T90" i="8"/>
  <c r="T78" i="8"/>
  <c r="T66" i="8"/>
  <c r="T99" i="8"/>
  <c r="X99" i="8" s="1"/>
  <c r="T87" i="8"/>
  <c r="T68" i="8"/>
  <c r="T96" i="8"/>
  <c r="T63" i="8"/>
  <c r="T44" i="8"/>
  <c r="T83" i="8"/>
  <c r="T24" i="8"/>
  <c r="T40" i="8"/>
  <c r="T56" i="8"/>
  <c r="T72" i="8"/>
  <c r="T88" i="8"/>
  <c r="T104" i="8"/>
  <c r="X104" i="8" s="1"/>
  <c r="T26" i="8"/>
  <c r="T42" i="8"/>
  <c r="T58" i="8"/>
  <c r="T76" i="8"/>
  <c r="T64" i="8"/>
  <c r="T46" i="8"/>
  <c r="T32" i="8"/>
  <c r="T14" i="8"/>
  <c r="T85" i="8"/>
  <c r="T75" i="8"/>
  <c r="T52" i="8"/>
  <c r="T34" i="8"/>
  <c r="T20" i="8"/>
  <c r="T103" i="8"/>
  <c r="X103" i="8" s="1"/>
  <c r="T84" i="8"/>
  <c r="T62" i="8"/>
  <c r="T48" i="8"/>
  <c r="T30" i="8"/>
  <c r="T16" i="8"/>
  <c r="T47" i="8"/>
  <c r="T95" i="8"/>
  <c r="T94" i="8"/>
  <c r="T91" i="8"/>
  <c r="T31" i="8"/>
  <c r="T28" i="8"/>
  <c r="T82" i="8"/>
  <c r="T101" i="8"/>
  <c r="X101" i="8" s="1"/>
  <c r="T11" i="8"/>
  <c r="S12" i="8"/>
  <c r="S28" i="8"/>
  <c r="S44" i="8"/>
  <c r="S60" i="8"/>
  <c r="R60" i="8" s="1"/>
  <c r="S76" i="8"/>
  <c r="S92" i="8"/>
  <c r="S14" i="8"/>
  <c r="S30" i="8"/>
  <c r="S46" i="8"/>
  <c r="S62" i="8"/>
  <c r="S96" i="8"/>
  <c r="R96" i="8" s="1"/>
  <c r="S84" i="8"/>
  <c r="S65" i="8"/>
  <c r="S33" i="8"/>
  <c r="S105" i="8"/>
  <c r="S93" i="8"/>
  <c r="R93" i="8" s="1"/>
  <c r="S81" i="8"/>
  <c r="S104" i="8"/>
  <c r="S71" i="8"/>
  <c r="S80" i="8"/>
  <c r="S70" i="8"/>
  <c r="S52" i="8"/>
  <c r="S20" i="8"/>
  <c r="S106" i="8"/>
  <c r="S31" i="8"/>
  <c r="S82" i="8"/>
  <c r="R82" i="8" s="1"/>
  <c r="S27" i="8"/>
  <c r="S19" i="8"/>
  <c r="S35" i="8"/>
  <c r="S51" i="8"/>
  <c r="S67" i="8"/>
  <c r="S83" i="8"/>
  <c r="S99" i="8"/>
  <c r="S16" i="8"/>
  <c r="S32" i="8"/>
  <c r="S48" i="8"/>
  <c r="S64" i="8"/>
  <c r="R64" i="8" s="1"/>
  <c r="S91" i="8"/>
  <c r="S79" i="8"/>
  <c r="S54" i="8"/>
  <c r="S22" i="8"/>
  <c r="S102" i="8"/>
  <c r="S50" i="8"/>
  <c r="R50" i="8" s="1"/>
  <c r="S36" i="8"/>
  <c r="S18" i="8"/>
  <c r="S78" i="8"/>
  <c r="R78" i="8" s="1"/>
  <c r="S56" i="8"/>
  <c r="S38" i="8"/>
  <c r="S24" i="8"/>
  <c r="S87" i="8"/>
  <c r="S68" i="8"/>
  <c r="S34" i="8"/>
  <c r="R34" i="8" s="1"/>
  <c r="S41" i="8"/>
  <c r="S72" i="8"/>
  <c r="R72" i="8" s="1"/>
  <c r="S29" i="8"/>
  <c r="S63" i="8"/>
  <c r="R63" i="8" s="1"/>
  <c r="S17" i="8"/>
  <c r="S59" i="8"/>
  <c r="S21" i="8"/>
  <c r="S37" i="8"/>
  <c r="S53" i="8"/>
  <c r="S69" i="8"/>
  <c r="S85" i="8"/>
  <c r="S101" i="8"/>
  <c r="S23" i="8"/>
  <c r="S39" i="8"/>
  <c r="S55" i="8"/>
  <c r="S103" i="8"/>
  <c r="S89" i="8"/>
  <c r="S77" i="8"/>
  <c r="S47" i="8"/>
  <c r="S15" i="8"/>
  <c r="S100" i="8"/>
  <c r="S88" i="8"/>
  <c r="S97" i="8"/>
  <c r="S66" i="8"/>
  <c r="S94" i="8"/>
  <c r="S75" i="8"/>
  <c r="R75" i="8" s="1"/>
  <c r="S57" i="8"/>
  <c r="S40" i="8"/>
  <c r="R40" i="8" s="1"/>
  <c r="S95" i="8"/>
  <c r="R95" i="8" s="1"/>
  <c r="S43" i="8"/>
  <c r="S49" i="8"/>
  <c r="S73" i="8"/>
  <c r="S13" i="8"/>
  <c r="S26" i="8"/>
  <c r="S42" i="8"/>
  <c r="S58" i="8"/>
  <c r="S74" i="8"/>
  <c r="R74" i="8" s="1"/>
  <c r="S90" i="8"/>
  <c r="S25" i="8"/>
  <c r="S98" i="8"/>
  <c r="S86" i="8"/>
  <c r="S61" i="8"/>
  <c r="R61" i="8" s="1"/>
  <c r="S45" i="8"/>
  <c r="S11" i="8"/>
  <c r="Q64" i="8"/>
  <c r="Q25" i="8"/>
  <c r="Q29" i="8"/>
  <c r="Q21" i="8"/>
  <c r="Q22" i="8"/>
  <c r="Q18" i="8"/>
  <c r="Q45" i="8"/>
  <c r="Q92" i="8"/>
  <c r="Q95" i="8"/>
  <c r="Q82" i="8"/>
  <c r="Q97" i="8"/>
  <c r="Q14" i="8"/>
  <c r="Q33" i="8"/>
  <c r="Q26" i="8"/>
  <c r="Q38" i="8"/>
  <c r="Q54" i="8"/>
  <c r="Q46" i="8"/>
  <c r="Q72" i="8"/>
  <c r="Q68" i="8"/>
  <c r="Q91" i="8"/>
  <c r="Q83" i="8"/>
  <c r="Q78" i="8"/>
  <c r="Q20" i="8"/>
  <c r="Q30" i="8"/>
  <c r="Q12" i="8"/>
  <c r="Q28" i="8"/>
  <c r="Q41" i="8"/>
  <c r="Q57" i="8"/>
  <c r="Q49" i="8"/>
  <c r="Q70" i="8"/>
  <c r="Q69" i="8"/>
  <c r="Q89" i="8"/>
  <c r="Q85" i="8"/>
  <c r="Q16" i="8"/>
  <c r="Q17" i="8"/>
  <c r="Q13" i="8"/>
  <c r="Q37" i="8"/>
  <c r="Q50" i="8"/>
  <c r="Q32" i="8"/>
  <c r="Q34" i="8"/>
  <c r="Q42" i="8"/>
  <c r="Q58" i="8"/>
  <c r="Q71" i="8"/>
  <c r="Q77" i="8"/>
  <c r="Q75" i="8"/>
  <c r="Q90" i="8"/>
  <c r="Q87" i="8"/>
  <c r="Q53" i="8"/>
  <c r="Q63" i="8"/>
  <c r="Q86" i="8"/>
  <c r="Q67" i="8"/>
  <c r="Q84" i="8"/>
  <c r="Q74" i="8"/>
  <c r="Q80" i="8"/>
  <c r="Q93" i="8"/>
  <c r="Q73" i="8"/>
  <c r="Q76" i="8"/>
  <c r="Q79" i="8"/>
  <c r="Q88" i="8"/>
  <c r="Q94" i="8"/>
  <c r="Q81" i="8"/>
  <c r="Q27" i="8"/>
  <c r="Q44" i="8"/>
  <c r="Q55" i="8"/>
  <c r="Q62" i="8"/>
  <c r="Q59" i="8"/>
  <c r="Q43" i="8"/>
  <c r="Q24" i="8"/>
  <c r="Q66" i="8"/>
  <c r="Q52" i="8"/>
  <c r="Q48" i="8"/>
  <c r="Q65" i="8"/>
  <c r="Q23" i="8"/>
  <c r="Q36" i="8"/>
  <c r="Q35" i="8"/>
  <c r="Q60" i="8"/>
  <c r="Q31" i="8"/>
  <c r="Q47" i="8"/>
  <c r="Q39" i="8"/>
  <c r="Q11" i="8"/>
  <c r="Q51" i="8"/>
  <c r="Q98" i="8"/>
  <c r="Q96" i="8"/>
  <c r="Q56" i="8"/>
  <c r="Q40" i="8"/>
  <c r="Q61" i="8"/>
  <c r="Q19" i="8"/>
  <c r="Q15" i="8"/>
  <c r="P95" i="8"/>
  <c r="O95" i="8" s="1"/>
  <c r="U95" i="8" s="1"/>
  <c r="P80" i="8"/>
  <c r="O80" i="8" s="1"/>
  <c r="U80" i="8" s="1"/>
  <c r="P88" i="8"/>
  <c r="O88" i="8" s="1"/>
  <c r="U88" i="8" s="1"/>
  <c r="P76" i="8"/>
  <c r="P87" i="8"/>
  <c r="P85" i="8"/>
  <c r="P70" i="8"/>
  <c r="P58" i="8"/>
  <c r="P54" i="8"/>
  <c r="P50" i="8"/>
  <c r="O50" i="8" s="1"/>
  <c r="U50" i="8" s="1"/>
  <c r="P46" i="8"/>
  <c r="P42" i="8"/>
  <c r="P38" i="8"/>
  <c r="P18" i="8"/>
  <c r="O18" i="8" s="1"/>
  <c r="U18" i="8" s="1"/>
  <c r="P13" i="8"/>
  <c r="P22" i="8"/>
  <c r="P14" i="8"/>
  <c r="P26" i="8"/>
  <c r="O26" i="8" s="1"/>
  <c r="U26" i="8" s="1"/>
  <c r="P25" i="8"/>
  <c r="P17" i="8"/>
  <c r="P34" i="8"/>
  <c r="P20" i="8"/>
  <c r="P77" i="8"/>
  <c r="P75" i="8"/>
  <c r="P78" i="8"/>
  <c r="P29" i="8"/>
  <c r="P30" i="8"/>
  <c r="P21" i="8"/>
  <c r="P28" i="8"/>
  <c r="P64" i="8"/>
  <c r="P86" i="8"/>
  <c r="P84" i="8"/>
  <c r="O84" i="8" s="1"/>
  <c r="U84" i="8" s="1"/>
  <c r="P16" i="8"/>
  <c r="P33" i="8"/>
  <c r="P67" i="8"/>
  <c r="P63" i="8"/>
  <c r="P72" i="8"/>
  <c r="P45" i="8"/>
  <c r="P53" i="8"/>
  <c r="P90" i="8"/>
  <c r="P91" i="8"/>
  <c r="P97" i="8"/>
  <c r="P68" i="8"/>
  <c r="O68" i="8" s="1"/>
  <c r="U68" i="8" s="1"/>
  <c r="P69" i="8"/>
  <c r="P89" i="8"/>
  <c r="P93" i="8"/>
  <c r="P82" i="8"/>
  <c r="P12" i="8"/>
  <c r="P37" i="8"/>
  <c r="O37" i="8" s="1"/>
  <c r="U37" i="8" s="1"/>
  <c r="P32" i="8"/>
  <c r="P71" i="8"/>
  <c r="O71" i="8" s="1"/>
  <c r="U71" i="8" s="1"/>
  <c r="P41" i="8"/>
  <c r="P49" i="8"/>
  <c r="O49" i="8" s="1"/>
  <c r="U49" i="8" s="1"/>
  <c r="P57" i="8"/>
  <c r="P74" i="8"/>
  <c r="P92" i="8"/>
  <c r="O92" i="8" s="1"/>
  <c r="U92" i="8" s="1"/>
  <c r="P73" i="8"/>
  <c r="P79" i="8"/>
  <c r="O79" i="8" s="1"/>
  <c r="U79" i="8" s="1"/>
  <c r="P83" i="8"/>
  <c r="P98" i="8"/>
  <c r="P62" i="8"/>
  <c r="O62" i="8" s="1"/>
  <c r="U62" i="8" s="1"/>
  <c r="P81" i="8"/>
  <c r="P27" i="8"/>
  <c r="P96" i="8"/>
  <c r="P56" i="8"/>
  <c r="P40" i="8"/>
  <c r="P61" i="8"/>
  <c r="P44" i="8"/>
  <c r="P94" i="8"/>
  <c r="P47" i="8"/>
  <c r="O47" i="8" s="1"/>
  <c r="U47" i="8" s="1"/>
  <c r="P39" i="8"/>
  <c r="O39" i="8" s="1"/>
  <c r="U39" i="8" s="1"/>
  <c r="P11" i="8"/>
  <c r="P51" i="8"/>
  <c r="O51" i="8" s="1"/>
  <c r="U51" i="8" s="1"/>
  <c r="P52" i="8"/>
  <c r="O52" i="8" s="1"/>
  <c r="U52" i="8" s="1"/>
  <c r="P48" i="8"/>
  <c r="O48" i="8" s="1"/>
  <c r="U48" i="8" s="1"/>
  <c r="P65" i="8"/>
  <c r="O65" i="8" s="1"/>
  <c r="U65" i="8" s="1"/>
  <c r="P23" i="8"/>
  <c r="O23" i="8" s="1"/>
  <c r="U23" i="8" s="1"/>
  <c r="P19" i="8"/>
  <c r="P36" i="8"/>
  <c r="P35" i="8"/>
  <c r="P60" i="8"/>
  <c r="P31" i="8"/>
  <c r="P15" i="8"/>
  <c r="P55" i="8"/>
  <c r="O55" i="8" s="1"/>
  <c r="U55" i="8" s="1"/>
  <c r="P59" i="8"/>
  <c r="P43" i="8"/>
  <c r="P24" i="8"/>
  <c r="P66" i="8"/>
  <c r="R32" i="8" l="1"/>
  <c r="O67" i="8"/>
  <c r="U67" i="8" s="1"/>
  <c r="R98" i="8"/>
  <c r="R58" i="8"/>
  <c r="R73" i="8"/>
  <c r="R66" i="8"/>
  <c r="R37" i="8"/>
  <c r="R84" i="8"/>
  <c r="R90" i="8"/>
  <c r="R26" i="8"/>
  <c r="Y26" i="8" s="1"/>
  <c r="R69" i="8"/>
  <c r="R33" i="8"/>
  <c r="R18" i="8"/>
  <c r="Y18" i="8" s="1"/>
  <c r="R13" i="8"/>
  <c r="R41" i="8"/>
  <c r="R94" i="8"/>
  <c r="R15" i="8"/>
  <c r="R38" i="8"/>
  <c r="R36" i="8"/>
  <c r="R54" i="8"/>
  <c r="R48" i="8"/>
  <c r="Y48" i="8" s="1"/>
  <c r="R83" i="8"/>
  <c r="R19" i="8"/>
  <c r="R80" i="8"/>
  <c r="Y80" i="8" s="1"/>
  <c r="R30" i="8"/>
  <c r="R49" i="8"/>
  <c r="Y49" i="8" s="1"/>
  <c r="R97" i="8"/>
  <c r="R42" i="8"/>
  <c r="R57" i="8"/>
  <c r="R55" i="8"/>
  <c r="Y55" i="8" s="1"/>
  <c r="R85" i="8"/>
  <c r="R21" i="8"/>
  <c r="R29" i="8"/>
  <c r="R68" i="8"/>
  <c r="Y68" i="8" s="1"/>
  <c r="R56" i="8"/>
  <c r="R79" i="8"/>
  <c r="Y79" i="8" s="1"/>
  <c r="R67" i="8"/>
  <c r="R27" i="8"/>
  <c r="R20" i="8"/>
  <c r="R71" i="8"/>
  <c r="Y71" i="8" s="1"/>
  <c r="R44" i="8"/>
  <c r="R46" i="8"/>
  <c r="R25" i="8"/>
  <c r="R14" i="8"/>
  <c r="R43" i="8"/>
  <c r="R88" i="8"/>
  <c r="Y88" i="8" s="1"/>
  <c r="R77" i="8"/>
  <c r="R39" i="8"/>
  <c r="Y39" i="8" s="1"/>
  <c r="R59" i="8"/>
  <c r="R87" i="8"/>
  <c r="R91" i="8"/>
  <c r="R16" i="8"/>
  <c r="R51" i="8"/>
  <c r="Y51" i="8" s="1"/>
  <c r="R52" i="8"/>
  <c r="Y52" i="8" s="1"/>
  <c r="R62" i="8"/>
  <c r="Y62" i="8" s="1"/>
  <c r="R92" i="8"/>
  <c r="Y92" i="8" s="1"/>
  <c r="R28" i="8"/>
  <c r="R45" i="8"/>
  <c r="R47" i="8"/>
  <c r="Y47" i="8" s="1"/>
  <c r="R86" i="8"/>
  <c r="R89" i="8"/>
  <c r="R23" i="8"/>
  <c r="Y23" i="8" s="1"/>
  <c r="R53" i="8"/>
  <c r="R17" i="8"/>
  <c r="R24" i="8"/>
  <c r="R22" i="8"/>
  <c r="R35" i="8"/>
  <c r="R31" i="8"/>
  <c r="R70" i="8"/>
  <c r="R81" i="8"/>
  <c r="R65" i="8"/>
  <c r="Y65" i="8" s="1"/>
  <c r="R76" i="8"/>
  <c r="R12" i="8"/>
  <c r="T108" i="8"/>
  <c r="T130" i="8" s="1"/>
  <c r="Y37" i="8"/>
  <c r="Y84" i="8"/>
  <c r="Y50" i="8"/>
  <c r="O98" i="8"/>
  <c r="U98" i="8" s="1"/>
  <c r="Y95" i="8"/>
  <c r="R11" i="8"/>
  <c r="S108" i="8"/>
  <c r="S130" i="8" s="1"/>
  <c r="R103" i="8"/>
  <c r="Y103" i="8" s="1"/>
  <c r="W103" i="8"/>
  <c r="V103" i="8" s="1"/>
  <c r="R101" i="8"/>
  <c r="Y101" i="8" s="1"/>
  <c r="W101" i="8"/>
  <c r="V101" i="8" s="1"/>
  <c r="R106" i="8"/>
  <c r="Y106" i="8" s="1"/>
  <c r="W106" i="8"/>
  <c r="V106" i="8" s="1"/>
  <c r="R105" i="8"/>
  <c r="Y105" i="8" s="1"/>
  <c r="W105" i="8"/>
  <c r="V105" i="8" s="1"/>
  <c r="R102" i="8"/>
  <c r="Y102" i="8" s="1"/>
  <c r="W102" i="8"/>
  <c r="V102" i="8" s="1"/>
  <c r="R104" i="8"/>
  <c r="Y104" i="8" s="1"/>
  <c r="W104" i="8"/>
  <c r="V104" i="8" s="1"/>
  <c r="R100" i="8"/>
  <c r="Y100" i="8" s="1"/>
  <c r="W100" i="8"/>
  <c r="V100" i="8" s="1"/>
  <c r="R99" i="8"/>
  <c r="Y99" i="8" s="1"/>
  <c r="W99" i="8"/>
  <c r="V99" i="8" s="1"/>
  <c r="O60" i="8"/>
  <c r="U60" i="8" s="1"/>
  <c r="O94" i="8"/>
  <c r="U94" i="8" s="1"/>
  <c r="O56" i="8"/>
  <c r="U56" i="8" s="1"/>
  <c r="O73" i="8"/>
  <c r="U73" i="8" s="1"/>
  <c r="O89" i="8"/>
  <c r="U89" i="8" s="1"/>
  <c r="O91" i="8"/>
  <c r="U91" i="8" s="1"/>
  <c r="O34" i="8"/>
  <c r="U34" i="8" s="1"/>
  <c r="O14" i="8"/>
  <c r="U14" i="8" s="1"/>
  <c r="O54" i="8"/>
  <c r="U54" i="8" s="1"/>
  <c r="O36" i="8"/>
  <c r="U36" i="8" s="1"/>
  <c r="O61" i="8"/>
  <c r="U61" i="8" s="1"/>
  <c r="O27" i="8"/>
  <c r="U27" i="8" s="1"/>
  <c r="O82" i="8"/>
  <c r="U82" i="8" s="1"/>
  <c r="O86" i="8"/>
  <c r="U86" i="8" s="1"/>
  <c r="O25" i="8"/>
  <c r="U25" i="8" s="1"/>
  <c r="O70" i="8"/>
  <c r="U70" i="8" s="1"/>
  <c r="O43" i="8"/>
  <c r="U43" i="8" s="1"/>
  <c r="O93" i="8"/>
  <c r="U93" i="8" s="1"/>
  <c r="O45" i="8"/>
  <c r="U45" i="8" s="1"/>
  <c r="O29" i="8"/>
  <c r="U29" i="8" s="1"/>
  <c r="O35" i="8"/>
  <c r="U35" i="8" s="1"/>
  <c r="O44" i="8"/>
  <c r="U44" i="8" s="1"/>
  <c r="O96" i="8"/>
  <c r="U96" i="8" s="1"/>
  <c r="O41" i="8"/>
  <c r="U41" i="8" s="1"/>
  <c r="O69" i="8"/>
  <c r="U69" i="8" s="1"/>
  <c r="O90" i="8"/>
  <c r="U90" i="8" s="1"/>
  <c r="O17" i="8"/>
  <c r="U17" i="8" s="1"/>
  <c r="O58" i="8"/>
  <c r="U58" i="8" s="1"/>
  <c r="O19" i="8"/>
  <c r="U19" i="8" s="1"/>
  <c r="O32" i="8"/>
  <c r="U32" i="8" s="1"/>
  <c r="O97" i="8"/>
  <c r="U97" i="8" s="1"/>
  <c r="O20" i="8"/>
  <c r="U20" i="8" s="1"/>
  <c r="O59" i="8"/>
  <c r="U59" i="8" s="1"/>
  <c r="O72" i="8"/>
  <c r="U72" i="8" s="1"/>
  <c r="O16" i="8"/>
  <c r="U16" i="8" s="1"/>
  <c r="O28" i="8"/>
  <c r="U28" i="8" s="1"/>
  <c r="O78" i="8"/>
  <c r="U78" i="8" s="1"/>
  <c r="O38" i="8"/>
  <c r="U38" i="8" s="1"/>
  <c r="O87" i="8"/>
  <c r="U87" i="8" s="1"/>
  <c r="X51" i="8"/>
  <c r="W37" i="8"/>
  <c r="W95" i="8"/>
  <c r="X55" i="8"/>
  <c r="X65" i="8"/>
  <c r="O63" i="8"/>
  <c r="U63" i="8" s="1"/>
  <c r="O21" i="8"/>
  <c r="U21" i="8" s="1"/>
  <c r="O42" i="8"/>
  <c r="U42" i="8" s="1"/>
  <c r="Q108" i="8"/>
  <c r="O24" i="8"/>
  <c r="U24" i="8" s="1"/>
  <c r="O15" i="8"/>
  <c r="U15" i="8" s="1"/>
  <c r="X48" i="8"/>
  <c r="X39" i="8"/>
  <c r="O83" i="8"/>
  <c r="U83" i="8" s="1"/>
  <c r="O74" i="8"/>
  <c r="U74" i="8" s="1"/>
  <c r="W71" i="8"/>
  <c r="W68" i="8"/>
  <c r="O53" i="8"/>
  <c r="U53" i="8" s="1"/>
  <c r="O30" i="8"/>
  <c r="U30" i="8" s="1"/>
  <c r="O77" i="8"/>
  <c r="U77" i="8" s="1"/>
  <c r="O13" i="8"/>
  <c r="U13" i="8" s="1"/>
  <c r="O46" i="8"/>
  <c r="U46" i="8" s="1"/>
  <c r="X88" i="8"/>
  <c r="W23" i="8"/>
  <c r="X62" i="8"/>
  <c r="X49" i="8"/>
  <c r="O66" i="8"/>
  <c r="U66" i="8" s="1"/>
  <c r="P108" i="8"/>
  <c r="O11" i="8"/>
  <c r="U11" i="8" s="1"/>
  <c r="X92" i="8"/>
  <c r="O12" i="8"/>
  <c r="U12" i="8" s="1"/>
  <c r="X84" i="8"/>
  <c r="O75" i="8"/>
  <c r="U75" i="8" s="1"/>
  <c r="O22" i="8"/>
  <c r="U22" i="8" s="1"/>
  <c r="O76" i="8"/>
  <c r="U76" i="8" s="1"/>
  <c r="O31" i="8"/>
  <c r="U31" i="8" s="1"/>
  <c r="X52" i="8"/>
  <c r="X47" i="8"/>
  <c r="O40" i="8"/>
  <c r="U40" i="8" s="1"/>
  <c r="O81" i="8"/>
  <c r="U81" i="8" s="1"/>
  <c r="W79" i="8"/>
  <c r="O57" i="8"/>
  <c r="U57" i="8" s="1"/>
  <c r="O33" i="8"/>
  <c r="U33" i="8" s="1"/>
  <c r="O64" i="8"/>
  <c r="U64" i="8" s="1"/>
  <c r="X26" i="8"/>
  <c r="X18" i="8"/>
  <c r="W50" i="8"/>
  <c r="O85" i="8"/>
  <c r="U85" i="8" s="1"/>
  <c r="W80" i="8"/>
  <c r="W67" i="8" l="1"/>
  <c r="Y67" i="8"/>
  <c r="S109" i="8"/>
  <c r="Y57" i="8"/>
  <c r="X57" i="8"/>
  <c r="Y31" i="8"/>
  <c r="Y77" i="8"/>
  <c r="W73" i="8"/>
  <c r="Y46" i="8"/>
  <c r="Y85" i="8"/>
  <c r="Y64" i="8"/>
  <c r="W64" i="8"/>
  <c r="Y58" i="8"/>
  <c r="Y33" i="8"/>
  <c r="Y40" i="8"/>
  <c r="W40" i="8"/>
  <c r="Y76" i="8"/>
  <c r="W76" i="8"/>
  <c r="Y66" i="8"/>
  <c r="X66" i="8"/>
  <c r="Y96" i="8"/>
  <c r="W96" i="8"/>
  <c r="Y61" i="8"/>
  <c r="Y34" i="8"/>
  <c r="X34" i="8"/>
  <c r="X56" i="8"/>
  <c r="Y98" i="8"/>
  <c r="W98" i="8"/>
  <c r="Y74" i="8"/>
  <c r="Y15" i="8"/>
  <c r="W15" i="8"/>
  <c r="Y38" i="8"/>
  <c r="Y72" i="8"/>
  <c r="Y32" i="8"/>
  <c r="X32" i="8"/>
  <c r="Y90" i="8"/>
  <c r="X90" i="8"/>
  <c r="Y44" i="8"/>
  <c r="W44" i="8"/>
  <c r="Y93" i="8"/>
  <c r="Y36" i="8"/>
  <c r="Y91" i="8"/>
  <c r="W91" i="8"/>
  <c r="Y22" i="8"/>
  <c r="Y75" i="8"/>
  <c r="W75" i="8"/>
  <c r="Y13" i="8"/>
  <c r="X13" i="8"/>
  <c r="Y53" i="8"/>
  <c r="W53" i="8"/>
  <c r="Y83" i="8"/>
  <c r="Y24" i="8"/>
  <c r="Y63" i="8"/>
  <c r="Y78" i="8"/>
  <c r="Y59" i="8"/>
  <c r="X59" i="8"/>
  <c r="Y69" i="8"/>
  <c r="W69" i="8"/>
  <c r="Y43" i="8"/>
  <c r="X43" i="8"/>
  <c r="Y82" i="8"/>
  <c r="W82" i="8"/>
  <c r="Y54" i="8"/>
  <c r="Y89" i="8"/>
  <c r="Y60" i="8"/>
  <c r="Y42" i="8"/>
  <c r="Y12" i="8"/>
  <c r="Y30" i="8"/>
  <c r="Y19" i="8"/>
  <c r="Y35" i="8"/>
  <c r="Y41" i="8"/>
  <c r="Y27" i="8"/>
  <c r="Y16" i="8"/>
  <c r="Y97" i="8"/>
  <c r="Y17" i="8"/>
  <c r="Y25" i="8"/>
  <c r="Y56" i="8"/>
  <c r="Y86" i="8"/>
  <c r="Y94" i="8"/>
  <c r="Y21" i="8"/>
  <c r="W60" i="8"/>
  <c r="Y28" i="8"/>
  <c r="Y20" i="8"/>
  <c r="Y29" i="8"/>
  <c r="Y70" i="8"/>
  <c r="Y14" i="8"/>
  <c r="Y87" i="8"/>
  <c r="Y45" i="8"/>
  <c r="R130" i="8"/>
  <c r="Y81" i="8"/>
  <c r="T109" i="8"/>
  <c r="Y73" i="8"/>
  <c r="Y11" i="8"/>
  <c r="R108" i="8"/>
  <c r="W97" i="8"/>
  <c r="X16" i="8"/>
  <c r="W70" i="8"/>
  <c r="X28" i="8"/>
  <c r="X20" i="8"/>
  <c r="W58" i="8"/>
  <c r="X41" i="8"/>
  <c r="X35" i="8"/>
  <c r="X54" i="8"/>
  <c r="W89" i="8"/>
  <c r="W87" i="8"/>
  <c r="W17" i="8"/>
  <c r="X29" i="8"/>
  <c r="W27" i="8"/>
  <c r="W14" i="8"/>
  <c r="X38" i="8"/>
  <c r="W72" i="8"/>
  <c r="W45" i="8"/>
  <c r="W25" i="8"/>
  <c r="W61" i="8"/>
  <c r="W78" i="8"/>
  <c r="X19" i="8"/>
  <c r="W93" i="8"/>
  <c r="X86" i="8"/>
  <c r="W36" i="8"/>
  <c r="W94" i="8"/>
  <c r="W47" i="8"/>
  <c r="V47" i="8" s="1"/>
  <c r="W39" i="8"/>
  <c r="V39" i="8" s="1"/>
  <c r="W48" i="8"/>
  <c r="V48" i="8" s="1"/>
  <c r="X50" i="8"/>
  <c r="V50" i="8" s="1"/>
  <c r="W88" i="8"/>
  <c r="V88" i="8" s="1"/>
  <c r="W65" i="8"/>
  <c r="V65" i="8" s="1"/>
  <c r="X95" i="8"/>
  <c r="V95" i="8" s="1"/>
  <c r="W55" i="8"/>
  <c r="V55" i="8" s="1"/>
  <c r="X37" i="8"/>
  <c r="V37" i="8" s="1"/>
  <c r="W56" i="8"/>
  <c r="W49" i="8"/>
  <c r="V49" i="8" s="1"/>
  <c r="W52" i="8"/>
  <c r="V52" i="8" s="1"/>
  <c r="X79" i="8"/>
  <c r="V79" i="8" s="1"/>
  <c r="W26" i="8"/>
  <c r="V26" i="8" s="1"/>
  <c r="W84" i="8"/>
  <c r="V84" i="8" s="1"/>
  <c r="W92" i="8"/>
  <c r="V92" i="8" s="1"/>
  <c r="W62" i="8"/>
  <c r="V62" i="8" s="1"/>
  <c r="X71" i="8"/>
  <c r="V71" i="8" s="1"/>
  <c r="W33" i="8"/>
  <c r="S128" i="8"/>
  <c r="W63" i="8"/>
  <c r="W18" i="8"/>
  <c r="V18" i="8" s="1"/>
  <c r="W81" i="8"/>
  <c r="X23" i="8"/>
  <c r="V23" i="8" s="1"/>
  <c r="X77" i="8"/>
  <c r="W24" i="8"/>
  <c r="X22" i="8"/>
  <c r="X12" i="8"/>
  <c r="X80" i="8"/>
  <c r="V80" i="8" s="1"/>
  <c r="X30" i="8"/>
  <c r="X67" i="8"/>
  <c r="X68" i="8"/>
  <c r="V68" i="8" s="1"/>
  <c r="T128" i="8"/>
  <c r="W51" i="8"/>
  <c r="V51" i="8" s="1"/>
  <c r="X60" i="8"/>
  <c r="W31" i="8"/>
  <c r="X46" i="8"/>
  <c r="W83" i="8"/>
  <c r="W85" i="8"/>
  <c r="O108" i="8"/>
  <c r="X11" i="8"/>
  <c r="W74" i="8"/>
  <c r="W42" i="8"/>
  <c r="X21" i="8"/>
  <c r="V67" i="8" l="1"/>
  <c r="R109" i="8"/>
  <c r="V60" i="8"/>
  <c r="X73" i="8"/>
  <c r="V73" i="8" s="1"/>
  <c r="V56" i="8"/>
  <c r="X44" i="8"/>
  <c r="V44" i="8" s="1"/>
  <c r="W16" i="8"/>
  <c r="V16" i="8" s="1"/>
  <c r="X97" i="8"/>
  <c r="V97" i="8" s="1"/>
  <c r="X70" i="8"/>
  <c r="V70" i="8" s="1"/>
  <c r="X89" i="8"/>
  <c r="V89" i="8" s="1"/>
  <c r="X82" i="8"/>
  <c r="V82" i="8" s="1"/>
  <c r="X17" i="8"/>
  <c r="V17" i="8" s="1"/>
  <c r="W90" i="8"/>
  <c r="V90" i="8" s="1"/>
  <c r="X45" i="8"/>
  <c r="V45" i="8" s="1"/>
  <c r="W20" i="8"/>
  <c r="V20" i="8" s="1"/>
  <c r="X78" i="8"/>
  <c r="V78" i="8" s="1"/>
  <c r="X27" i="8"/>
  <c r="V27" i="8" s="1"/>
  <c r="W29" i="8"/>
  <c r="V29" i="8" s="1"/>
  <c r="X72" i="8"/>
  <c r="V72" i="8" s="1"/>
  <c r="W54" i="8"/>
  <c r="V54" i="8" s="1"/>
  <c r="X58" i="8"/>
  <c r="V58" i="8" s="1"/>
  <c r="X94" i="8"/>
  <c r="V94" i="8" s="1"/>
  <c r="W59" i="8"/>
  <c r="V59" i="8" s="1"/>
  <c r="X36" i="8"/>
  <c r="X91" i="8"/>
  <c r="V91" i="8" s="1"/>
  <c r="X61" i="8"/>
  <c r="V61" i="8" s="1"/>
  <c r="W35" i="8"/>
  <c r="V35" i="8" s="1"/>
  <c r="X69" i="8"/>
  <c r="V69" i="8" s="1"/>
  <c r="W86" i="8"/>
  <c r="V86" i="8" s="1"/>
  <c r="W43" i="8"/>
  <c r="V43" i="8" s="1"/>
  <c r="X96" i="8"/>
  <c r="V96" i="8" s="1"/>
  <c r="X87" i="8"/>
  <c r="V87" i="8" s="1"/>
  <c r="X25" i="8"/>
  <c r="V25" i="8" s="1"/>
  <c r="W38" i="8"/>
  <c r="V38" i="8" s="1"/>
  <c r="W28" i="8"/>
  <c r="V28" i="8" s="1"/>
  <c r="W41" i="8"/>
  <c r="V41" i="8" s="1"/>
  <c r="X14" i="8"/>
  <c r="V14" i="8" s="1"/>
  <c r="W34" i="8"/>
  <c r="V34" i="8" s="1"/>
  <c r="X93" i="8"/>
  <c r="V93" i="8" s="1"/>
  <c r="W19" i="8"/>
  <c r="V19" i="8" s="1"/>
  <c r="W32" i="8"/>
  <c r="V32" i="8" s="1"/>
  <c r="X98" i="8"/>
  <c r="V98" i="8" s="1"/>
  <c r="X85" i="8"/>
  <c r="V85" i="8" s="1"/>
  <c r="V36" i="8"/>
  <c r="X74" i="8"/>
  <c r="V74" i="8" s="1"/>
  <c r="X53" i="8"/>
  <c r="V53" i="8" s="1"/>
  <c r="W11" i="8"/>
  <c r="V11" i="8" s="1"/>
  <c r="W22" i="8"/>
  <c r="V22" i="8" s="1"/>
  <c r="X76" i="8"/>
  <c r="V76" i="8" s="1"/>
  <c r="W13" i="8"/>
  <c r="V13" i="8" s="1"/>
  <c r="W46" i="8"/>
  <c r="V46" i="8" s="1"/>
  <c r="X15" i="8"/>
  <c r="V15" i="8" s="1"/>
  <c r="W77" i="8"/>
  <c r="V77" i="8" s="1"/>
  <c r="X75" i="8"/>
  <c r="V75" i="8" s="1"/>
  <c r="X81" i="8"/>
  <c r="V81" i="8" s="1"/>
  <c r="X63" i="8"/>
  <c r="V63" i="8" s="1"/>
  <c r="X42" i="8"/>
  <c r="V42" i="8" s="1"/>
  <c r="X83" i="8"/>
  <c r="V83" i="8" s="1"/>
  <c r="W66" i="8"/>
  <c r="V66" i="8" s="1"/>
  <c r="X40" i="8"/>
  <c r="V40" i="8" s="1"/>
  <c r="X24" i="8"/>
  <c r="X33" i="8"/>
  <c r="V33" i="8" s="1"/>
  <c r="X64" i="8"/>
  <c r="V64" i="8" s="1"/>
  <c r="X31" i="8"/>
  <c r="V31" i="8" s="1"/>
  <c r="W30" i="8"/>
  <c r="V30" i="8" s="1"/>
  <c r="W12" i="8"/>
  <c r="V12" i="8" s="1"/>
  <c r="W57" i="8"/>
  <c r="V57" i="8" s="1"/>
  <c r="R128" i="8"/>
  <c r="W21" i="8"/>
  <c r="V21" i="8" s="1"/>
  <c r="U108" i="8"/>
  <c r="X108" i="8" l="1"/>
  <c r="T131" i="8" s="1"/>
  <c r="W108" i="8"/>
  <c r="V24" i="8"/>
  <c r="W109" i="8" l="1"/>
  <c r="S131" i="8"/>
  <c r="R131" i="8" s="1"/>
  <c r="T129" i="8"/>
  <c r="W129" i="8" s="1"/>
  <c r="X109" i="8"/>
  <c r="V108" i="8"/>
  <c r="V109" i="8" s="1"/>
  <c r="S129" i="8" l="1"/>
  <c r="V129" i="8" s="1"/>
  <c r="R129" i="8" l="1"/>
  <c r="U129" i="8" s="1"/>
  <c r="D106" i="5"/>
  <c r="E106" i="5"/>
  <c r="C106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68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9" i="5"/>
  <c r="G70" i="5"/>
  <c r="G71" i="5"/>
  <c r="G72" i="5"/>
  <c r="G73" i="5"/>
  <c r="G82" i="5"/>
  <c r="G83" i="5"/>
  <c r="G84" i="5"/>
  <c r="G85" i="5"/>
  <c r="G86" i="5"/>
  <c r="G74" i="5"/>
  <c r="G75" i="5"/>
  <c r="G76" i="5"/>
  <c r="G87" i="5"/>
  <c r="G88" i="5"/>
  <c r="G89" i="5"/>
  <c r="G90" i="5"/>
  <c r="G77" i="5"/>
  <c r="G91" i="5"/>
  <c r="G78" i="5"/>
  <c r="G92" i="5"/>
  <c r="G79" i="5"/>
  <c r="G80" i="5"/>
  <c r="G81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" i="5"/>
</calcChain>
</file>

<file path=xl/comments1.xml><?xml version="1.0" encoding="utf-8"?>
<comments xmlns="http://schemas.openxmlformats.org/spreadsheetml/2006/main">
  <authors>
    <author>VNN.R9</author>
  </authors>
  <commentList>
    <comment ref="M9" authorId="0">
      <text>
        <r>
          <rPr>
            <sz val="9"/>
            <color indexed="81"/>
            <rFont val="Tahoma"/>
            <family val="2"/>
          </rPr>
          <t>tại PA này chưa xác định số thôn thực hiện XD thôn NTM</t>
        </r>
      </text>
    </comment>
  </commentList>
</comments>
</file>

<file path=xl/comments2.xml><?xml version="1.0" encoding="utf-8"?>
<comments xmlns="http://schemas.openxmlformats.org/spreadsheetml/2006/main">
  <authors>
    <author>VNN.R9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VNN.R9:</t>
        </r>
        <r>
          <rPr>
            <sz val="9"/>
            <color indexed="81"/>
            <rFont val="Tahoma"/>
            <charset val="1"/>
          </rPr>
          <t xml:space="preserve">
bao gồm 3P KV I</t>
        </r>
      </text>
    </comment>
  </commentList>
</comments>
</file>

<file path=xl/sharedStrings.xml><?xml version="1.0" encoding="utf-8"?>
<sst xmlns="http://schemas.openxmlformats.org/spreadsheetml/2006/main" count="761" uniqueCount="178">
  <si>
    <t>TT</t>
  </si>
  <si>
    <t>DTTS</t>
  </si>
  <si>
    <t>MN</t>
  </si>
  <si>
    <t>Xã Nguyễn Nghiêm</t>
  </si>
  <si>
    <t>X</t>
  </si>
  <si>
    <t>Xã Bình Minh</t>
  </si>
  <si>
    <t>Xã Trà Giang</t>
  </si>
  <si>
    <t>Xã Thiện Tín</t>
  </si>
  <si>
    <t>Xã Phước Giang</t>
  </si>
  <si>
    <t>Xã Trà Bồng</t>
  </si>
  <si>
    <t>Xã Đông Trà Bồng</t>
  </si>
  <si>
    <t>Xã Tây Trà</t>
  </si>
  <si>
    <t>Xã Thanh Bồng</t>
  </si>
  <si>
    <t>Xã Cà Đam</t>
  </si>
  <si>
    <t>Xã Tây Trà Bồng</t>
  </si>
  <si>
    <t>Xã Sơn Hạ</t>
  </si>
  <si>
    <t>Xã Sơn Linh</t>
  </si>
  <si>
    <t>Xã Sơn Hà</t>
  </si>
  <si>
    <t>Xã Sơn Kỳ</t>
  </si>
  <si>
    <t>Xã Sơn Tây</t>
  </si>
  <si>
    <t>Xã Sơn Tây Thượng</t>
  </si>
  <si>
    <t>Xã Sơn Tây Hạ</t>
  </si>
  <si>
    <t>Xã Minh Long</t>
  </si>
  <si>
    <t>Xã Sơn Mai</t>
  </si>
  <si>
    <t>Xã Ba Vì</t>
  </si>
  <si>
    <t>Xã Ba Tô</t>
  </si>
  <si>
    <t>Xã Ba Dinh</t>
  </si>
  <si>
    <t>Xã Ba Tơ</t>
  </si>
  <si>
    <t>Xã Ba Vinh</t>
  </si>
  <si>
    <t>Xã Ba Động</t>
  </si>
  <si>
    <t>Xã Đặng Thuỳ Trâm</t>
  </si>
  <si>
    <t>Xã Ngọk Bay</t>
  </si>
  <si>
    <t>Xã Ia Chim</t>
  </si>
  <si>
    <t>Xã Đăk Rơ Wa</t>
  </si>
  <si>
    <t>Xã Đăk Pxi</t>
  </si>
  <si>
    <t>Xã Đăk Mar</t>
  </si>
  <si>
    <t>Xã Đăk Ui</t>
  </si>
  <si>
    <t>Xã Ngọk Réo</t>
  </si>
  <si>
    <t>Xã Đăk Hà</t>
  </si>
  <si>
    <t>Xã Ngọk Tụ</t>
  </si>
  <si>
    <t>Xã Đăk Tô</t>
  </si>
  <si>
    <t>Xã Kon Đào</t>
  </si>
  <si>
    <t>Xã Đăk Sao</t>
  </si>
  <si>
    <t>Xã Đăk Tờ Kan</t>
  </si>
  <si>
    <t>Xã Tu Mơ Rông</t>
  </si>
  <si>
    <t>Xã Măng Ri</t>
  </si>
  <si>
    <t>Xã Bờ Y</t>
  </si>
  <si>
    <t>Xã Sa Loong</t>
  </si>
  <si>
    <t>Xã Dục Nông</t>
  </si>
  <si>
    <t>Xã Xốp</t>
  </si>
  <si>
    <t>Xã Ngọc Linh</t>
  </si>
  <si>
    <t>Xã Đăk Plô</t>
  </si>
  <si>
    <t>Xã Đăk Pék</t>
  </si>
  <si>
    <t>Xã Đăk Môn</t>
  </si>
  <si>
    <t>Xã Sa Thầy</t>
  </si>
  <si>
    <t>Xã Sa Bình</t>
  </si>
  <si>
    <t>Xã Ya Ly</t>
  </si>
  <si>
    <t>Xã Ia Tơi</t>
  </si>
  <si>
    <t>Xã Đăk Kôi</t>
  </si>
  <si>
    <t>Xã Kon Braih</t>
  </si>
  <si>
    <t>Xã Đăk Rve</t>
  </si>
  <si>
    <t>Xã Măng Đen</t>
  </si>
  <si>
    <t>Xã Măng Bút</t>
  </si>
  <si>
    <t>Xã Kon Plông</t>
  </si>
  <si>
    <t>Phường Kon Tum</t>
  </si>
  <si>
    <t>Phường Đăk Cấm</t>
  </si>
  <si>
    <t>Phường Đăk Bla</t>
  </si>
  <si>
    <t>Xã Đăk Long</t>
  </si>
  <si>
    <t>Xã Ba Xa</t>
  </si>
  <si>
    <t>Xã Rờ Kơi</t>
  </si>
  <si>
    <t>Xã Mô Rai</t>
  </si>
  <si>
    <t>Xã Ia Đal</t>
  </si>
  <si>
    <t>Tên thôn, tổ dân phố, phun, sóc...</t>
  </si>
  <si>
    <t>Xã</t>
  </si>
  <si>
    <t>Xã thuộc khu vực I, II, III</t>
  </si>
  <si>
    <t>Số thôn DTTS&amp;MN</t>
  </si>
  <si>
    <t>Tổng số thôn</t>
  </si>
  <si>
    <t>Số thôn ĐBKK</t>
  </si>
  <si>
    <t>I</t>
  </si>
  <si>
    <t>Tổng cộng:</t>
  </si>
  <si>
    <t>Thôn vùng DTTS&amp;MN nằm ngoài xã khu vực I, II, III</t>
  </si>
  <si>
    <t>-</t>
  </si>
  <si>
    <t>Xã khu vực I</t>
  </si>
  <si>
    <t>Xã khu vực II</t>
  </si>
  <si>
    <t>Xã khu vực III</t>
  </si>
  <si>
    <t>II</t>
  </si>
  <si>
    <t>Chi tiết</t>
  </si>
  <si>
    <t>III</t>
  </si>
  <si>
    <t>Xã Sơn Thủy</t>
  </si>
  <si>
    <t>XÃ BG, ĐK</t>
  </si>
  <si>
    <t>T</t>
  </si>
  <si>
    <t>BG</t>
  </si>
  <si>
    <t>Đặc Khu Lý Sơn</t>
  </si>
  <si>
    <t>xã</t>
  </si>
  <si>
    <t>Thôn</t>
  </si>
  <si>
    <t>ĐK</t>
  </si>
  <si>
    <t>Tổng</t>
  </si>
  <si>
    <t>x</t>
  </si>
  <si>
    <t>Dự kiến phân bổ vốn NSTW giai đoạn 2026-2030</t>
  </si>
  <si>
    <t>Vốn ĐTPT</t>
  </si>
  <si>
    <t>Kinh phí thường xuyên</t>
  </si>
  <si>
    <t>Tổng cộng</t>
  </si>
  <si>
    <t>Xã Khánh Cường</t>
  </si>
  <si>
    <t>Xã Nghĩa Hành</t>
  </si>
  <si>
    <t>Xã Đình Cương</t>
  </si>
  <si>
    <t>Xã Mộ Đức</t>
  </si>
  <si>
    <t>Xã Mỏ Cày</t>
  </si>
  <si>
    <t xml:space="preserve"> Xã Long Phụng</t>
  </si>
  <si>
    <t>Xã Lân Phong</t>
  </si>
  <si>
    <t>Xã Tư Nghĩa</t>
  </si>
  <si>
    <t>Xã Vệ Giang</t>
  </si>
  <si>
    <t>Xã Nghĩa Giang</t>
  </si>
  <si>
    <t>Xã Bình Sơn</t>
  </si>
  <si>
    <t>Xã Bình Chương</t>
  </si>
  <si>
    <t>Xã Vạn Tường</t>
  </si>
  <si>
    <t>Xã Đông Sơn</t>
  </si>
  <si>
    <t>Xã An Phú</t>
  </si>
  <si>
    <t>Xã Tịnh Khê</t>
  </si>
  <si>
    <t xml:space="preserve"> Xã Trường Giang</t>
  </si>
  <si>
    <t xml:space="preserve"> Xã Sơn Tịnh</t>
  </si>
  <si>
    <t xml:space="preserve"> Xã Thọ Phong</t>
  </si>
  <si>
    <t>Xã Ba Gia</t>
  </si>
  <si>
    <t>STT</t>
  </si>
  <si>
    <t>Phường Trương Quang Trọng</t>
  </si>
  <si>
    <t>Phường Cẩm Thành</t>
  </si>
  <si>
    <t>Phường Nghĩa Lộ</t>
  </si>
  <si>
    <t>Phường Trà Câu</t>
  </si>
  <si>
    <t>Phường Đức Phổ</t>
  </si>
  <si>
    <t>Phường Sa Huỳnh</t>
  </si>
  <si>
    <t>Xã Trường Giang</t>
  </si>
  <si>
    <t>Xã Sơn Tịnh</t>
  </si>
  <si>
    <t>Xã Thọ Phong</t>
  </si>
  <si>
    <t>Xã Long Phụng</t>
  </si>
  <si>
    <t>Tên đơn vị (Xã, phường, đặc khu)</t>
  </si>
  <si>
    <t>Xã Đặng Thùy Trâm</t>
  </si>
  <si>
    <t>Đặc khu Lý Sơn</t>
  </si>
  <si>
    <t>Xã Đăk PLô</t>
  </si>
  <si>
    <t>Số bổ sung cân đối từ ngân sách cấp trên (BM09 - Cột 6)</t>
  </si>
  <si>
    <t>Tổng chi cân đối NSĐP (BM09 - Cột 8)</t>
  </si>
  <si>
    <t>Tổng chi ngân sách địa phương(BM10 - Cột 1)</t>
  </si>
  <si>
    <t>Tỷ lệ bổ sung</t>
  </si>
  <si>
    <t>Dự kiến phân bổ vốn NSX giai đoạn 2026-2030</t>
  </si>
  <si>
    <t>Các Sở ban ngành</t>
  </si>
  <si>
    <t>p</t>
  </si>
  <si>
    <t>Tỷ lệ đối ứng (so với NSTW đối với các xã được bố trí NSTW, so với NST đối với các phường )</t>
  </si>
  <si>
    <t>NTM</t>
  </si>
  <si>
    <t>HS NSTW</t>
  </si>
  <si>
    <t>HS NST</t>
  </si>
  <si>
    <t>Tỷ lệ đối ứng</t>
  </si>
  <si>
    <t xml:space="preserve">Đối tượng </t>
  </si>
  <si>
    <t>Xã Nhóm I</t>
  </si>
  <si>
    <t>Xã Nhóm II</t>
  </si>
  <si>
    <t>Xã Nhóm III</t>
  </si>
  <si>
    <t>Xã còn lại</t>
  </si>
  <si>
    <t>Xã Giữ chuẩn</t>
  </si>
  <si>
    <t>Xã đạt chuẩn</t>
  </si>
  <si>
    <t>Thôn NTM</t>
  </si>
  <si>
    <t>Xã, phường còn lại</t>
  </si>
  <si>
    <t>Điểm phân bổ NSTW</t>
  </si>
  <si>
    <t>GC</t>
  </si>
  <si>
    <t>TMNT</t>
  </si>
  <si>
    <t>K</t>
  </si>
  <si>
    <t>NSTW</t>
  </si>
  <si>
    <t>NSĐP</t>
  </si>
  <si>
    <t>NST</t>
  </si>
  <si>
    <t>NSX</t>
  </si>
  <si>
    <t>NGUỒN</t>
  </si>
  <si>
    <t>Tổng số Chi đầu tư phát triển (Triệu đồng)</t>
  </si>
  <si>
    <t xml:space="preserve">Tổng vốn thực hiện </t>
  </si>
  <si>
    <t xml:space="preserve">Tiêu chí phân bổ </t>
  </si>
  <si>
    <t>Số thôn NTM</t>
  </si>
  <si>
    <t>xã NTM</t>
  </si>
  <si>
    <t>HĐ</t>
  </si>
  <si>
    <t xml:space="preserve">Thôn </t>
  </si>
  <si>
    <t xml:space="preserve">Thôn ĐBKK </t>
  </si>
  <si>
    <t>Tỷ lệ nhận bổ sung từ NST</t>
  </si>
  <si>
    <t>Dự kiến phân bổ vốn NST giai đoạn 2026-2030</t>
  </si>
  <si>
    <t>Điểm phân bổ 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</si>
</sst>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₫_-;\-* #,##0.00\ _₫_-;_-* &quot;-&quot;??\ _₫_-;_-@_-"/>
    <numFmt numFmtId="164" formatCode="_-* #,##0\ _₫_-;\-* #,##0\ _₫_-;_-* &quot;-&quot;??\ _₫_-;_-@_-"/>
    <numFmt numFmtId="165" formatCode="0.0%"/>
  </numFmts>
  <fonts count="16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Calibri"/>
      <family val="2"/>
      <charset val="163"/>
      <scheme val="minor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sz val="9"/>
      <color indexed="81"/>
      <name val="Tahoma"/>
      <family val="2"/>
    </font>
    <font>
      <sz val="14"/>
      <color rgb="FFFF000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/>
    <xf numFmtId="43" fontId="1" fillId="0" borderId="0" xfId="1" applyFont="1"/>
    <xf numFmtId="0" fontId="1" fillId="0" borderId="1" xfId="0" applyFont="1" applyBorder="1"/>
    <xf numFmtId="0" fontId="2" fillId="0" borderId="1" xfId="0" applyFont="1" applyBorder="1"/>
    <xf numFmtId="43" fontId="2" fillId="0" borderId="1" xfId="1" applyFont="1" applyBorder="1"/>
    <xf numFmtId="0" fontId="6" fillId="0" borderId="1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9" fontId="1" fillId="0" borderId="1" xfId="2" applyFont="1" applyBorder="1"/>
    <xf numFmtId="43" fontId="1" fillId="0" borderId="0" xfId="0" applyNumberFormat="1" applyFont="1"/>
    <xf numFmtId="43" fontId="1" fillId="0" borderId="1" xfId="1" applyFont="1" applyBorder="1"/>
    <xf numFmtId="43" fontId="3" fillId="0" borderId="1" xfId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3" fontId="1" fillId="2" borderId="0" xfId="0" applyNumberFormat="1" applyFont="1" applyFill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1" applyNumberFormat="1" applyFont="1" applyBorder="1"/>
    <xf numFmtId="43" fontId="2" fillId="0" borderId="0" xfId="1" applyFont="1" applyBorder="1"/>
    <xf numFmtId="0" fontId="1" fillId="0" borderId="0" xfId="0" applyFont="1" applyFill="1" applyBorder="1"/>
    <xf numFmtId="9" fontId="1" fillId="0" borderId="0" xfId="0" applyNumberFormat="1" applyFont="1" applyFill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/>
    <xf numFmtId="0" fontId="9" fillId="5" borderId="1" xfId="0" applyFont="1" applyFill="1" applyBorder="1"/>
    <xf numFmtId="0" fontId="10" fillId="0" borderId="0" xfId="0" applyFont="1"/>
    <xf numFmtId="0" fontId="10" fillId="4" borderId="1" xfId="0" applyFont="1" applyFill="1" applyBorder="1"/>
    <xf numFmtId="0" fontId="10" fillId="2" borderId="1" xfId="0" applyFont="1" applyFill="1" applyBorder="1"/>
    <xf numFmtId="9" fontId="10" fillId="2" borderId="1" xfId="0" applyNumberFormat="1" applyFont="1" applyFill="1" applyBorder="1"/>
    <xf numFmtId="0" fontId="10" fillId="6" borderId="1" xfId="0" applyFont="1" applyFill="1" applyBorder="1"/>
    <xf numFmtId="9" fontId="10" fillId="6" borderId="1" xfId="0" applyNumberFormat="1" applyFont="1" applyFill="1" applyBorder="1"/>
    <xf numFmtId="3" fontId="0" fillId="0" borderId="0" xfId="0" applyNumberFormat="1"/>
    <xf numFmtId="165" fontId="10" fillId="0" borderId="0" xfId="2" applyNumberFormat="1" applyFo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3" fontId="1" fillId="2" borderId="1" xfId="1" applyFont="1" applyFill="1" applyBorder="1" applyAlignment="1">
      <alignment vertical="center" wrapText="1"/>
    </xf>
    <xf numFmtId="43" fontId="1" fillId="2" borderId="1" xfId="1" applyFont="1" applyFill="1" applyBorder="1" applyAlignment="1">
      <alignment vertical="center"/>
    </xf>
    <xf numFmtId="9" fontId="1" fillId="2" borderId="1" xfId="2" applyFont="1" applyFill="1" applyBorder="1"/>
    <xf numFmtId="43" fontId="1" fillId="2" borderId="1" xfId="1" applyFont="1" applyFill="1" applyBorder="1"/>
    <xf numFmtId="0" fontId="1" fillId="0" borderId="1" xfId="0" applyFont="1" applyFill="1" applyBorder="1" applyAlignment="1">
      <alignment horizontal="center"/>
    </xf>
    <xf numFmtId="43" fontId="1" fillId="0" borderId="1" xfId="1" applyFont="1" applyFill="1" applyBorder="1"/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43" fontId="2" fillId="0" borderId="0" xfId="1" applyFont="1" applyFill="1" applyBorder="1"/>
    <xf numFmtId="43" fontId="1" fillId="0" borderId="0" xfId="1" applyFont="1" applyFill="1" applyBorder="1"/>
    <xf numFmtId="43" fontId="1" fillId="0" borderId="0" xfId="0" applyNumberFormat="1" applyFont="1" applyFill="1" applyBorder="1"/>
    <xf numFmtId="43" fontId="2" fillId="0" borderId="0" xfId="0" applyNumberFormat="1" applyFont="1" applyFill="1" applyBorder="1"/>
    <xf numFmtId="43" fontId="1" fillId="0" borderId="0" xfId="0" applyNumberFormat="1" applyFont="1" applyFill="1"/>
    <xf numFmtId="0" fontId="1" fillId="7" borderId="1" xfId="0" applyFont="1" applyFill="1" applyBorder="1"/>
    <xf numFmtId="43" fontId="1" fillId="7" borderId="1" xfId="1" applyFont="1" applyFill="1" applyBorder="1" applyAlignment="1">
      <alignment vertical="center" wrapText="1"/>
    </xf>
    <xf numFmtId="43" fontId="1" fillId="7" borderId="1" xfId="1" applyFont="1" applyFill="1" applyBorder="1" applyAlignment="1">
      <alignment vertical="center"/>
    </xf>
    <xf numFmtId="43" fontId="2" fillId="7" borderId="1" xfId="1" applyFont="1" applyFill="1" applyBorder="1"/>
    <xf numFmtId="0" fontId="3" fillId="8" borderId="1" xfId="0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/>
    <xf numFmtId="43" fontId="1" fillId="8" borderId="1" xfId="1" applyFont="1" applyFill="1" applyBorder="1" applyAlignment="1">
      <alignment vertical="center"/>
    </xf>
    <xf numFmtId="43" fontId="2" fillId="8" borderId="1" xfId="1" applyFont="1" applyFill="1" applyBorder="1"/>
    <xf numFmtId="0" fontId="3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2" fillId="9" borderId="1" xfId="0" applyFont="1" applyFill="1" applyBorder="1"/>
    <xf numFmtId="43" fontId="11" fillId="7" borderId="1" xfId="1" applyFont="1" applyFill="1" applyBorder="1" applyAlignment="1">
      <alignment vertical="center" wrapText="1"/>
    </xf>
    <xf numFmtId="43" fontId="11" fillId="7" borderId="1" xfId="1" applyFont="1" applyFill="1" applyBorder="1" applyAlignment="1">
      <alignment vertical="center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quotePrefix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center" vertical="center" wrapText="1"/>
    </xf>
    <xf numFmtId="43" fontId="2" fillId="7" borderId="0" xfId="1" applyFont="1" applyFill="1"/>
    <xf numFmtId="43" fontId="2" fillId="8" borderId="0" xfId="1" applyFont="1" applyFill="1"/>
    <xf numFmtId="9" fontId="3" fillId="0" borderId="1" xfId="2" applyFont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/>
    </xf>
    <xf numFmtId="9" fontId="3" fillId="0" borderId="1" xfId="2" quotePrefix="1" applyFont="1" applyFill="1" applyBorder="1" applyAlignment="1">
      <alignment horizontal="center" wrapText="1"/>
    </xf>
    <xf numFmtId="9" fontId="3" fillId="0" borderId="1" xfId="2" applyFont="1" applyFill="1" applyBorder="1" applyAlignment="1">
      <alignment horizontal="center" wrapText="1"/>
    </xf>
    <xf numFmtId="9" fontId="3" fillId="0" borderId="1" xfId="2" applyFont="1" applyBorder="1" applyAlignment="1">
      <alignment horizontal="center"/>
    </xf>
    <xf numFmtId="9" fontId="6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3" fillId="6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35"/>
  <sheetViews>
    <sheetView tabSelected="1" topLeftCell="J1" zoomScale="115" zoomScaleNormal="115" workbookViewId="0">
      <selection activeCell="N113" sqref="N113"/>
    </sheetView>
  </sheetViews>
  <sheetFormatPr defaultRowHeight="15.75" x14ac:dyDescent="0.25"/>
  <cols>
    <col min="1" max="1" width="3.85546875" style="10" bestFit="1" customWidth="1"/>
    <col min="2" max="2" width="28" style="10" customWidth="1"/>
    <col min="3" max="3" width="9.28515625" style="10" customWidth="1"/>
    <col min="4" max="4" width="9.140625" style="10"/>
    <col min="5" max="5" width="9.42578125" style="10" bestFit="1" customWidth="1"/>
    <col min="6" max="8" width="9.140625" style="22"/>
    <col min="9" max="10" width="9.42578125" style="10" bestFit="1" customWidth="1"/>
    <col min="11" max="11" width="11.5703125" style="10" bestFit="1" customWidth="1"/>
    <col min="12" max="12" width="10.28515625" style="10" bestFit="1" customWidth="1"/>
    <col min="13" max="14" width="9.140625" style="10"/>
    <col min="15" max="15" width="16.42578125" style="10" bestFit="1" customWidth="1"/>
    <col min="16" max="17" width="16.5703125" style="10" bestFit="1" customWidth="1"/>
    <col min="18" max="20" width="16.5703125" style="10" customWidth="1"/>
    <col min="21" max="21" width="13.7109375" style="10" customWidth="1"/>
    <col min="22" max="23" width="16.28515625" style="10" customWidth="1"/>
    <col min="24" max="24" width="16.42578125" style="10" customWidth="1"/>
    <col min="25" max="25" width="14.85546875" style="10" hidden="1" customWidth="1"/>
    <col min="26" max="16384" width="9.140625" style="10"/>
  </cols>
  <sheetData>
    <row r="1" spans="1:25" x14ac:dyDescent="0.25">
      <c r="I1" s="32"/>
      <c r="J1" s="32"/>
      <c r="K1" s="32"/>
      <c r="O1" s="32"/>
      <c r="P1" s="81">
        <f>2878040*0.9</f>
        <v>2590236</v>
      </c>
      <c r="Q1" s="81">
        <f>987980*0.9</f>
        <v>889182</v>
      </c>
      <c r="R1" s="11"/>
      <c r="S1" s="82">
        <f>2878040*1.51*0.9-W112</f>
        <v>2878703.0793234613</v>
      </c>
      <c r="T1" s="82">
        <f>987980*1.51*0.9-X112</f>
        <v>988207.62335130677</v>
      </c>
    </row>
    <row r="2" spans="1:25" x14ac:dyDescent="0.25">
      <c r="I2" s="32"/>
      <c r="J2" s="32"/>
      <c r="K2" s="32"/>
      <c r="O2" s="33"/>
      <c r="P2" s="81">
        <f>+P1/$K$108</f>
        <v>590.56908344733245</v>
      </c>
      <c r="Q2" s="81">
        <f>+Q1/$K$108</f>
        <v>202.73187414500683</v>
      </c>
      <c r="R2" s="11"/>
      <c r="S2" s="82">
        <f>+S1/$N$108</f>
        <v>622.28773872102488</v>
      </c>
      <c r="T2" s="82">
        <f>+T1/$N$108</f>
        <v>213.62032497866554</v>
      </c>
    </row>
    <row r="3" spans="1:25" x14ac:dyDescent="0.25">
      <c r="I3" s="32"/>
      <c r="J3" s="32"/>
      <c r="K3" s="32"/>
      <c r="O3" s="33"/>
    </row>
    <row r="4" spans="1:25" x14ac:dyDescent="0.25">
      <c r="I4" s="32"/>
      <c r="J4" s="32"/>
      <c r="K4" s="32"/>
      <c r="O4" s="33"/>
    </row>
    <row r="5" spans="1:25" x14ac:dyDescent="0.25">
      <c r="I5" s="32"/>
      <c r="J5" s="32"/>
      <c r="K5" s="32"/>
      <c r="O5" s="32"/>
    </row>
    <row r="6" spans="1:25" x14ac:dyDescent="0.25">
      <c r="I6" s="32"/>
      <c r="J6" s="32"/>
      <c r="K6" s="32"/>
      <c r="O6" s="33"/>
    </row>
    <row r="7" spans="1:25" x14ac:dyDescent="0.25">
      <c r="I7" s="32"/>
      <c r="J7" s="32"/>
      <c r="K7" s="32"/>
      <c r="O7" s="32"/>
      <c r="R7" s="19"/>
    </row>
    <row r="8" spans="1:25" ht="63" customHeight="1" x14ac:dyDescent="0.25">
      <c r="A8" s="103" t="s">
        <v>0</v>
      </c>
      <c r="B8" s="103" t="s">
        <v>72</v>
      </c>
      <c r="C8" s="96" t="s">
        <v>175</v>
      </c>
      <c r="D8" s="124" t="s">
        <v>169</v>
      </c>
      <c r="E8" s="124"/>
      <c r="F8" s="124"/>
      <c r="G8" s="124"/>
      <c r="H8" s="124"/>
      <c r="I8" s="123" t="s">
        <v>158</v>
      </c>
      <c r="J8" s="123"/>
      <c r="K8" s="123"/>
      <c r="L8" s="118" t="s">
        <v>177</v>
      </c>
      <c r="M8" s="118"/>
      <c r="N8" s="118"/>
      <c r="O8" s="101" t="s">
        <v>98</v>
      </c>
      <c r="P8" s="101"/>
      <c r="Q8" s="101"/>
      <c r="R8" s="102" t="s">
        <v>176</v>
      </c>
      <c r="S8" s="102"/>
      <c r="T8" s="102"/>
      <c r="U8" s="103" t="s">
        <v>141</v>
      </c>
      <c r="V8" s="103"/>
      <c r="W8" s="103"/>
      <c r="X8" s="103"/>
    </row>
    <row r="9" spans="1:25" ht="63" customHeight="1" x14ac:dyDescent="0.25">
      <c r="A9" s="103"/>
      <c r="B9" s="103"/>
      <c r="C9" s="97"/>
      <c r="D9" s="98" t="s">
        <v>74</v>
      </c>
      <c r="E9" s="98" t="s">
        <v>77</v>
      </c>
      <c r="F9" s="98" t="s">
        <v>89</v>
      </c>
      <c r="G9" s="96" t="s">
        <v>171</v>
      </c>
      <c r="H9" s="125" t="s">
        <v>170</v>
      </c>
      <c r="I9" s="119" t="s">
        <v>93</v>
      </c>
      <c r="J9" s="119" t="s">
        <v>94</v>
      </c>
      <c r="K9" s="119" t="s">
        <v>96</v>
      </c>
      <c r="L9" s="121" t="s">
        <v>73</v>
      </c>
      <c r="M9" s="112" t="s">
        <v>173</v>
      </c>
      <c r="N9" s="121" t="s">
        <v>96</v>
      </c>
      <c r="O9" s="104" t="s">
        <v>96</v>
      </c>
      <c r="P9" s="106" t="s">
        <v>99</v>
      </c>
      <c r="Q9" s="108" t="s">
        <v>100</v>
      </c>
      <c r="R9" s="112" t="s">
        <v>96</v>
      </c>
      <c r="S9" s="114" t="s">
        <v>99</v>
      </c>
      <c r="T9" s="116" t="s">
        <v>100</v>
      </c>
      <c r="U9" s="96" t="s">
        <v>144</v>
      </c>
      <c r="V9" s="96" t="s">
        <v>96</v>
      </c>
      <c r="W9" s="99" t="s">
        <v>99</v>
      </c>
      <c r="X9" s="110" t="s">
        <v>100</v>
      </c>
    </row>
    <row r="10" spans="1:25" ht="31.5" x14ac:dyDescent="0.25">
      <c r="A10" s="103"/>
      <c r="B10" s="103"/>
      <c r="C10" s="98"/>
      <c r="D10" s="103"/>
      <c r="E10" s="103"/>
      <c r="F10" s="103"/>
      <c r="G10" s="98"/>
      <c r="H10" s="126"/>
      <c r="I10" s="120"/>
      <c r="J10" s="120"/>
      <c r="K10" s="120"/>
      <c r="L10" s="122"/>
      <c r="M10" s="113"/>
      <c r="N10" s="122"/>
      <c r="O10" s="105"/>
      <c r="P10" s="107"/>
      <c r="Q10" s="109"/>
      <c r="R10" s="113"/>
      <c r="S10" s="115"/>
      <c r="T10" s="117"/>
      <c r="U10" s="98"/>
      <c r="V10" s="98"/>
      <c r="W10" s="100"/>
      <c r="X10" s="111"/>
      <c r="Y10" s="56" t="s">
        <v>168</v>
      </c>
    </row>
    <row r="11" spans="1:25" ht="15.75" customHeight="1" x14ac:dyDescent="0.25">
      <c r="A11" s="6">
        <v>1</v>
      </c>
      <c r="B11" s="7" t="s">
        <v>3</v>
      </c>
      <c r="C11" s="83">
        <v>0.6025540714245794</v>
      </c>
      <c r="D11" s="6" t="s">
        <v>78</v>
      </c>
      <c r="E11" s="6"/>
      <c r="F11" s="6"/>
      <c r="G11" s="6" t="s">
        <v>159</v>
      </c>
      <c r="H11" s="71"/>
      <c r="I11" s="62">
        <f>IF(OR(F11="BG", F11="ĐK"),50, VLOOKUP($D$11:$D$107,'Quy định'!$B$10:$E$20,2,0))</f>
        <v>30</v>
      </c>
      <c r="J11" s="62">
        <f>E11*'Quy định'!$C$14</f>
        <v>0</v>
      </c>
      <c r="K11" s="62">
        <f>+I11+J11</f>
        <v>30</v>
      </c>
      <c r="L11" s="66">
        <f>MAX(VLOOKUP($G$11:$G$107,'Quy định'!$B$11:$D$20,3,0),I11)</f>
        <v>30</v>
      </c>
      <c r="M11" s="67">
        <f>+H11*'Quy định'!$D$20+J11</f>
        <v>0</v>
      </c>
      <c r="N11" s="66">
        <f t="shared" ref="N11:N42" si="0">SUM(L11:M11)</f>
        <v>30</v>
      </c>
      <c r="O11" s="63">
        <f>+P11+Q11</f>
        <v>23799.028727770179</v>
      </c>
      <c r="P11" s="64">
        <f t="shared" ref="P11:P42" si="1">+K11*$P$2</f>
        <v>17717.072503419975</v>
      </c>
      <c r="Q11" s="64">
        <f t="shared" ref="Q11:Q42" si="2">+K11*$Q$2</f>
        <v>6081.956224350205</v>
      </c>
      <c r="R11" s="69">
        <f>+S11+T11</f>
        <v>25077.241910990713</v>
      </c>
      <c r="S11" s="69">
        <f t="shared" ref="S11:S74" si="3">+$N11*$S$2</f>
        <v>18668.632161630747</v>
      </c>
      <c r="T11" s="69">
        <f t="shared" ref="T11:T74" si="4">+$N11*$T$2</f>
        <v>6408.6097493599664</v>
      </c>
      <c r="U11" s="18">
        <f>IF(O11&gt;0,IF(C11&gt;=70%,30%,IF(AND(C11&gt;=30%,C11&lt;70%),40%,IF(C11&lt;30%,50%))),50%)</f>
        <v>0.4</v>
      </c>
      <c r="V11" s="20">
        <f>+W11+X11</f>
        <v>9519.6114911080731</v>
      </c>
      <c r="W11" s="20">
        <f t="shared" ref="W11:W73" si="5">IF(O11&gt;0,P11*U11,S11*U11)</f>
        <v>7086.8290013679907</v>
      </c>
      <c r="X11" s="20">
        <f t="shared" ref="X11:X73" si="6">IF(O11&gt;0,Q11*U11,T11*U11)</f>
        <v>2432.7824897400819</v>
      </c>
      <c r="Y11" s="19">
        <f>+O11+R11</f>
        <v>48876.270638760892</v>
      </c>
    </row>
    <row r="12" spans="1:25" x14ac:dyDescent="0.25">
      <c r="A12" s="6">
        <v>2</v>
      </c>
      <c r="B12" s="7" t="s">
        <v>9</v>
      </c>
      <c r="C12" s="83">
        <v>0.59199805889714707</v>
      </c>
      <c r="D12" s="6" t="s">
        <v>87</v>
      </c>
      <c r="E12" s="6">
        <v>13</v>
      </c>
      <c r="F12" s="6"/>
      <c r="G12" s="6" t="s">
        <v>161</v>
      </c>
      <c r="H12" s="71"/>
      <c r="I12" s="62">
        <f>IF(OR(F12="BG", F12="ĐK"),50, VLOOKUP($D$11:$D$107,'Quy định'!$B$10:$E$20,2,0))</f>
        <v>50</v>
      </c>
      <c r="J12" s="62">
        <f>E12*'Quy định'!$C$14</f>
        <v>13</v>
      </c>
      <c r="K12" s="62">
        <f t="shared" ref="K12:K73" si="7">+I12+J12</f>
        <v>63</v>
      </c>
      <c r="L12" s="66">
        <f>MAX(VLOOKUP($G$11:$G$107,'Quy định'!$B$11:$D$20,3,0),I12)</f>
        <v>50</v>
      </c>
      <c r="M12" s="67">
        <f>+H12*'Quy định'!$D$20+J12</f>
        <v>13</v>
      </c>
      <c r="N12" s="66">
        <f t="shared" si="0"/>
        <v>63</v>
      </c>
      <c r="O12" s="63">
        <f t="shared" ref="O12:O73" si="8">+P12+Q12</f>
        <v>49977.960328317371</v>
      </c>
      <c r="P12" s="64">
        <f t="shared" si="1"/>
        <v>37205.852257181941</v>
      </c>
      <c r="Q12" s="64">
        <f t="shared" si="2"/>
        <v>12772.10807113543</v>
      </c>
      <c r="R12" s="69">
        <f t="shared" ref="R12:R75" si="9">+S12+T12</f>
        <v>52662.208013080497</v>
      </c>
      <c r="S12" s="69">
        <f t="shared" si="3"/>
        <v>39204.127539424568</v>
      </c>
      <c r="T12" s="69">
        <f t="shared" si="4"/>
        <v>13458.080473655929</v>
      </c>
      <c r="U12" s="18">
        <f t="shared" ref="U12:U75" si="10">IF(O12&gt;0,IF(C12&gt;=70%,30%,IF(AND(C12&gt;=30%,C12&lt;70%),40%,IF(C12&lt;30%,50%))),50%)</f>
        <v>0.4</v>
      </c>
      <c r="V12" s="20">
        <f t="shared" ref="V12:V73" si="11">+W12+X12</f>
        <v>19991.184131326947</v>
      </c>
      <c r="W12" s="20">
        <f t="shared" si="5"/>
        <v>14882.340902872776</v>
      </c>
      <c r="X12" s="20">
        <f t="shared" si="6"/>
        <v>5108.8432284541723</v>
      </c>
      <c r="Y12" s="19">
        <f t="shared" ref="Y12:Y75" si="12">+O12+R12</f>
        <v>102640.16834139786</v>
      </c>
    </row>
    <row r="13" spans="1:25" x14ac:dyDescent="0.25">
      <c r="A13" s="6">
        <v>3</v>
      </c>
      <c r="B13" s="7" t="s">
        <v>10</v>
      </c>
      <c r="C13" s="83">
        <v>0.73223404909862799</v>
      </c>
      <c r="D13" s="6" t="s">
        <v>85</v>
      </c>
      <c r="E13" s="6">
        <v>1</v>
      </c>
      <c r="F13" s="6"/>
      <c r="G13" s="6" t="s">
        <v>159</v>
      </c>
      <c r="H13" s="71"/>
      <c r="I13" s="62">
        <f>IF(OR(F13="BG", F13="ĐK"),50, VLOOKUP($D$11:$D$107,'Quy định'!$B$10:$E$20,2,0))</f>
        <v>40</v>
      </c>
      <c r="J13" s="62">
        <f>E13*'Quy định'!$C$14</f>
        <v>1</v>
      </c>
      <c r="K13" s="62">
        <f t="shared" si="7"/>
        <v>41</v>
      </c>
      <c r="L13" s="66">
        <f>MAX(VLOOKUP($G$11:$G$107,'Quy định'!$B$11:$D$20,3,0),I13)</f>
        <v>40</v>
      </c>
      <c r="M13" s="67">
        <f>+H13*'Quy định'!$D$20+J13</f>
        <v>1</v>
      </c>
      <c r="N13" s="66">
        <f t="shared" si="0"/>
        <v>41</v>
      </c>
      <c r="O13" s="63">
        <f t="shared" si="8"/>
        <v>32525.33926128591</v>
      </c>
      <c r="P13" s="64">
        <f t="shared" si="1"/>
        <v>24213.33242134063</v>
      </c>
      <c r="Q13" s="64">
        <f t="shared" si="2"/>
        <v>8312.0068399452794</v>
      </c>
      <c r="R13" s="69">
        <f t="shared" si="9"/>
        <v>34272.230611687308</v>
      </c>
      <c r="S13" s="69">
        <f t="shared" si="3"/>
        <v>25513.797287562022</v>
      </c>
      <c r="T13" s="69">
        <f t="shared" si="4"/>
        <v>8758.4333241252862</v>
      </c>
      <c r="U13" s="18">
        <f t="shared" si="10"/>
        <v>0.3</v>
      </c>
      <c r="V13" s="20">
        <f t="shared" si="11"/>
        <v>9757.6017783857715</v>
      </c>
      <c r="W13" s="20">
        <f t="shared" si="5"/>
        <v>7263.9997264021886</v>
      </c>
      <c r="X13" s="20">
        <f t="shared" si="6"/>
        <v>2493.6020519835838</v>
      </c>
      <c r="Y13" s="19">
        <f t="shared" si="12"/>
        <v>66797.569872973225</v>
      </c>
    </row>
    <row r="14" spans="1:25" x14ac:dyDescent="0.25">
      <c r="A14" s="6">
        <v>4</v>
      </c>
      <c r="B14" s="7" t="s">
        <v>11</v>
      </c>
      <c r="C14" s="83">
        <v>0.76022653194263368</v>
      </c>
      <c r="D14" s="6" t="s">
        <v>87</v>
      </c>
      <c r="E14" s="6">
        <v>13</v>
      </c>
      <c r="F14" s="6"/>
      <c r="G14" s="6" t="s">
        <v>161</v>
      </c>
      <c r="H14" s="71"/>
      <c r="I14" s="62">
        <f>IF(OR(F14="BG", F14="ĐK"),50, VLOOKUP($D$11:$D$107,'Quy định'!$B$10:$E$20,2,0))</f>
        <v>50</v>
      </c>
      <c r="J14" s="62">
        <f>E14*'Quy định'!$C$14</f>
        <v>13</v>
      </c>
      <c r="K14" s="62">
        <f t="shared" si="7"/>
        <v>63</v>
      </c>
      <c r="L14" s="66">
        <f>MAX(VLOOKUP($G$11:$G$107,'Quy định'!$B$11:$D$20,3,0),I14)</f>
        <v>50</v>
      </c>
      <c r="M14" s="67">
        <f>+H14*'Quy định'!$D$20+J14</f>
        <v>13</v>
      </c>
      <c r="N14" s="66">
        <f t="shared" si="0"/>
        <v>63</v>
      </c>
      <c r="O14" s="63">
        <f t="shared" si="8"/>
        <v>49977.960328317371</v>
      </c>
      <c r="P14" s="64">
        <f t="shared" si="1"/>
        <v>37205.852257181941</v>
      </c>
      <c r="Q14" s="64">
        <f t="shared" si="2"/>
        <v>12772.10807113543</v>
      </c>
      <c r="R14" s="69">
        <f t="shared" si="9"/>
        <v>52662.208013080497</v>
      </c>
      <c r="S14" s="69">
        <f t="shared" si="3"/>
        <v>39204.127539424568</v>
      </c>
      <c r="T14" s="69">
        <f t="shared" si="4"/>
        <v>13458.080473655929</v>
      </c>
      <c r="U14" s="18">
        <f t="shared" si="10"/>
        <v>0.3</v>
      </c>
      <c r="V14" s="20">
        <f t="shared" si="11"/>
        <v>14993.388098495212</v>
      </c>
      <c r="W14" s="20">
        <f t="shared" si="5"/>
        <v>11161.755677154582</v>
      </c>
      <c r="X14" s="20">
        <f t="shared" si="6"/>
        <v>3831.6324213406288</v>
      </c>
      <c r="Y14" s="19">
        <f t="shared" si="12"/>
        <v>102640.16834139786</v>
      </c>
    </row>
    <row r="15" spans="1:25" x14ac:dyDescent="0.25">
      <c r="A15" s="6">
        <v>5</v>
      </c>
      <c r="B15" s="7" t="s">
        <v>12</v>
      </c>
      <c r="C15" s="83">
        <v>0.77760182498726493</v>
      </c>
      <c r="D15" s="6" t="s">
        <v>87</v>
      </c>
      <c r="E15" s="6">
        <v>8</v>
      </c>
      <c r="F15" s="6"/>
      <c r="G15" s="6" t="s">
        <v>161</v>
      </c>
      <c r="H15" s="71"/>
      <c r="I15" s="62">
        <f>IF(OR(F15="BG", F15="ĐK"),50, VLOOKUP($D$11:$D$107,'Quy định'!$B$10:$E$20,2,0))</f>
        <v>50</v>
      </c>
      <c r="J15" s="62">
        <f>E15*'Quy định'!$C$14</f>
        <v>8</v>
      </c>
      <c r="K15" s="62">
        <f t="shared" si="7"/>
        <v>58</v>
      </c>
      <c r="L15" s="66">
        <f>MAX(VLOOKUP($G$11:$G$107,'Quy định'!$B$11:$D$20,3,0),I15)</f>
        <v>50</v>
      </c>
      <c r="M15" s="67">
        <f>+H15*'Quy định'!$D$20+J15</f>
        <v>8</v>
      </c>
      <c r="N15" s="66">
        <f t="shared" si="0"/>
        <v>58</v>
      </c>
      <c r="O15" s="63">
        <f t="shared" si="8"/>
        <v>46011.455540355673</v>
      </c>
      <c r="P15" s="64">
        <f t="shared" si="1"/>
        <v>34253.006839945279</v>
      </c>
      <c r="Q15" s="64">
        <f t="shared" si="2"/>
        <v>11758.448700410396</v>
      </c>
      <c r="R15" s="69">
        <f t="shared" si="9"/>
        <v>48482.667694582044</v>
      </c>
      <c r="S15" s="69">
        <f t="shared" si="3"/>
        <v>36092.688845819444</v>
      </c>
      <c r="T15" s="69">
        <f t="shared" si="4"/>
        <v>12389.978848762601</v>
      </c>
      <c r="U15" s="18">
        <f t="shared" si="10"/>
        <v>0.3</v>
      </c>
      <c r="V15" s="20">
        <f t="shared" si="11"/>
        <v>13803.436662106702</v>
      </c>
      <c r="W15" s="20">
        <f t="shared" si="5"/>
        <v>10275.902051983583</v>
      </c>
      <c r="X15" s="20">
        <f t="shared" si="6"/>
        <v>3527.5346101231185</v>
      </c>
      <c r="Y15" s="19">
        <f t="shared" si="12"/>
        <v>94494.123234937724</v>
      </c>
    </row>
    <row r="16" spans="1:25" x14ac:dyDescent="0.25">
      <c r="A16" s="6">
        <v>6</v>
      </c>
      <c r="B16" s="7" t="s">
        <v>13</v>
      </c>
      <c r="C16" s="83">
        <v>0.78896114559726738</v>
      </c>
      <c r="D16" s="6" t="s">
        <v>87</v>
      </c>
      <c r="E16" s="6">
        <v>8</v>
      </c>
      <c r="F16" s="6"/>
      <c r="G16" s="6" t="s">
        <v>161</v>
      </c>
      <c r="H16" s="71"/>
      <c r="I16" s="62">
        <f>IF(OR(F16="BG", F16="ĐK"),50, VLOOKUP($D$11:$D$107,'Quy định'!$B$10:$E$20,2,0))</f>
        <v>50</v>
      </c>
      <c r="J16" s="62">
        <f>E16*'Quy định'!$C$14</f>
        <v>8</v>
      </c>
      <c r="K16" s="62">
        <f t="shared" si="7"/>
        <v>58</v>
      </c>
      <c r="L16" s="66">
        <f>MAX(VLOOKUP($G$11:$G$107,'Quy định'!$B$11:$D$20,3,0),I16)</f>
        <v>50</v>
      </c>
      <c r="M16" s="67">
        <f>+H16*'Quy định'!$D$20+J16</f>
        <v>8</v>
      </c>
      <c r="N16" s="66">
        <f t="shared" si="0"/>
        <v>58</v>
      </c>
      <c r="O16" s="63">
        <f t="shared" si="8"/>
        <v>46011.455540355673</v>
      </c>
      <c r="P16" s="64">
        <f t="shared" si="1"/>
        <v>34253.006839945279</v>
      </c>
      <c r="Q16" s="64">
        <f t="shared" si="2"/>
        <v>11758.448700410396</v>
      </c>
      <c r="R16" s="69">
        <f t="shared" si="9"/>
        <v>48482.667694582044</v>
      </c>
      <c r="S16" s="69">
        <f t="shared" si="3"/>
        <v>36092.688845819444</v>
      </c>
      <c r="T16" s="69">
        <f t="shared" si="4"/>
        <v>12389.978848762601</v>
      </c>
      <c r="U16" s="18">
        <f t="shared" si="10"/>
        <v>0.3</v>
      </c>
      <c r="V16" s="20">
        <f t="shared" si="11"/>
        <v>13803.436662106702</v>
      </c>
      <c r="W16" s="20">
        <f t="shared" si="5"/>
        <v>10275.902051983583</v>
      </c>
      <c r="X16" s="20">
        <f t="shared" si="6"/>
        <v>3527.5346101231185</v>
      </c>
      <c r="Y16" s="19">
        <f t="shared" si="12"/>
        <v>94494.123234937724</v>
      </c>
    </row>
    <row r="17" spans="1:25" x14ac:dyDescent="0.25">
      <c r="A17" s="6">
        <v>7</v>
      </c>
      <c r="B17" s="7" t="s">
        <v>14</v>
      </c>
      <c r="C17" s="83">
        <v>0.7996115978683046</v>
      </c>
      <c r="D17" s="6" t="s">
        <v>87</v>
      </c>
      <c r="E17" s="6">
        <v>14</v>
      </c>
      <c r="F17" s="6"/>
      <c r="G17" s="6" t="s">
        <v>161</v>
      </c>
      <c r="H17" s="71"/>
      <c r="I17" s="62">
        <f>IF(OR(F17="BG", F17="ĐK"),50, VLOOKUP($D$11:$D$107,'Quy định'!$B$10:$E$20,2,0))</f>
        <v>50</v>
      </c>
      <c r="J17" s="62">
        <f>E17*'Quy định'!$C$14</f>
        <v>14</v>
      </c>
      <c r="K17" s="62">
        <f t="shared" si="7"/>
        <v>64</v>
      </c>
      <c r="L17" s="66">
        <f>MAX(VLOOKUP($G$11:$G$107,'Quy định'!$B$11:$D$20,3,0),I17)</f>
        <v>50</v>
      </c>
      <c r="M17" s="67">
        <f>+H17*'Quy định'!$D$20+J17</f>
        <v>14</v>
      </c>
      <c r="N17" s="66">
        <f t="shared" si="0"/>
        <v>64</v>
      </c>
      <c r="O17" s="63">
        <f t="shared" si="8"/>
        <v>50771.261285909713</v>
      </c>
      <c r="P17" s="64">
        <f t="shared" si="1"/>
        <v>37796.421340629277</v>
      </c>
      <c r="Q17" s="64">
        <f t="shared" si="2"/>
        <v>12974.839945280437</v>
      </c>
      <c r="R17" s="69">
        <f t="shared" si="9"/>
        <v>53498.116076780185</v>
      </c>
      <c r="S17" s="69">
        <f t="shared" si="3"/>
        <v>39826.415278145592</v>
      </c>
      <c r="T17" s="69">
        <f t="shared" si="4"/>
        <v>13671.700798634594</v>
      </c>
      <c r="U17" s="18">
        <f t="shared" si="10"/>
        <v>0.3</v>
      </c>
      <c r="V17" s="20">
        <f t="shared" si="11"/>
        <v>15231.378385772914</v>
      </c>
      <c r="W17" s="20">
        <f t="shared" si="5"/>
        <v>11338.926402188783</v>
      </c>
      <c r="X17" s="20">
        <f t="shared" si="6"/>
        <v>3892.4519835841311</v>
      </c>
      <c r="Y17" s="19">
        <f t="shared" si="12"/>
        <v>104269.37736268991</v>
      </c>
    </row>
    <row r="18" spans="1:25" x14ac:dyDescent="0.25">
      <c r="A18" s="6">
        <v>8</v>
      </c>
      <c r="B18" s="7" t="s">
        <v>15</v>
      </c>
      <c r="C18" s="83">
        <v>0.6542413032469595</v>
      </c>
      <c r="D18" s="6" t="s">
        <v>87</v>
      </c>
      <c r="E18" s="6">
        <v>19</v>
      </c>
      <c r="F18" s="6"/>
      <c r="G18" s="6" t="s">
        <v>145</v>
      </c>
      <c r="H18" s="71"/>
      <c r="I18" s="62">
        <f>IF(OR(F18="BG", F18="ĐK"),50, VLOOKUP($D$11:$D$107,'Quy định'!$B$10:$E$20,2,0))</f>
        <v>50</v>
      </c>
      <c r="J18" s="62">
        <f>E18*'Quy định'!$C$14</f>
        <v>19</v>
      </c>
      <c r="K18" s="62">
        <f t="shared" si="7"/>
        <v>69</v>
      </c>
      <c r="L18" s="66">
        <f>MAX(VLOOKUP($G$11:$G$107,'Quy định'!$B$11:$D$20,3,0),I18)</f>
        <v>50</v>
      </c>
      <c r="M18" s="67">
        <f>+H18*'Quy định'!$D$20+J18</f>
        <v>19</v>
      </c>
      <c r="N18" s="66">
        <f t="shared" si="0"/>
        <v>69</v>
      </c>
      <c r="O18" s="63">
        <f t="shared" si="8"/>
        <v>54737.766073871411</v>
      </c>
      <c r="P18" s="64">
        <f t="shared" si="1"/>
        <v>40749.266757865938</v>
      </c>
      <c r="Q18" s="64">
        <f t="shared" si="2"/>
        <v>13988.499316005471</v>
      </c>
      <c r="R18" s="69">
        <f t="shared" si="9"/>
        <v>57677.656395278638</v>
      </c>
      <c r="S18" s="69">
        <f t="shared" si="3"/>
        <v>42937.853971750716</v>
      </c>
      <c r="T18" s="69">
        <f t="shared" si="4"/>
        <v>14739.802423527923</v>
      </c>
      <c r="U18" s="18">
        <f t="shared" si="10"/>
        <v>0.4</v>
      </c>
      <c r="V18" s="20">
        <f t="shared" si="11"/>
        <v>21895.106429548563</v>
      </c>
      <c r="W18" s="20">
        <f t="shared" si="5"/>
        <v>16299.706703146376</v>
      </c>
      <c r="X18" s="20">
        <f t="shared" si="6"/>
        <v>5595.3997264021891</v>
      </c>
      <c r="Y18" s="19">
        <f t="shared" si="12"/>
        <v>112415.42246915004</v>
      </c>
    </row>
    <row r="19" spans="1:25" x14ac:dyDescent="0.25">
      <c r="A19" s="6">
        <v>9</v>
      </c>
      <c r="B19" s="7" t="s">
        <v>16</v>
      </c>
      <c r="C19" s="83">
        <v>0.69496582626112458</v>
      </c>
      <c r="D19" s="6" t="s">
        <v>87</v>
      </c>
      <c r="E19" s="6">
        <v>12</v>
      </c>
      <c r="F19" s="6"/>
      <c r="G19" s="6" t="s">
        <v>161</v>
      </c>
      <c r="H19" s="71"/>
      <c r="I19" s="62">
        <f>IF(OR(F19="BG", F19="ĐK"),50, VLOOKUP($D$11:$D$107,'Quy định'!$B$10:$E$20,2,0))</f>
        <v>50</v>
      </c>
      <c r="J19" s="62">
        <f>E19*'Quy định'!$C$14</f>
        <v>12</v>
      </c>
      <c r="K19" s="62">
        <f t="shared" si="7"/>
        <v>62</v>
      </c>
      <c r="L19" s="66">
        <f>MAX(VLOOKUP($G$11:$G$107,'Quy định'!$B$11:$D$20,3,0),I19)</f>
        <v>50</v>
      </c>
      <c r="M19" s="67">
        <f>+H19*'Quy định'!$D$20+J19</f>
        <v>12</v>
      </c>
      <c r="N19" s="66">
        <f t="shared" si="0"/>
        <v>62</v>
      </c>
      <c r="O19" s="63">
        <f t="shared" si="8"/>
        <v>49184.659370725036</v>
      </c>
      <c r="P19" s="64">
        <f t="shared" si="1"/>
        <v>36615.283173734613</v>
      </c>
      <c r="Q19" s="64">
        <f t="shared" si="2"/>
        <v>12569.376196990423</v>
      </c>
      <c r="R19" s="69">
        <f t="shared" si="9"/>
        <v>51826.299949380802</v>
      </c>
      <c r="S19" s="69">
        <f t="shared" si="3"/>
        <v>38581.839800703543</v>
      </c>
      <c r="T19" s="69">
        <f t="shared" si="4"/>
        <v>13244.460148677263</v>
      </c>
      <c r="U19" s="18">
        <f t="shared" si="10"/>
        <v>0.4</v>
      </c>
      <c r="V19" s="20">
        <f t="shared" si="11"/>
        <v>19673.863748290016</v>
      </c>
      <c r="W19" s="20">
        <f t="shared" si="5"/>
        <v>14646.113269493846</v>
      </c>
      <c r="X19" s="20">
        <f t="shared" si="6"/>
        <v>5027.7504787961698</v>
      </c>
      <c r="Y19" s="19">
        <f t="shared" si="12"/>
        <v>101010.95932010585</v>
      </c>
    </row>
    <row r="20" spans="1:25" x14ac:dyDescent="0.25">
      <c r="A20" s="6">
        <v>10</v>
      </c>
      <c r="B20" s="7" t="s">
        <v>17</v>
      </c>
      <c r="C20" s="83">
        <v>0.56268694012615383</v>
      </c>
      <c r="D20" s="6" t="s">
        <v>87</v>
      </c>
      <c r="E20" s="6">
        <v>7</v>
      </c>
      <c r="F20" s="6"/>
      <c r="G20" s="6" t="s">
        <v>161</v>
      </c>
      <c r="H20" s="71"/>
      <c r="I20" s="62">
        <f>IF(OR(F20="BG", F20="ĐK"),50, VLOOKUP($D$11:$D$107,'Quy định'!$B$10:$E$20,2,0))</f>
        <v>50</v>
      </c>
      <c r="J20" s="62">
        <f>E20*'Quy định'!$C$14</f>
        <v>7</v>
      </c>
      <c r="K20" s="62">
        <f t="shared" si="7"/>
        <v>57</v>
      </c>
      <c r="L20" s="66">
        <f>MAX(VLOOKUP($G$11:$G$107,'Quy định'!$B$11:$D$20,3,0),I20)</f>
        <v>50</v>
      </c>
      <c r="M20" s="67">
        <f>+H20*'Quy định'!$D$20+J20</f>
        <v>7</v>
      </c>
      <c r="N20" s="66">
        <f t="shared" si="0"/>
        <v>57</v>
      </c>
      <c r="O20" s="63">
        <f t="shared" si="8"/>
        <v>45218.154582763338</v>
      </c>
      <c r="P20" s="64">
        <f t="shared" si="1"/>
        <v>33662.437756497951</v>
      </c>
      <c r="Q20" s="64">
        <f t="shared" si="2"/>
        <v>11555.716826265389</v>
      </c>
      <c r="R20" s="69">
        <f t="shared" si="9"/>
        <v>47646.759630882356</v>
      </c>
      <c r="S20" s="69">
        <f t="shared" si="3"/>
        <v>35470.40110709842</v>
      </c>
      <c r="T20" s="69">
        <f t="shared" si="4"/>
        <v>12176.358523783936</v>
      </c>
      <c r="U20" s="18">
        <f t="shared" si="10"/>
        <v>0.4</v>
      </c>
      <c r="V20" s="20">
        <f t="shared" si="11"/>
        <v>18087.261833105338</v>
      </c>
      <c r="W20" s="20">
        <f t="shared" si="5"/>
        <v>13464.975102599181</v>
      </c>
      <c r="X20" s="20">
        <f t="shared" si="6"/>
        <v>4622.2867305061554</v>
      </c>
      <c r="Y20" s="19">
        <f t="shared" si="12"/>
        <v>92864.914213645694</v>
      </c>
    </row>
    <row r="21" spans="1:25" x14ac:dyDescent="0.25">
      <c r="A21" s="6">
        <v>11</v>
      </c>
      <c r="B21" s="7" t="s">
        <v>88</v>
      </c>
      <c r="C21" s="83">
        <v>0.76517806670435273</v>
      </c>
      <c r="D21" s="6" t="s">
        <v>87</v>
      </c>
      <c r="E21" s="6">
        <v>16</v>
      </c>
      <c r="F21" s="6"/>
      <c r="G21" s="6" t="s">
        <v>161</v>
      </c>
      <c r="H21" s="71"/>
      <c r="I21" s="62">
        <f>IF(OR(F21="BG", F21="ĐK"),50, VLOOKUP($D$11:$D$107,'Quy định'!$B$10:$E$20,2,0))</f>
        <v>50</v>
      </c>
      <c r="J21" s="62">
        <f>E21*'Quy định'!$C$14</f>
        <v>16</v>
      </c>
      <c r="K21" s="62">
        <f t="shared" si="7"/>
        <v>66</v>
      </c>
      <c r="L21" s="66">
        <f>MAX(VLOOKUP($G$11:$G$107,'Quy định'!$B$11:$D$20,3,0),I21)</f>
        <v>50</v>
      </c>
      <c r="M21" s="67">
        <f>+H21*'Quy định'!$D$20+J21</f>
        <v>16</v>
      </c>
      <c r="N21" s="66">
        <f t="shared" si="0"/>
        <v>66</v>
      </c>
      <c r="O21" s="63">
        <f t="shared" si="8"/>
        <v>52357.863201094391</v>
      </c>
      <c r="P21" s="64">
        <f t="shared" si="1"/>
        <v>38977.55950752394</v>
      </c>
      <c r="Q21" s="64">
        <f t="shared" si="2"/>
        <v>13380.303693570451</v>
      </c>
      <c r="R21" s="69">
        <f t="shared" si="9"/>
        <v>55169.932204179568</v>
      </c>
      <c r="S21" s="69">
        <f t="shared" si="3"/>
        <v>41070.990755587642</v>
      </c>
      <c r="T21" s="69">
        <f t="shared" si="4"/>
        <v>14098.941448591926</v>
      </c>
      <c r="U21" s="18">
        <f t="shared" si="10"/>
        <v>0.3</v>
      </c>
      <c r="V21" s="20">
        <f t="shared" si="11"/>
        <v>15707.358960328318</v>
      </c>
      <c r="W21" s="20">
        <f t="shared" si="5"/>
        <v>11693.267852257182</v>
      </c>
      <c r="X21" s="20">
        <f t="shared" si="6"/>
        <v>4014.0911080711353</v>
      </c>
      <c r="Y21" s="19">
        <f t="shared" si="12"/>
        <v>107527.79540527397</v>
      </c>
    </row>
    <row r="22" spans="1:25" x14ac:dyDescent="0.25">
      <c r="A22" s="6">
        <v>12</v>
      </c>
      <c r="B22" s="7" t="s">
        <v>18</v>
      </c>
      <c r="C22" s="83">
        <v>0.7654768502568865</v>
      </c>
      <c r="D22" s="6" t="s">
        <v>87</v>
      </c>
      <c r="E22" s="6">
        <v>16</v>
      </c>
      <c r="F22" s="6"/>
      <c r="G22" s="6" t="s">
        <v>161</v>
      </c>
      <c r="H22" s="71"/>
      <c r="I22" s="62">
        <f>IF(OR(F22="BG", F22="ĐK"),50, VLOOKUP($D$11:$D$107,'Quy định'!$B$10:$E$20,2,0))</f>
        <v>50</v>
      </c>
      <c r="J22" s="62">
        <f>E22*'Quy định'!$C$14</f>
        <v>16</v>
      </c>
      <c r="K22" s="62">
        <f t="shared" si="7"/>
        <v>66</v>
      </c>
      <c r="L22" s="66">
        <f>MAX(VLOOKUP($G$11:$G$107,'Quy định'!$B$11:$D$20,3,0),I22)</f>
        <v>50</v>
      </c>
      <c r="M22" s="67">
        <f>+H22*'Quy định'!$D$20+J22</f>
        <v>16</v>
      </c>
      <c r="N22" s="66">
        <f t="shared" si="0"/>
        <v>66</v>
      </c>
      <c r="O22" s="63">
        <f t="shared" si="8"/>
        <v>52357.863201094391</v>
      </c>
      <c r="P22" s="64">
        <f t="shared" si="1"/>
        <v>38977.55950752394</v>
      </c>
      <c r="Q22" s="64">
        <f t="shared" si="2"/>
        <v>13380.303693570451</v>
      </c>
      <c r="R22" s="69">
        <f t="shared" si="9"/>
        <v>55169.932204179568</v>
      </c>
      <c r="S22" s="69">
        <f t="shared" si="3"/>
        <v>41070.990755587642</v>
      </c>
      <c r="T22" s="69">
        <f t="shared" si="4"/>
        <v>14098.941448591926</v>
      </c>
      <c r="U22" s="18">
        <f t="shared" si="10"/>
        <v>0.3</v>
      </c>
      <c r="V22" s="20">
        <f t="shared" si="11"/>
        <v>15707.358960328318</v>
      </c>
      <c r="W22" s="20">
        <f t="shared" si="5"/>
        <v>11693.267852257182</v>
      </c>
      <c r="X22" s="20">
        <f t="shared" si="6"/>
        <v>4014.0911080711353</v>
      </c>
      <c r="Y22" s="19">
        <f t="shared" si="12"/>
        <v>107527.79540527397</v>
      </c>
    </row>
    <row r="23" spans="1:25" x14ac:dyDescent="0.25">
      <c r="A23" s="6">
        <v>13</v>
      </c>
      <c r="B23" s="7" t="s">
        <v>19</v>
      </c>
      <c r="C23" s="83">
        <v>0.51292522211489722</v>
      </c>
      <c r="D23" s="6" t="s">
        <v>87</v>
      </c>
      <c r="E23" s="6">
        <v>10</v>
      </c>
      <c r="F23" s="6"/>
      <c r="G23" s="6" t="s">
        <v>161</v>
      </c>
      <c r="H23" s="71"/>
      <c r="I23" s="62">
        <f>IF(OR(F23="BG", F23="ĐK"),50, VLOOKUP($D$11:$D$107,'Quy định'!$B$10:$E$20,2,0))</f>
        <v>50</v>
      </c>
      <c r="J23" s="62">
        <f>E23*'Quy định'!$C$14</f>
        <v>10</v>
      </c>
      <c r="K23" s="62">
        <f t="shared" si="7"/>
        <v>60</v>
      </c>
      <c r="L23" s="66">
        <f>MAX(VLOOKUP($G$11:$G$107,'Quy định'!$B$11:$D$20,3,0),I23)</f>
        <v>50</v>
      </c>
      <c r="M23" s="67">
        <f>+H23*'Quy định'!$D$20+J23</f>
        <v>10</v>
      </c>
      <c r="N23" s="66">
        <f t="shared" si="0"/>
        <v>60</v>
      </c>
      <c r="O23" s="63">
        <f t="shared" si="8"/>
        <v>47598.057455540358</v>
      </c>
      <c r="P23" s="64">
        <f t="shared" si="1"/>
        <v>35434.14500683995</v>
      </c>
      <c r="Q23" s="64">
        <f t="shared" si="2"/>
        <v>12163.91244870041</v>
      </c>
      <c r="R23" s="69">
        <f t="shared" si="9"/>
        <v>50154.483821981426</v>
      </c>
      <c r="S23" s="69">
        <f t="shared" si="3"/>
        <v>37337.264323261494</v>
      </c>
      <c r="T23" s="69">
        <f t="shared" si="4"/>
        <v>12817.219498719933</v>
      </c>
      <c r="U23" s="18">
        <f t="shared" si="10"/>
        <v>0.4</v>
      </c>
      <c r="V23" s="20">
        <f t="shared" si="11"/>
        <v>19039.222982216146</v>
      </c>
      <c r="W23" s="20">
        <f t="shared" si="5"/>
        <v>14173.658002735981</v>
      </c>
      <c r="X23" s="20">
        <f t="shared" si="6"/>
        <v>4865.5649794801639</v>
      </c>
      <c r="Y23" s="19">
        <f t="shared" si="12"/>
        <v>97752.541277521785</v>
      </c>
    </row>
    <row r="24" spans="1:25" x14ac:dyDescent="0.25">
      <c r="A24" s="6">
        <v>14</v>
      </c>
      <c r="B24" s="7" t="s">
        <v>20</v>
      </c>
      <c r="C24" s="83">
        <v>0.55186799025871203</v>
      </c>
      <c r="D24" s="6" t="s">
        <v>87</v>
      </c>
      <c r="E24" s="6">
        <v>9</v>
      </c>
      <c r="F24" s="6"/>
      <c r="G24" s="6" t="s">
        <v>161</v>
      </c>
      <c r="H24" s="71"/>
      <c r="I24" s="62">
        <f>IF(OR(F24="BG", F24="ĐK"),50, VLOOKUP($D$11:$D$107,'Quy định'!$B$10:$E$20,2,0))</f>
        <v>50</v>
      </c>
      <c r="J24" s="62">
        <f>E24*'Quy định'!$C$14</f>
        <v>9</v>
      </c>
      <c r="K24" s="62">
        <f t="shared" si="7"/>
        <v>59</v>
      </c>
      <c r="L24" s="66">
        <f>MAX(VLOOKUP($G$11:$G$107,'Quy định'!$B$11:$D$20,3,0),I24)</f>
        <v>50</v>
      </c>
      <c r="M24" s="67">
        <f>+H24*'Quy định'!$D$20+J24</f>
        <v>9</v>
      </c>
      <c r="N24" s="66">
        <f t="shared" si="0"/>
        <v>59</v>
      </c>
      <c r="O24" s="63">
        <f t="shared" si="8"/>
        <v>46804.756497948016</v>
      </c>
      <c r="P24" s="64">
        <f t="shared" si="1"/>
        <v>34843.575923392615</v>
      </c>
      <c r="Q24" s="64">
        <f t="shared" si="2"/>
        <v>11961.180574555403</v>
      </c>
      <c r="R24" s="69">
        <f t="shared" si="9"/>
        <v>49318.575758281731</v>
      </c>
      <c r="S24" s="69">
        <f t="shared" si="3"/>
        <v>36714.976584540469</v>
      </c>
      <c r="T24" s="69">
        <f t="shared" si="4"/>
        <v>12603.599173741266</v>
      </c>
      <c r="U24" s="18">
        <f t="shared" si="10"/>
        <v>0.4</v>
      </c>
      <c r="V24" s="20">
        <f t="shared" si="11"/>
        <v>18721.902599179208</v>
      </c>
      <c r="W24" s="20">
        <f t="shared" si="5"/>
        <v>13937.430369357047</v>
      </c>
      <c r="X24" s="20">
        <f t="shared" si="6"/>
        <v>4784.4722298221614</v>
      </c>
      <c r="Y24" s="19">
        <f t="shared" si="12"/>
        <v>96123.33225622974</v>
      </c>
    </row>
    <row r="25" spans="1:25" x14ac:dyDescent="0.25">
      <c r="A25" s="6">
        <v>15</v>
      </c>
      <c r="B25" s="7" t="s">
        <v>21</v>
      </c>
      <c r="C25" s="83">
        <v>0.15411658235485218</v>
      </c>
      <c r="D25" s="6" t="s">
        <v>87</v>
      </c>
      <c r="E25" s="6">
        <v>11</v>
      </c>
      <c r="F25" s="6"/>
      <c r="G25" s="6" t="s">
        <v>161</v>
      </c>
      <c r="H25" s="71"/>
      <c r="I25" s="62">
        <f>IF(OR(F25="BG", F25="ĐK"),50, VLOOKUP($D$11:$D$107,'Quy định'!$B$10:$E$20,2,0))</f>
        <v>50</v>
      </c>
      <c r="J25" s="62">
        <f>E25*'Quy định'!$C$14</f>
        <v>11</v>
      </c>
      <c r="K25" s="62">
        <f t="shared" si="7"/>
        <v>61</v>
      </c>
      <c r="L25" s="66">
        <f>MAX(VLOOKUP($G$11:$G$107,'Quy định'!$B$11:$D$20,3,0),I25)</f>
        <v>50</v>
      </c>
      <c r="M25" s="67">
        <f>+H25*'Quy định'!$D$20+J25</f>
        <v>11</v>
      </c>
      <c r="N25" s="66">
        <f t="shared" si="0"/>
        <v>61</v>
      </c>
      <c r="O25" s="63">
        <f t="shared" si="8"/>
        <v>48391.358413132693</v>
      </c>
      <c r="P25" s="64">
        <f t="shared" si="1"/>
        <v>36024.714090287278</v>
      </c>
      <c r="Q25" s="64">
        <f t="shared" si="2"/>
        <v>12366.644322845417</v>
      </c>
      <c r="R25" s="69">
        <f t="shared" si="9"/>
        <v>50990.391885681114</v>
      </c>
      <c r="S25" s="69">
        <f t="shared" si="3"/>
        <v>37959.552061982518</v>
      </c>
      <c r="T25" s="69">
        <f t="shared" si="4"/>
        <v>13030.839823698598</v>
      </c>
      <c r="U25" s="18">
        <f t="shared" si="10"/>
        <v>0.5</v>
      </c>
      <c r="V25" s="20">
        <f t="shared" si="11"/>
        <v>24195.679206566347</v>
      </c>
      <c r="W25" s="20">
        <f t="shared" si="5"/>
        <v>18012.357045143639</v>
      </c>
      <c r="X25" s="20">
        <f t="shared" si="6"/>
        <v>6183.3221614227086</v>
      </c>
      <c r="Y25" s="19">
        <f t="shared" si="12"/>
        <v>99381.7502988138</v>
      </c>
    </row>
    <row r="26" spans="1:25" x14ac:dyDescent="0.25">
      <c r="A26" s="6">
        <v>16</v>
      </c>
      <c r="B26" s="7" t="s">
        <v>22</v>
      </c>
      <c r="C26" s="83">
        <v>0.71543881250427521</v>
      </c>
      <c r="D26" s="6" t="s">
        <v>87</v>
      </c>
      <c r="E26" s="6">
        <v>9</v>
      </c>
      <c r="F26" s="6"/>
      <c r="G26" s="6" t="s">
        <v>145</v>
      </c>
      <c r="H26" s="71"/>
      <c r="I26" s="62">
        <f>IF(OR(F26="BG", F26="ĐK"),50, VLOOKUP($D$11:$D$107,'Quy định'!$B$10:$E$20,2,0))</f>
        <v>50</v>
      </c>
      <c r="J26" s="62">
        <f>E26*'Quy định'!$C$14</f>
        <v>9</v>
      </c>
      <c r="K26" s="62">
        <f t="shared" si="7"/>
        <v>59</v>
      </c>
      <c r="L26" s="66">
        <f>MAX(VLOOKUP($G$11:$G$107,'Quy định'!$B$11:$D$20,3,0),I26)</f>
        <v>50</v>
      </c>
      <c r="M26" s="67">
        <f>+H26*'Quy định'!$D$20+J26</f>
        <v>9</v>
      </c>
      <c r="N26" s="66">
        <f t="shared" si="0"/>
        <v>59</v>
      </c>
      <c r="O26" s="63">
        <f t="shared" si="8"/>
        <v>46804.756497948016</v>
      </c>
      <c r="P26" s="64">
        <f t="shared" si="1"/>
        <v>34843.575923392615</v>
      </c>
      <c r="Q26" s="64">
        <f t="shared" si="2"/>
        <v>11961.180574555403</v>
      </c>
      <c r="R26" s="69">
        <f t="shared" si="9"/>
        <v>49318.575758281731</v>
      </c>
      <c r="S26" s="69">
        <f t="shared" si="3"/>
        <v>36714.976584540469</v>
      </c>
      <c r="T26" s="69">
        <f t="shared" si="4"/>
        <v>12603.599173741266</v>
      </c>
      <c r="U26" s="18">
        <f t="shared" si="10"/>
        <v>0.3</v>
      </c>
      <c r="V26" s="20">
        <f t="shared" si="11"/>
        <v>14041.426949384404</v>
      </c>
      <c r="W26" s="20">
        <f t="shared" si="5"/>
        <v>10453.072777017784</v>
      </c>
      <c r="X26" s="20">
        <f t="shared" si="6"/>
        <v>3588.3541723666208</v>
      </c>
      <c r="Y26" s="19">
        <f t="shared" si="12"/>
        <v>96123.33225622974</v>
      </c>
    </row>
    <row r="27" spans="1:25" x14ac:dyDescent="0.25">
      <c r="A27" s="6">
        <v>17</v>
      </c>
      <c r="B27" s="7" t="s">
        <v>23</v>
      </c>
      <c r="C27" s="83">
        <v>0.74176034900165388</v>
      </c>
      <c r="D27" s="6" t="s">
        <v>87</v>
      </c>
      <c r="E27" s="6">
        <v>8</v>
      </c>
      <c r="F27" s="6"/>
      <c r="G27" s="6" t="s">
        <v>145</v>
      </c>
      <c r="H27" s="71"/>
      <c r="I27" s="62">
        <f>IF(OR(F27="BG", F27="ĐK"),50, VLOOKUP($D$11:$D$107,'Quy định'!$B$10:$E$20,2,0))</f>
        <v>50</v>
      </c>
      <c r="J27" s="62">
        <f>E27*'Quy định'!$C$14</f>
        <v>8</v>
      </c>
      <c r="K27" s="62">
        <f t="shared" si="7"/>
        <v>58</v>
      </c>
      <c r="L27" s="66">
        <f>MAX(VLOOKUP($G$11:$G$107,'Quy định'!$B$11:$D$20,3,0),I27)</f>
        <v>50</v>
      </c>
      <c r="M27" s="67">
        <f>+H27*'Quy định'!$D$20+J27</f>
        <v>8</v>
      </c>
      <c r="N27" s="66">
        <f t="shared" si="0"/>
        <v>58</v>
      </c>
      <c r="O27" s="63">
        <f t="shared" si="8"/>
        <v>46011.455540355673</v>
      </c>
      <c r="P27" s="64">
        <f t="shared" si="1"/>
        <v>34253.006839945279</v>
      </c>
      <c r="Q27" s="64">
        <f t="shared" si="2"/>
        <v>11758.448700410396</v>
      </c>
      <c r="R27" s="69">
        <f t="shared" si="9"/>
        <v>48482.667694582044</v>
      </c>
      <c r="S27" s="69">
        <f t="shared" si="3"/>
        <v>36092.688845819444</v>
      </c>
      <c r="T27" s="69">
        <f t="shared" si="4"/>
        <v>12389.978848762601</v>
      </c>
      <c r="U27" s="18">
        <f t="shared" si="10"/>
        <v>0.3</v>
      </c>
      <c r="V27" s="20">
        <f t="shared" si="11"/>
        <v>13803.436662106702</v>
      </c>
      <c r="W27" s="20">
        <f t="shared" si="5"/>
        <v>10275.902051983583</v>
      </c>
      <c r="X27" s="20">
        <f t="shared" si="6"/>
        <v>3527.5346101231185</v>
      </c>
      <c r="Y27" s="19">
        <f t="shared" si="12"/>
        <v>94494.123234937724</v>
      </c>
    </row>
    <row r="28" spans="1:25" x14ac:dyDescent="0.25">
      <c r="A28" s="6">
        <v>18</v>
      </c>
      <c r="B28" s="7" t="s">
        <v>24</v>
      </c>
      <c r="C28" s="83">
        <v>0.62429326802023488</v>
      </c>
      <c r="D28" s="6" t="s">
        <v>87</v>
      </c>
      <c r="E28" s="6">
        <v>13</v>
      </c>
      <c r="F28" s="6"/>
      <c r="G28" s="6" t="s">
        <v>161</v>
      </c>
      <c r="H28" s="71"/>
      <c r="I28" s="62">
        <f>IF(OR(F28="BG", F28="ĐK"),50, VLOOKUP($D$11:$D$107,'Quy định'!$B$10:$E$20,2,0))</f>
        <v>50</v>
      </c>
      <c r="J28" s="62">
        <f>E28*'Quy định'!$C$14</f>
        <v>13</v>
      </c>
      <c r="K28" s="62">
        <f t="shared" si="7"/>
        <v>63</v>
      </c>
      <c r="L28" s="66">
        <f>MAX(VLOOKUP($G$11:$G$107,'Quy định'!$B$11:$D$20,3,0),I28)</f>
        <v>50</v>
      </c>
      <c r="M28" s="67">
        <f>+H28*'Quy định'!$D$20+J28</f>
        <v>13</v>
      </c>
      <c r="N28" s="66">
        <f t="shared" si="0"/>
        <v>63</v>
      </c>
      <c r="O28" s="63">
        <f t="shared" si="8"/>
        <v>49977.960328317371</v>
      </c>
      <c r="P28" s="64">
        <f t="shared" si="1"/>
        <v>37205.852257181941</v>
      </c>
      <c r="Q28" s="64">
        <f t="shared" si="2"/>
        <v>12772.10807113543</v>
      </c>
      <c r="R28" s="69">
        <f t="shared" si="9"/>
        <v>52662.208013080497</v>
      </c>
      <c r="S28" s="69">
        <f t="shared" si="3"/>
        <v>39204.127539424568</v>
      </c>
      <c r="T28" s="69">
        <f t="shared" si="4"/>
        <v>13458.080473655929</v>
      </c>
      <c r="U28" s="18">
        <f t="shared" si="10"/>
        <v>0.4</v>
      </c>
      <c r="V28" s="20">
        <f t="shared" si="11"/>
        <v>19991.184131326947</v>
      </c>
      <c r="W28" s="20">
        <f t="shared" si="5"/>
        <v>14882.340902872776</v>
      </c>
      <c r="X28" s="20">
        <f t="shared" si="6"/>
        <v>5108.8432284541723</v>
      </c>
      <c r="Y28" s="19">
        <f t="shared" si="12"/>
        <v>102640.16834139786</v>
      </c>
    </row>
    <row r="29" spans="1:25" x14ac:dyDescent="0.25">
      <c r="A29" s="6">
        <v>19</v>
      </c>
      <c r="B29" s="7" t="s">
        <v>25</v>
      </c>
      <c r="C29" s="83">
        <v>0.78242351771486918</v>
      </c>
      <c r="D29" s="6" t="s">
        <v>87</v>
      </c>
      <c r="E29" s="6">
        <v>12</v>
      </c>
      <c r="F29" s="6"/>
      <c r="G29" s="6" t="s">
        <v>161</v>
      </c>
      <c r="H29" s="71"/>
      <c r="I29" s="62">
        <f>IF(OR(F29="BG", F29="ĐK"),50, VLOOKUP($D$11:$D$107,'Quy định'!$B$10:$E$20,2,0))</f>
        <v>50</v>
      </c>
      <c r="J29" s="62">
        <f>E29*'Quy định'!$C$14</f>
        <v>12</v>
      </c>
      <c r="K29" s="62">
        <f t="shared" si="7"/>
        <v>62</v>
      </c>
      <c r="L29" s="66">
        <f>MAX(VLOOKUP($G$11:$G$107,'Quy định'!$B$11:$D$20,3,0),I29)</f>
        <v>50</v>
      </c>
      <c r="M29" s="67">
        <f>+H29*'Quy định'!$D$20+J29</f>
        <v>12</v>
      </c>
      <c r="N29" s="66">
        <f t="shared" si="0"/>
        <v>62</v>
      </c>
      <c r="O29" s="63">
        <f t="shared" si="8"/>
        <v>49184.659370725036</v>
      </c>
      <c r="P29" s="64">
        <f t="shared" si="1"/>
        <v>36615.283173734613</v>
      </c>
      <c r="Q29" s="64">
        <f t="shared" si="2"/>
        <v>12569.376196990423</v>
      </c>
      <c r="R29" s="69">
        <f t="shared" si="9"/>
        <v>51826.299949380802</v>
      </c>
      <c r="S29" s="69">
        <f t="shared" si="3"/>
        <v>38581.839800703543</v>
      </c>
      <c r="T29" s="69">
        <f t="shared" si="4"/>
        <v>13244.460148677263</v>
      </c>
      <c r="U29" s="18">
        <f t="shared" si="10"/>
        <v>0.3</v>
      </c>
      <c r="V29" s="20">
        <f t="shared" si="11"/>
        <v>14755.39781121751</v>
      </c>
      <c r="W29" s="20">
        <f t="shared" si="5"/>
        <v>10984.584952120384</v>
      </c>
      <c r="X29" s="20">
        <f t="shared" si="6"/>
        <v>3770.8128590971264</v>
      </c>
      <c r="Y29" s="19">
        <f t="shared" si="12"/>
        <v>101010.95932010585</v>
      </c>
    </row>
    <row r="30" spans="1:25" x14ac:dyDescent="0.25">
      <c r="A30" s="6">
        <v>20</v>
      </c>
      <c r="B30" s="7" t="s">
        <v>26</v>
      </c>
      <c r="C30" s="83">
        <v>0.79561619529804062</v>
      </c>
      <c r="D30" s="6" t="s">
        <v>87</v>
      </c>
      <c r="E30" s="6">
        <v>8</v>
      </c>
      <c r="F30" s="6"/>
      <c r="G30" s="6" t="s">
        <v>161</v>
      </c>
      <c r="H30" s="71"/>
      <c r="I30" s="62">
        <f>IF(OR(F30="BG", F30="ĐK"),50, VLOOKUP($D$11:$D$107,'Quy định'!$B$10:$E$20,2,0))</f>
        <v>50</v>
      </c>
      <c r="J30" s="62">
        <f>E30*'Quy định'!$C$14</f>
        <v>8</v>
      </c>
      <c r="K30" s="62">
        <f t="shared" si="7"/>
        <v>58</v>
      </c>
      <c r="L30" s="66">
        <f>MAX(VLOOKUP($G$11:$G$107,'Quy định'!$B$11:$D$20,3,0),I30)</f>
        <v>50</v>
      </c>
      <c r="M30" s="67">
        <f>+H30*'Quy định'!$D$20+J30</f>
        <v>8</v>
      </c>
      <c r="N30" s="66">
        <f t="shared" si="0"/>
        <v>58</v>
      </c>
      <c r="O30" s="63">
        <f t="shared" si="8"/>
        <v>46011.455540355673</v>
      </c>
      <c r="P30" s="64">
        <f t="shared" si="1"/>
        <v>34253.006839945279</v>
      </c>
      <c r="Q30" s="64">
        <f t="shared" si="2"/>
        <v>11758.448700410396</v>
      </c>
      <c r="R30" s="69">
        <f t="shared" si="9"/>
        <v>48482.667694582044</v>
      </c>
      <c r="S30" s="69">
        <f t="shared" si="3"/>
        <v>36092.688845819444</v>
      </c>
      <c r="T30" s="69">
        <f t="shared" si="4"/>
        <v>12389.978848762601</v>
      </c>
      <c r="U30" s="18">
        <f t="shared" si="10"/>
        <v>0.3</v>
      </c>
      <c r="V30" s="20">
        <f t="shared" si="11"/>
        <v>13803.436662106702</v>
      </c>
      <c r="W30" s="20">
        <f t="shared" si="5"/>
        <v>10275.902051983583</v>
      </c>
      <c r="X30" s="20">
        <f t="shared" si="6"/>
        <v>3527.5346101231185</v>
      </c>
      <c r="Y30" s="19">
        <f t="shared" si="12"/>
        <v>94494.123234937724</v>
      </c>
    </row>
    <row r="31" spans="1:25" x14ac:dyDescent="0.25">
      <c r="A31" s="6">
        <v>21</v>
      </c>
      <c r="B31" s="7" t="s">
        <v>27</v>
      </c>
      <c r="C31" s="83">
        <v>0.66937733664813159</v>
      </c>
      <c r="D31" s="6" t="s">
        <v>87</v>
      </c>
      <c r="E31" s="6">
        <v>10</v>
      </c>
      <c r="F31" s="6"/>
      <c r="G31" s="6" t="s">
        <v>145</v>
      </c>
      <c r="H31" s="71"/>
      <c r="I31" s="62">
        <f>IF(OR(F31="BG", F31="ĐK"),50, VLOOKUP($D$11:$D$107,'Quy định'!$B$10:$E$20,2,0))</f>
        <v>50</v>
      </c>
      <c r="J31" s="62">
        <f>E31*'Quy định'!$C$14</f>
        <v>10</v>
      </c>
      <c r="K31" s="62">
        <f t="shared" si="7"/>
        <v>60</v>
      </c>
      <c r="L31" s="66">
        <f>MAX(VLOOKUP($G$11:$G$107,'Quy định'!$B$11:$D$20,3,0),I31)</f>
        <v>50</v>
      </c>
      <c r="M31" s="67">
        <f>+H31*'Quy định'!$D$20+J31</f>
        <v>10</v>
      </c>
      <c r="N31" s="66">
        <f t="shared" si="0"/>
        <v>60</v>
      </c>
      <c r="O31" s="63">
        <f t="shared" si="8"/>
        <v>47598.057455540358</v>
      </c>
      <c r="P31" s="64">
        <f t="shared" si="1"/>
        <v>35434.14500683995</v>
      </c>
      <c r="Q31" s="64">
        <f t="shared" si="2"/>
        <v>12163.91244870041</v>
      </c>
      <c r="R31" s="69">
        <f t="shared" si="9"/>
        <v>50154.483821981426</v>
      </c>
      <c r="S31" s="69">
        <f t="shared" si="3"/>
        <v>37337.264323261494</v>
      </c>
      <c r="T31" s="69">
        <f t="shared" si="4"/>
        <v>12817.219498719933</v>
      </c>
      <c r="U31" s="18">
        <f t="shared" si="10"/>
        <v>0.4</v>
      </c>
      <c r="V31" s="20">
        <f t="shared" si="11"/>
        <v>19039.222982216146</v>
      </c>
      <c r="W31" s="20">
        <f t="shared" si="5"/>
        <v>14173.658002735981</v>
      </c>
      <c r="X31" s="20">
        <f t="shared" si="6"/>
        <v>4865.5649794801639</v>
      </c>
      <c r="Y31" s="19">
        <f t="shared" si="12"/>
        <v>97752.541277521785</v>
      </c>
    </row>
    <row r="32" spans="1:25" x14ac:dyDescent="0.25">
      <c r="A32" s="6">
        <v>22</v>
      </c>
      <c r="B32" s="7" t="s">
        <v>28</v>
      </c>
      <c r="C32" s="83">
        <v>0.76917825326783784</v>
      </c>
      <c r="D32" s="6" t="s">
        <v>87</v>
      </c>
      <c r="E32" s="6">
        <v>10</v>
      </c>
      <c r="F32" s="6"/>
      <c r="G32" s="6" t="s">
        <v>145</v>
      </c>
      <c r="H32" s="71"/>
      <c r="I32" s="62">
        <f>IF(OR(F32="BG", F32="ĐK"),50, VLOOKUP($D$11:$D$107,'Quy định'!$B$10:$E$20,2,0))</f>
        <v>50</v>
      </c>
      <c r="J32" s="62">
        <f>E32*'Quy định'!$C$14</f>
        <v>10</v>
      </c>
      <c r="K32" s="62">
        <f t="shared" si="7"/>
        <v>60</v>
      </c>
      <c r="L32" s="66">
        <f>MAX(VLOOKUP($G$11:$G$107,'Quy định'!$B$11:$D$20,3,0),I32)</f>
        <v>50</v>
      </c>
      <c r="M32" s="67">
        <f>+H32*'Quy định'!$D$20+J32</f>
        <v>10</v>
      </c>
      <c r="N32" s="66">
        <f t="shared" si="0"/>
        <v>60</v>
      </c>
      <c r="O32" s="63">
        <f t="shared" si="8"/>
        <v>47598.057455540358</v>
      </c>
      <c r="P32" s="64">
        <f t="shared" si="1"/>
        <v>35434.14500683995</v>
      </c>
      <c r="Q32" s="64">
        <f t="shared" si="2"/>
        <v>12163.91244870041</v>
      </c>
      <c r="R32" s="69">
        <f t="shared" si="9"/>
        <v>50154.483821981426</v>
      </c>
      <c r="S32" s="69">
        <f t="shared" si="3"/>
        <v>37337.264323261494</v>
      </c>
      <c r="T32" s="69">
        <f t="shared" si="4"/>
        <v>12817.219498719933</v>
      </c>
      <c r="U32" s="18">
        <f t="shared" si="10"/>
        <v>0.3</v>
      </c>
      <c r="V32" s="20">
        <f t="shared" si="11"/>
        <v>14279.417236662108</v>
      </c>
      <c r="W32" s="20">
        <f t="shared" si="5"/>
        <v>10630.243502051984</v>
      </c>
      <c r="X32" s="20">
        <f t="shared" si="6"/>
        <v>3649.1737346101231</v>
      </c>
      <c r="Y32" s="19">
        <f t="shared" si="12"/>
        <v>97752.541277521785</v>
      </c>
    </row>
    <row r="33" spans="1:25" x14ac:dyDescent="0.25">
      <c r="A33" s="6">
        <v>23</v>
      </c>
      <c r="B33" s="7" t="s">
        <v>29</v>
      </c>
      <c r="C33" s="83">
        <v>0.64132448653185326</v>
      </c>
      <c r="D33" s="6" t="s">
        <v>87</v>
      </c>
      <c r="E33" s="6">
        <v>5</v>
      </c>
      <c r="F33" s="6"/>
      <c r="G33" s="6" t="s">
        <v>145</v>
      </c>
      <c r="H33" s="71"/>
      <c r="I33" s="62">
        <f>IF(OR(F33="BG", F33="ĐK"),50, VLOOKUP($D$11:$D$107,'Quy định'!$B$10:$E$20,2,0))</f>
        <v>50</v>
      </c>
      <c r="J33" s="62">
        <f>E33*'Quy định'!$C$14</f>
        <v>5</v>
      </c>
      <c r="K33" s="62">
        <f t="shared" si="7"/>
        <v>55</v>
      </c>
      <c r="L33" s="66">
        <f>MAX(VLOOKUP($G$11:$G$107,'Quy định'!$B$11:$D$20,3,0),I33)</f>
        <v>50</v>
      </c>
      <c r="M33" s="67">
        <f>+H33*'Quy định'!$D$20+J33</f>
        <v>5</v>
      </c>
      <c r="N33" s="66">
        <f t="shared" si="0"/>
        <v>55</v>
      </c>
      <c r="O33" s="63">
        <f t="shared" si="8"/>
        <v>43631.55266757866</v>
      </c>
      <c r="P33" s="64">
        <f t="shared" si="1"/>
        <v>32481.299589603284</v>
      </c>
      <c r="Q33" s="64">
        <f t="shared" si="2"/>
        <v>11150.253077975376</v>
      </c>
      <c r="R33" s="69">
        <f t="shared" si="9"/>
        <v>45974.943503482973</v>
      </c>
      <c r="S33" s="69">
        <f t="shared" si="3"/>
        <v>34225.82562965637</v>
      </c>
      <c r="T33" s="69">
        <f t="shared" si="4"/>
        <v>11749.117873826604</v>
      </c>
      <c r="U33" s="18">
        <f t="shared" si="10"/>
        <v>0.4</v>
      </c>
      <c r="V33" s="20">
        <f t="shared" si="11"/>
        <v>17452.621067031465</v>
      </c>
      <c r="W33" s="20">
        <f t="shared" si="5"/>
        <v>12992.519835841314</v>
      </c>
      <c r="X33" s="20">
        <f t="shared" si="6"/>
        <v>4460.1012311901504</v>
      </c>
      <c r="Y33" s="19">
        <f t="shared" si="12"/>
        <v>89606.496171061634</v>
      </c>
    </row>
    <row r="34" spans="1:25" x14ac:dyDescent="0.25">
      <c r="A34" s="6">
        <v>24</v>
      </c>
      <c r="B34" s="7" t="s">
        <v>30</v>
      </c>
      <c r="C34" s="83">
        <v>0.79265213216203723</v>
      </c>
      <c r="D34" s="6" t="s">
        <v>87</v>
      </c>
      <c r="E34" s="6">
        <v>8</v>
      </c>
      <c r="F34" s="6"/>
      <c r="G34" s="6" t="s">
        <v>161</v>
      </c>
      <c r="H34" s="71"/>
      <c r="I34" s="62">
        <f>IF(OR(F34="BG", F34="ĐK"),50, VLOOKUP($D$11:$D$107,'Quy định'!$B$10:$E$20,2,0))</f>
        <v>50</v>
      </c>
      <c r="J34" s="62">
        <f>E34*'Quy định'!$C$14</f>
        <v>8</v>
      </c>
      <c r="K34" s="62">
        <f t="shared" si="7"/>
        <v>58</v>
      </c>
      <c r="L34" s="66">
        <f>MAX(VLOOKUP($G$11:$G$107,'Quy định'!$B$11:$D$20,3,0),I34)</f>
        <v>50</v>
      </c>
      <c r="M34" s="67">
        <f>+H34*'Quy định'!$D$20+J34</f>
        <v>8</v>
      </c>
      <c r="N34" s="66">
        <f t="shared" si="0"/>
        <v>58</v>
      </c>
      <c r="O34" s="63">
        <f t="shared" si="8"/>
        <v>46011.455540355673</v>
      </c>
      <c r="P34" s="64">
        <f t="shared" si="1"/>
        <v>34253.006839945279</v>
      </c>
      <c r="Q34" s="64">
        <f t="shared" si="2"/>
        <v>11758.448700410396</v>
      </c>
      <c r="R34" s="69">
        <f t="shared" si="9"/>
        <v>48482.667694582044</v>
      </c>
      <c r="S34" s="69">
        <f t="shared" si="3"/>
        <v>36092.688845819444</v>
      </c>
      <c r="T34" s="69">
        <f t="shared" si="4"/>
        <v>12389.978848762601</v>
      </c>
      <c r="U34" s="18">
        <f t="shared" si="10"/>
        <v>0.3</v>
      </c>
      <c r="V34" s="20">
        <f t="shared" si="11"/>
        <v>13803.436662106702</v>
      </c>
      <c r="W34" s="20">
        <f t="shared" si="5"/>
        <v>10275.902051983583</v>
      </c>
      <c r="X34" s="20">
        <f t="shared" si="6"/>
        <v>3527.5346101231185</v>
      </c>
      <c r="Y34" s="19">
        <f t="shared" si="12"/>
        <v>94494.123234937724</v>
      </c>
    </row>
    <row r="35" spans="1:25" x14ac:dyDescent="0.25">
      <c r="A35" s="6">
        <v>25</v>
      </c>
      <c r="B35" s="7" t="s">
        <v>31</v>
      </c>
      <c r="C35" s="83">
        <v>0.55331061137845583</v>
      </c>
      <c r="D35" s="6" t="s">
        <v>85</v>
      </c>
      <c r="E35" s="6">
        <v>1</v>
      </c>
      <c r="F35" s="6"/>
      <c r="G35" s="6" t="s">
        <v>159</v>
      </c>
      <c r="H35" s="71"/>
      <c r="I35" s="62">
        <f>IF(OR(F35="BG", F35="ĐK"),50, VLOOKUP($D$11:$D$107,'Quy định'!$B$10:$E$20,2,0))</f>
        <v>40</v>
      </c>
      <c r="J35" s="62">
        <f>E35*'Quy định'!$C$14</f>
        <v>1</v>
      </c>
      <c r="K35" s="62">
        <f t="shared" si="7"/>
        <v>41</v>
      </c>
      <c r="L35" s="66">
        <f>MAX(VLOOKUP($G$11:$G$107,'Quy định'!$B$11:$D$20,3,0),I35)</f>
        <v>40</v>
      </c>
      <c r="M35" s="67">
        <f>+H35*'Quy định'!$D$20+J35</f>
        <v>1</v>
      </c>
      <c r="N35" s="66">
        <f t="shared" si="0"/>
        <v>41</v>
      </c>
      <c r="O35" s="63">
        <f t="shared" si="8"/>
        <v>32525.33926128591</v>
      </c>
      <c r="P35" s="64">
        <f t="shared" si="1"/>
        <v>24213.33242134063</v>
      </c>
      <c r="Q35" s="64">
        <f t="shared" si="2"/>
        <v>8312.0068399452794</v>
      </c>
      <c r="R35" s="69">
        <f t="shared" si="9"/>
        <v>34272.230611687308</v>
      </c>
      <c r="S35" s="69">
        <f t="shared" si="3"/>
        <v>25513.797287562022</v>
      </c>
      <c r="T35" s="69">
        <f t="shared" si="4"/>
        <v>8758.4333241252862</v>
      </c>
      <c r="U35" s="18">
        <f t="shared" si="10"/>
        <v>0.4</v>
      </c>
      <c r="V35" s="20">
        <f t="shared" si="11"/>
        <v>13010.135704514365</v>
      </c>
      <c r="W35" s="20">
        <f t="shared" si="5"/>
        <v>9685.3329685362532</v>
      </c>
      <c r="X35" s="20">
        <f t="shared" si="6"/>
        <v>3324.8027359781117</v>
      </c>
      <c r="Y35" s="19">
        <f t="shared" si="12"/>
        <v>66797.569872973225</v>
      </c>
    </row>
    <row r="36" spans="1:25" x14ac:dyDescent="0.25">
      <c r="A36" s="6">
        <v>26</v>
      </c>
      <c r="B36" s="7" t="s">
        <v>32</v>
      </c>
      <c r="C36" s="83">
        <v>0.63837274909389974</v>
      </c>
      <c r="D36" s="6" t="s">
        <v>78</v>
      </c>
      <c r="E36" s="6"/>
      <c r="F36" s="6"/>
      <c r="G36" s="6" t="s">
        <v>159</v>
      </c>
      <c r="H36" s="71"/>
      <c r="I36" s="62">
        <f>IF(OR(F36="BG", F36="ĐK"),50, VLOOKUP($D$11:$D$107,'Quy định'!$B$10:$E$20,2,0))</f>
        <v>30</v>
      </c>
      <c r="J36" s="62">
        <f>E36*'Quy định'!$C$14</f>
        <v>0</v>
      </c>
      <c r="K36" s="62">
        <f t="shared" si="7"/>
        <v>30</v>
      </c>
      <c r="L36" s="66">
        <f>MAX(VLOOKUP($G$11:$G$107,'Quy định'!$B$11:$D$20,3,0),I36)</f>
        <v>30</v>
      </c>
      <c r="M36" s="67">
        <f>+H36*'Quy định'!$D$20+J36</f>
        <v>0</v>
      </c>
      <c r="N36" s="66">
        <f t="shared" si="0"/>
        <v>30</v>
      </c>
      <c r="O36" s="63">
        <f t="shared" si="8"/>
        <v>23799.028727770179</v>
      </c>
      <c r="P36" s="64">
        <f t="shared" si="1"/>
        <v>17717.072503419975</v>
      </c>
      <c r="Q36" s="64">
        <f t="shared" si="2"/>
        <v>6081.956224350205</v>
      </c>
      <c r="R36" s="69">
        <f t="shared" si="9"/>
        <v>25077.241910990713</v>
      </c>
      <c r="S36" s="69">
        <f t="shared" si="3"/>
        <v>18668.632161630747</v>
      </c>
      <c r="T36" s="69">
        <f t="shared" si="4"/>
        <v>6408.6097493599664</v>
      </c>
      <c r="U36" s="18">
        <f t="shared" si="10"/>
        <v>0.4</v>
      </c>
      <c r="V36" s="20">
        <f t="shared" si="11"/>
        <v>9519.6114911080731</v>
      </c>
      <c r="W36" s="20">
        <f t="shared" si="5"/>
        <v>7086.8290013679907</v>
      </c>
      <c r="X36" s="20">
        <f t="shared" si="6"/>
        <v>2432.7824897400819</v>
      </c>
      <c r="Y36" s="19">
        <f t="shared" si="12"/>
        <v>48876.270638760892</v>
      </c>
    </row>
    <row r="37" spans="1:25" x14ac:dyDescent="0.25">
      <c r="A37" s="6">
        <v>27</v>
      </c>
      <c r="B37" s="7" t="s">
        <v>33</v>
      </c>
      <c r="C37" s="83">
        <v>0.50077608092287862</v>
      </c>
      <c r="D37" s="6" t="s">
        <v>85</v>
      </c>
      <c r="E37" s="6"/>
      <c r="F37" s="6"/>
      <c r="G37" s="6" t="s">
        <v>159</v>
      </c>
      <c r="H37" s="71"/>
      <c r="I37" s="62">
        <f>IF(OR(F37="BG", F37="ĐK"),50, VLOOKUP($D$11:$D$107,'Quy định'!$B$10:$E$20,2,0))</f>
        <v>40</v>
      </c>
      <c r="J37" s="62">
        <f>E37*'Quy định'!$C$14</f>
        <v>0</v>
      </c>
      <c r="K37" s="62">
        <f t="shared" si="7"/>
        <v>40</v>
      </c>
      <c r="L37" s="66">
        <f>MAX(VLOOKUP($G$11:$G$107,'Quy định'!$B$11:$D$20,3,0),I37)</f>
        <v>40</v>
      </c>
      <c r="M37" s="67">
        <f>+H37*'Quy định'!$D$20+J37</f>
        <v>0</v>
      </c>
      <c r="N37" s="66">
        <f t="shared" si="0"/>
        <v>40</v>
      </c>
      <c r="O37" s="63">
        <f t="shared" si="8"/>
        <v>31732.038303693571</v>
      </c>
      <c r="P37" s="64">
        <f t="shared" si="1"/>
        <v>23622.763337893299</v>
      </c>
      <c r="Q37" s="64">
        <f t="shared" si="2"/>
        <v>8109.2749658002731</v>
      </c>
      <c r="R37" s="69">
        <f t="shared" si="9"/>
        <v>33436.322547987613</v>
      </c>
      <c r="S37" s="69">
        <f t="shared" si="3"/>
        <v>24891.509548840993</v>
      </c>
      <c r="T37" s="69">
        <f t="shared" si="4"/>
        <v>8544.8129991466212</v>
      </c>
      <c r="U37" s="18">
        <f t="shared" si="10"/>
        <v>0.4</v>
      </c>
      <c r="V37" s="20">
        <f t="shared" si="11"/>
        <v>12692.815321477428</v>
      </c>
      <c r="W37" s="20">
        <f t="shared" si="5"/>
        <v>9449.1053351573191</v>
      </c>
      <c r="X37" s="20">
        <f t="shared" si="6"/>
        <v>3243.7099863201092</v>
      </c>
      <c r="Y37" s="19">
        <f t="shared" si="12"/>
        <v>65168.36085168118</v>
      </c>
    </row>
    <row r="38" spans="1:25" x14ac:dyDescent="0.25">
      <c r="A38" s="6">
        <v>28</v>
      </c>
      <c r="B38" s="7" t="s">
        <v>34</v>
      </c>
      <c r="C38" s="83">
        <v>0.70133411321468819</v>
      </c>
      <c r="D38" s="6" t="s">
        <v>87</v>
      </c>
      <c r="E38" s="6">
        <v>6</v>
      </c>
      <c r="F38" s="6"/>
      <c r="G38" s="6" t="s">
        <v>159</v>
      </c>
      <c r="H38" s="71"/>
      <c r="I38" s="62">
        <f>IF(OR(F38="BG", F38="ĐK"),50, VLOOKUP($D$11:$D$107,'Quy định'!$B$10:$E$20,2,0))</f>
        <v>50</v>
      </c>
      <c r="J38" s="62">
        <f>E38*'Quy định'!$C$14</f>
        <v>6</v>
      </c>
      <c r="K38" s="62">
        <f t="shared" si="7"/>
        <v>56</v>
      </c>
      <c r="L38" s="66">
        <f>MAX(VLOOKUP($G$11:$G$107,'Quy định'!$B$11:$D$20,3,0),I38)</f>
        <v>50</v>
      </c>
      <c r="M38" s="67">
        <f>+H38*'Quy định'!$D$20+J38</f>
        <v>6</v>
      </c>
      <c r="N38" s="66">
        <f t="shared" si="0"/>
        <v>56</v>
      </c>
      <c r="O38" s="63">
        <f t="shared" si="8"/>
        <v>44424.853625171003</v>
      </c>
      <c r="P38" s="64">
        <f t="shared" si="1"/>
        <v>33071.868673050616</v>
      </c>
      <c r="Q38" s="64">
        <f t="shared" si="2"/>
        <v>11352.984952120383</v>
      </c>
      <c r="R38" s="69">
        <f t="shared" si="9"/>
        <v>46810.851567182661</v>
      </c>
      <c r="S38" s="69">
        <f t="shared" si="3"/>
        <v>34848.113368377395</v>
      </c>
      <c r="T38" s="69">
        <f t="shared" si="4"/>
        <v>11962.738198805269</v>
      </c>
      <c r="U38" s="18">
        <f t="shared" si="10"/>
        <v>0.3</v>
      </c>
      <c r="V38" s="20">
        <f t="shared" si="11"/>
        <v>13327.456087551298</v>
      </c>
      <c r="W38" s="20">
        <f t="shared" si="5"/>
        <v>9921.5606019151837</v>
      </c>
      <c r="X38" s="20">
        <f t="shared" si="6"/>
        <v>3405.8954856361147</v>
      </c>
      <c r="Y38" s="19">
        <f t="shared" si="12"/>
        <v>91235.705192353664</v>
      </c>
    </row>
    <row r="39" spans="1:25" x14ac:dyDescent="0.25">
      <c r="A39" s="6">
        <v>29</v>
      </c>
      <c r="B39" s="7" t="s">
        <v>35</v>
      </c>
      <c r="C39" s="83">
        <v>0.57682358188379357</v>
      </c>
      <c r="D39" s="6" t="s">
        <v>78</v>
      </c>
      <c r="E39" s="6"/>
      <c r="F39" s="6"/>
      <c r="G39" s="6" t="s">
        <v>159</v>
      </c>
      <c r="H39" s="71"/>
      <c r="I39" s="62">
        <f>IF(OR(F39="BG", F39="ĐK"),50, VLOOKUP($D$11:$D$107,'Quy định'!$B$10:$E$20,2,0))</f>
        <v>30</v>
      </c>
      <c r="J39" s="62">
        <f>E39*'Quy định'!$C$14</f>
        <v>0</v>
      </c>
      <c r="K39" s="62">
        <f t="shared" si="7"/>
        <v>30</v>
      </c>
      <c r="L39" s="66">
        <f>MAX(VLOOKUP($G$11:$G$107,'Quy định'!$B$11:$D$20,3,0),I39)</f>
        <v>30</v>
      </c>
      <c r="M39" s="67">
        <f>+H39*'Quy định'!$D$20+J39</f>
        <v>0</v>
      </c>
      <c r="N39" s="66">
        <f t="shared" si="0"/>
        <v>30</v>
      </c>
      <c r="O39" s="63">
        <f t="shared" si="8"/>
        <v>23799.028727770179</v>
      </c>
      <c r="P39" s="64">
        <f t="shared" si="1"/>
        <v>17717.072503419975</v>
      </c>
      <c r="Q39" s="64">
        <f t="shared" si="2"/>
        <v>6081.956224350205</v>
      </c>
      <c r="R39" s="69">
        <f t="shared" si="9"/>
        <v>25077.241910990713</v>
      </c>
      <c r="S39" s="69">
        <f t="shared" si="3"/>
        <v>18668.632161630747</v>
      </c>
      <c r="T39" s="69">
        <f t="shared" si="4"/>
        <v>6408.6097493599664</v>
      </c>
      <c r="U39" s="18">
        <f t="shared" si="10"/>
        <v>0.4</v>
      </c>
      <c r="V39" s="20">
        <f t="shared" si="11"/>
        <v>9519.6114911080731</v>
      </c>
      <c r="W39" s="20">
        <f t="shared" si="5"/>
        <v>7086.8290013679907</v>
      </c>
      <c r="X39" s="20">
        <f t="shared" si="6"/>
        <v>2432.7824897400819</v>
      </c>
      <c r="Y39" s="19">
        <f t="shared" si="12"/>
        <v>48876.270638760892</v>
      </c>
    </row>
    <row r="40" spans="1:25" x14ac:dyDescent="0.25">
      <c r="A40" s="6">
        <v>30</v>
      </c>
      <c r="B40" s="7" t="s">
        <v>36</v>
      </c>
      <c r="C40" s="83">
        <v>0.7326373284474712</v>
      </c>
      <c r="D40" s="6" t="s">
        <v>85</v>
      </c>
      <c r="E40" s="6">
        <v>1</v>
      </c>
      <c r="F40" s="6"/>
      <c r="G40" s="6" t="s">
        <v>159</v>
      </c>
      <c r="H40" s="71"/>
      <c r="I40" s="62">
        <f>IF(OR(F40="BG", F40="ĐK"),50, VLOOKUP($D$11:$D$107,'Quy định'!$B$10:$E$20,2,0))</f>
        <v>40</v>
      </c>
      <c r="J40" s="62">
        <f>E40*'Quy định'!$C$14</f>
        <v>1</v>
      </c>
      <c r="K40" s="62">
        <f t="shared" si="7"/>
        <v>41</v>
      </c>
      <c r="L40" s="66">
        <f>MAX(VLOOKUP($G$11:$G$107,'Quy định'!$B$11:$D$20,3,0),I40)</f>
        <v>40</v>
      </c>
      <c r="M40" s="67">
        <f>+H40*'Quy định'!$D$20+J40</f>
        <v>1</v>
      </c>
      <c r="N40" s="66">
        <f t="shared" si="0"/>
        <v>41</v>
      </c>
      <c r="O40" s="63">
        <f t="shared" si="8"/>
        <v>32525.33926128591</v>
      </c>
      <c r="P40" s="64">
        <f t="shared" si="1"/>
        <v>24213.33242134063</v>
      </c>
      <c r="Q40" s="64">
        <f t="shared" si="2"/>
        <v>8312.0068399452794</v>
      </c>
      <c r="R40" s="69">
        <f t="shared" si="9"/>
        <v>34272.230611687308</v>
      </c>
      <c r="S40" s="69">
        <f t="shared" si="3"/>
        <v>25513.797287562022</v>
      </c>
      <c r="T40" s="69">
        <f t="shared" si="4"/>
        <v>8758.4333241252862</v>
      </c>
      <c r="U40" s="18">
        <f t="shared" si="10"/>
        <v>0.3</v>
      </c>
      <c r="V40" s="20">
        <f t="shared" si="11"/>
        <v>9757.6017783857715</v>
      </c>
      <c r="W40" s="20">
        <f t="shared" si="5"/>
        <v>7263.9997264021886</v>
      </c>
      <c r="X40" s="20">
        <f t="shared" si="6"/>
        <v>2493.6020519835838</v>
      </c>
      <c r="Y40" s="19">
        <f t="shared" si="12"/>
        <v>66797.569872973225</v>
      </c>
    </row>
    <row r="41" spans="1:25" x14ac:dyDescent="0.25">
      <c r="A41" s="6">
        <v>31</v>
      </c>
      <c r="B41" s="7" t="s">
        <v>37</v>
      </c>
      <c r="C41" s="83">
        <v>0.72309178363034221</v>
      </c>
      <c r="D41" s="6" t="s">
        <v>87</v>
      </c>
      <c r="E41" s="6">
        <v>9</v>
      </c>
      <c r="F41" s="6"/>
      <c r="G41" s="6" t="s">
        <v>159</v>
      </c>
      <c r="H41" s="71"/>
      <c r="I41" s="62">
        <f>IF(OR(F41="BG", F41="ĐK"),50, VLOOKUP($D$11:$D$107,'Quy định'!$B$10:$E$20,2,0))</f>
        <v>50</v>
      </c>
      <c r="J41" s="62">
        <f>E41*'Quy định'!$C$14</f>
        <v>9</v>
      </c>
      <c r="K41" s="62">
        <f t="shared" si="7"/>
        <v>59</v>
      </c>
      <c r="L41" s="66">
        <f>MAX(VLOOKUP($G$11:$G$107,'Quy định'!$B$11:$D$20,3,0),I41)</f>
        <v>50</v>
      </c>
      <c r="M41" s="67">
        <f>+H41*'Quy định'!$D$20+J41</f>
        <v>9</v>
      </c>
      <c r="N41" s="66">
        <f t="shared" si="0"/>
        <v>59</v>
      </c>
      <c r="O41" s="63">
        <f t="shared" si="8"/>
        <v>46804.756497948016</v>
      </c>
      <c r="P41" s="64">
        <f t="shared" si="1"/>
        <v>34843.575923392615</v>
      </c>
      <c r="Q41" s="64">
        <f t="shared" si="2"/>
        <v>11961.180574555403</v>
      </c>
      <c r="R41" s="69">
        <f t="shared" si="9"/>
        <v>49318.575758281731</v>
      </c>
      <c r="S41" s="69">
        <f t="shared" si="3"/>
        <v>36714.976584540469</v>
      </c>
      <c r="T41" s="69">
        <f t="shared" si="4"/>
        <v>12603.599173741266</v>
      </c>
      <c r="U41" s="18">
        <f t="shared" si="10"/>
        <v>0.3</v>
      </c>
      <c r="V41" s="20">
        <f t="shared" si="11"/>
        <v>14041.426949384404</v>
      </c>
      <c r="W41" s="20">
        <f t="shared" si="5"/>
        <v>10453.072777017784</v>
      </c>
      <c r="X41" s="20">
        <f t="shared" si="6"/>
        <v>3588.3541723666208</v>
      </c>
      <c r="Y41" s="19">
        <f t="shared" si="12"/>
        <v>96123.33225622974</v>
      </c>
    </row>
    <row r="42" spans="1:25" x14ac:dyDescent="0.25">
      <c r="A42" s="6">
        <v>32</v>
      </c>
      <c r="B42" s="7" t="s">
        <v>38</v>
      </c>
      <c r="C42" s="83">
        <v>0.47326096908657206</v>
      </c>
      <c r="D42" s="6" t="s">
        <v>78</v>
      </c>
      <c r="E42" s="6"/>
      <c r="F42" s="6"/>
      <c r="G42" s="6" t="s">
        <v>159</v>
      </c>
      <c r="H42" s="71"/>
      <c r="I42" s="62">
        <f>IF(OR(F42="BG", F42="ĐK"),50, VLOOKUP($D$11:$D$107,'Quy định'!$B$10:$E$20,2,0))</f>
        <v>30</v>
      </c>
      <c r="J42" s="62">
        <f>E42*'Quy định'!$C$14</f>
        <v>0</v>
      </c>
      <c r="K42" s="62">
        <f t="shared" si="7"/>
        <v>30</v>
      </c>
      <c r="L42" s="66">
        <f>MAX(VLOOKUP($G$11:$G$107,'Quy định'!$B$11:$D$20,3,0),I42)</f>
        <v>30</v>
      </c>
      <c r="M42" s="67">
        <f>+H42*'Quy định'!$D$20+J42</f>
        <v>0</v>
      </c>
      <c r="N42" s="66">
        <f t="shared" si="0"/>
        <v>30</v>
      </c>
      <c r="O42" s="63">
        <f t="shared" si="8"/>
        <v>23799.028727770179</v>
      </c>
      <c r="P42" s="64">
        <f t="shared" si="1"/>
        <v>17717.072503419975</v>
      </c>
      <c r="Q42" s="64">
        <f t="shared" si="2"/>
        <v>6081.956224350205</v>
      </c>
      <c r="R42" s="69">
        <f t="shared" si="9"/>
        <v>25077.241910990713</v>
      </c>
      <c r="S42" s="69">
        <f t="shared" si="3"/>
        <v>18668.632161630747</v>
      </c>
      <c r="T42" s="69">
        <f t="shared" si="4"/>
        <v>6408.6097493599664</v>
      </c>
      <c r="U42" s="18">
        <f t="shared" si="10"/>
        <v>0.4</v>
      </c>
      <c r="V42" s="20">
        <f t="shared" si="11"/>
        <v>9519.6114911080731</v>
      </c>
      <c r="W42" s="20">
        <f t="shared" si="5"/>
        <v>7086.8290013679907</v>
      </c>
      <c r="X42" s="20">
        <f t="shared" si="6"/>
        <v>2432.7824897400819</v>
      </c>
      <c r="Y42" s="19">
        <f t="shared" si="12"/>
        <v>48876.270638760892</v>
      </c>
    </row>
    <row r="43" spans="1:25" x14ac:dyDescent="0.25">
      <c r="A43" s="6">
        <v>33</v>
      </c>
      <c r="B43" s="7" t="s">
        <v>39</v>
      </c>
      <c r="C43" s="83">
        <v>0.65650991682661552</v>
      </c>
      <c r="D43" s="6" t="s">
        <v>87</v>
      </c>
      <c r="E43" s="6">
        <v>9</v>
      </c>
      <c r="F43" s="6"/>
      <c r="G43" s="6" t="s">
        <v>161</v>
      </c>
      <c r="H43" s="71"/>
      <c r="I43" s="62">
        <f>IF(OR(F43="BG", F43="ĐK"),50, VLOOKUP($D$11:$D$107,'Quy định'!$B$10:$E$20,2,0))</f>
        <v>50</v>
      </c>
      <c r="J43" s="62">
        <f>E43*'Quy định'!$C$14</f>
        <v>9</v>
      </c>
      <c r="K43" s="62">
        <f t="shared" si="7"/>
        <v>59</v>
      </c>
      <c r="L43" s="66">
        <f>MAX(VLOOKUP($G$11:$G$107,'Quy định'!$B$11:$D$20,3,0),I43)</f>
        <v>50</v>
      </c>
      <c r="M43" s="67">
        <f>+H43*'Quy định'!$D$20+J43</f>
        <v>9</v>
      </c>
      <c r="N43" s="66">
        <f t="shared" ref="N43:N73" si="13">SUM(L43:M43)</f>
        <v>59</v>
      </c>
      <c r="O43" s="63">
        <f t="shared" si="8"/>
        <v>46804.756497948016</v>
      </c>
      <c r="P43" s="64">
        <f t="shared" ref="P43:P74" si="14">+K43*$P$2</f>
        <v>34843.575923392615</v>
      </c>
      <c r="Q43" s="64">
        <f t="shared" ref="Q43:Q74" si="15">+K43*$Q$2</f>
        <v>11961.180574555403</v>
      </c>
      <c r="R43" s="69">
        <f t="shared" si="9"/>
        <v>49318.575758281731</v>
      </c>
      <c r="S43" s="69">
        <f t="shared" si="3"/>
        <v>36714.976584540469</v>
      </c>
      <c r="T43" s="69">
        <f t="shared" si="4"/>
        <v>12603.599173741266</v>
      </c>
      <c r="U43" s="18">
        <f t="shared" si="10"/>
        <v>0.4</v>
      </c>
      <c r="V43" s="20">
        <f t="shared" si="11"/>
        <v>18721.902599179208</v>
      </c>
      <c r="W43" s="20">
        <f t="shared" si="5"/>
        <v>13937.430369357047</v>
      </c>
      <c r="X43" s="20">
        <f t="shared" si="6"/>
        <v>4784.4722298221614</v>
      </c>
      <c r="Y43" s="19">
        <f t="shared" si="12"/>
        <v>96123.33225622974</v>
      </c>
    </row>
    <row r="44" spans="1:25" x14ac:dyDescent="0.25">
      <c r="A44" s="6">
        <v>34</v>
      </c>
      <c r="B44" s="7" t="s">
        <v>40</v>
      </c>
      <c r="C44" s="83">
        <v>0.47438869150532936</v>
      </c>
      <c r="D44" s="6" t="s">
        <v>85</v>
      </c>
      <c r="E44" s="6">
        <v>6</v>
      </c>
      <c r="F44" s="6"/>
      <c r="G44" s="6" t="s">
        <v>145</v>
      </c>
      <c r="H44" s="71"/>
      <c r="I44" s="62">
        <f>IF(OR(F44="BG", F44="ĐK"),50, VLOOKUP($D$11:$D$107,'Quy định'!$B$10:$E$20,2,0))</f>
        <v>40</v>
      </c>
      <c r="J44" s="62">
        <f>E44*'Quy định'!$C$14</f>
        <v>6</v>
      </c>
      <c r="K44" s="62">
        <f t="shared" si="7"/>
        <v>46</v>
      </c>
      <c r="L44" s="66">
        <f>MAX(VLOOKUP($G$11:$G$107,'Quy định'!$B$11:$D$20,3,0),I44)</f>
        <v>40</v>
      </c>
      <c r="M44" s="67">
        <f>+H44*'Quy định'!$D$20+J44</f>
        <v>6</v>
      </c>
      <c r="N44" s="66">
        <f t="shared" si="13"/>
        <v>46</v>
      </c>
      <c r="O44" s="63">
        <f t="shared" si="8"/>
        <v>36491.844049247607</v>
      </c>
      <c r="P44" s="64">
        <f t="shared" si="14"/>
        <v>27166.177838577292</v>
      </c>
      <c r="Q44" s="64">
        <f t="shared" si="15"/>
        <v>9325.6662106703134</v>
      </c>
      <c r="R44" s="69">
        <f t="shared" si="9"/>
        <v>38451.770930185761</v>
      </c>
      <c r="S44" s="69">
        <f t="shared" si="3"/>
        <v>28625.235981167145</v>
      </c>
      <c r="T44" s="69">
        <f t="shared" si="4"/>
        <v>9826.5349490186145</v>
      </c>
      <c r="U44" s="18">
        <f t="shared" si="10"/>
        <v>0.4</v>
      </c>
      <c r="V44" s="20">
        <f t="shared" si="11"/>
        <v>14596.737619699044</v>
      </c>
      <c r="W44" s="20">
        <f t="shared" si="5"/>
        <v>10866.471135430918</v>
      </c>
      <c r="X44" s="20">
        <f t="shared" si="6"/>
        <v>3730.2664842681256</v>
      </c>
      <c r="Y44" s="19">
        <f t="shared" si="12"/>
        <v>74943.614979433361</v>
      </c>
    </row>
    <row r="45" spans="1:25" x14ac:dyDescent="0.25">
      <c r="A45" s="6">
        <v>35</v>
      </c>
      <c r="B45" s="7" t="s">
        <v>41</v>
      </c>
      <c r="C45" s="83">
        <v>0.70885955448372151</v>
      </c>
      <c r="D45" s="6" t="s">
        <v>87</v>
      </c>
      <c r="E45" s="6">
        <v>12</v>
      </c>
      <c r="F45" s="6"/>
      <c r="G45" s="6" t="s">
        <v>161</v>
      </c>
      <c r="H45" s="71"/>
      <c r="I45" s="62">
        <f>IF(OR(F45="BG", F45="ĐK"),50, VLOOKUP($D$11:$D$107,'Quy định'!$B$10:$E$20,2,0))</f>
        <v>50</v>
      </c>
      <c r="J45" s="62">
        <f>E45*'Quy định'!$C$14</f>
        <v>12</v>
      </c>
      <c r="K45" s="62">
        <f t="shared" si="7"/>
        <v>62</v>
      </c>
      <c r="L45" s="66">
        <f>MAX(VLOOKUP($G$11:$G$107,'Quy định'!$B$11:$D$20,3,0),I45)</f>
        <v>50</v>
      </c>
      <c r="M45" s="67">
        <f>+H45*'Quy định'!$D$20+J45</f>
        <v>12</v>
      </c>
      <c r="N45" s="66">
        <f t="shared" si="13"/>
        <v>62</v>
      </c>
      <c r="O45" s="63">
        <f t="shared" si="8"/>
        <v>49184.659370725036</v>
      </c>
      <c r="P45" s="64">
        <f t="shared" si="14"/>
        <v>36615.283173734613</v>
      </c>
      <c r="Q45" s="64">
        <f t="shared" si="15"/>
        <v>12569.376196990423</v>
      </c>
      <c r="R45" s="69">
        <f t="shared" si="9"/>
        <v>51826.299949380802</v>
      </c>
      <c r="S45" s="69">
        <f t="shared" si="3"/>
        <v>38581.839800703543</v>
      </c>
      <c r="T45" s="69">
        <f t="shared" si="4"/>
        <v>13244.460148677263</v>
      </c>
      <c r="U45" s="18">
        <f t="shared" si="10"/>
        <v>0.3</v>
      </c>
      <c r="V45" s="20">
        <f t="shared" si="11"/>
        <v>14755.39781121751</v>
      </c>
      <c r="W45" s="20">
        <f t="shared" si="5"/>
        <v>10984.584952120384</v>
      </c>
      <c r="X45" s="20">
        <f t="shared" si="6"/>
        <v>3770.8128590971264</v>
      </c>
      <c r="Y45" s="19">
        <f t="shared" si="12"/>
        <v>101010.95932010585</v>
      </c>
    </row>
    <row r="46" spans="1:25" x14ac:dyDescent="0.25">
      <c r="A46" s="6">
        <v>36</v>
      </c>
      <c r="B46" s="7" t="s">
        <v>42</v>
      </c>
      <c r="C46" s="83">
        <v>0.76398301928949131</v>
      </c>
      <c r="D46" s="6" t="s">
        <v>87</v>
      </c>
      <c r="E46" s="6">
        <v>22</v>
      </c>
      <c r="F46" s="6"/>
      <c r="G46" s="6" t="s">
        <v>161</v>
      </c>
      <c r="H46" s="71"/>
      <c r="I46" s="62">
        <f>IF(OR(F46="BG", F46="ĐK"),50, VLOOKUP($D$11:$D$107,'Quy định'!$B$10:$E$20,2,0))</f>
        <v>50</v>
      </c>
      <c r="J46" s="62">
        <f>E46*'Quy định'!$C$14</f>
        <v>22</v>
      </c>
      <c r="K46" s="62">
        <f t="shared" si="7"/>
        <v>72</v>
      </c>
      <c r="L46" s="66">
        <f>MAX(VLOOKUP($G$11:$G$107,'Quy định'!$B$11:$D$20,3,0),I46)</f>
        <v>50</v>
      </c>
      <c r="M46" s="67">
        <f>+H46*'Quy định'!$D$20+J46</f>
        <v>22</v>
      </c>
      <c r="N46" s="66">
        <f t="shared" si="13"/>
        <v>72</v>
      </c>
      <c r="O46" s="63">
        <f t="shared" si="8"/>
        <v>57117.668946648424</v>
      </c>
      <c r="P46" s="64">
        <f t="shared" si="14"/>
        <v>42520.974008207937</v>
      </c>
      <c r="Q46" s="64">
        <f t="shared" si="15"/>
        <v>14596.694938440491</v>
      </c>
      <c r="R46" s="69">
        <f t="shared" si="9"/>
        <v>60185.380586377709</v>
      </c>
      <c r="S46" s="69">
        <f t="shared" si="3"/>
        <v>44804.71718791379</v>
      </c>
      <c r="T46" s="69">
        <f t="shared" si="4"/>
        <v>15380.663398463919</v>
      </c>
      <c r="U46" s="18">
        <f t="shared" si="10"/>
        <v>0.3</v>
      </c>
      <c r="V46" s="20">
        <f t="shared" si="11"/>
        <v>17135.300683994526</v>
      </c>
      <c r="W46" s="20">
        <f t="shared" si="5"/>
        <v>12756.29220246238</v>
      </c>
      <c r="X46" s="20">
        <f t="shared" si="6"/>
        <v>4379.008481532147</v>
      </c>
      <c r="Y46" s="19">
        <f t="shared" si="12"/>
        <v>117303.04953302613</v>
      </c>
    </row>
    <row r="47" spans="1:25" x14ac:dyDescent="0.25">
      <c r="A47" s="6">
        <v>37</v>
      </c>
      <c r="B47" s="7" t="s">
        <v>43</v>
      </c>
      <c r="C47" s="83">
        <v>0.76230875823647526</v>
      </c>
      <c r="D47" s="6" t="s">
        <v>87</v>
      </c>
      <c r="E47" s="6">
        <v>13</v>
      </c>
      <c r="F47" s="6"/>
      <c r="G47" s="6" t="s">
        <v>161</v>
      </c>
      <c r="H47" s="71"/>
      <c r="I47" s="62">
        <f>IF(OR(F47="BG", F47="ĐK"),50, VLOOKUP($D$11:$D$107,'Quy định'!$B$10:$E$20,2,0))</f>
        <v>50</v>
      </c>
      <c r="J47" s="62">
        <f>E47*'Quy định'!$C$14</f>
        <v>13</v>
      </c>
      <c r="K47" s="62">
        <f t="shared" si="7"/>
        <v>63</v>
      </c>
      <c r="L47" s="66">
        <f>MAX(VLOOKUP($G$11:$G$107,'Quy định'!$B$11:$D$20,3,0),I47)</f>
        <v>50</v>
      </c>
      <c r="M47" s="67">
        <f>+H47*'Quy định'!$D$20+J47</f>
        <v>13</v>
      </c>
      <c r="N47" s="66">
        <f t="shared" si="13"/>
        <v>63</v>
      </c>
      <c r="O47" s="63">
        <f t="shared" si="8"/>
        <v>49977.960328317371</v>
      </c>
      <c r="P47" s="64">
        <f t="shared" si="14"/>
        <v>37205.852257181941</v>
      </c>
      <c r="Q47" s="64">
        <f t="shared" si="15"/>
        <v>12772.10807113543</v>
      </c>
      <c r="R47" s="69">
        <f t="shared" si="9"/>
        <v>52662.208013080497</v>
      </c>
      <c r="S47" s="69">
        <f t="shared" si="3"/>
        <v>39204.127539424568</v>
      </c>
      <c r="T47" s="69">
        <f t="shared" si="4"/>
        <v>13458.080473655929</v>
      </c>
      <c r="U47" s="18">
        <f t="shared" si="10"/>
        <v>0.3</v>
      </c>
      <c r="V47" s="20">
        <f t="shared" si="11"/>
        <v>14993.388098495212</v>
      </c>
      <c r="W47" s="20">
        <f t="shared" si="5"/>
        <v>11161.755677154582</v>
      </c>
      <c r="X47" s="20">
        <f t="shared" si="6"/>
        <v>3831.6324213406288</v>
      </c>
      <c r="Y47" s="19">
        <f t="shared" si="12"/>
        <v>102640.16834139786</v>
      </c>
    </row>
    <row r="48" spans="1:25" x14ac:dyDescent="0.25">
      <c r="A48" s="6">
        <v>38</v>
      </c>
      <c r="B48" s="7" t="s">
        <v>44</v>
      </c>
      <c r="C48" s="83">
        <v>0.60415499448771937</v>
      </c>
      <c r="D48" s="6" t="s">
        <v>87</v>
      </c>
      <c r="E48" s="6">
        <v>14</v>
      </c>
      <c r="F48" s="6"/>
      <c r="G48" s="6" t="s">
        <v>161</v>
      </c>
      <c r="H48" s="71"/>
      <c r="I48" s="62">
        <f>IF(OR(F48="BG", F48="ĐK"),50, VLOOKUP($D$11:$D$107,'Quy định'!$B$10:$E$20,2,0))</f>
        <v>50</v>
      </c>
      <c r="J48" s="62">
        <f>E48*'Quy định'!$C$14</f>
        <v>14</v>
      </c>
      <c r="K48" s="62">
        <f t="shared" si="7"/>
        <v>64</v>
      </c>
      <c r="L48" s="66">
        <f>MAX(VLOOKUP($G$11:$G$107,'Quy định'!$B$11:$D$20,3,0),I48)</f>
        <v>50</v>
      </c>
      <c r="M48" s="67">
        <f>+H48*'Quy định'!$D$20+J48</f>
        <v>14</v>
      </c>
      <c r="N48" s="66">
        <f t="shared" si="13"/>
        <v>64</v>
      </c>
      <c r="O48" s="63">
        <f t="shared" si="8"/>
        <v>50771.261285909713</v>
      </c>
      <c r="P48" s="64">
        <f t="shared" si="14"/>
        <v>37796.421340629277</v>
      </c>
      <c r="Q48" s="64">
        <f t="shared" si="15"/>
        <v>12974.839945280437</v>
      </c>
      <c r="R48" s="69">
        <f t="shared" si="9"/>
        <v>53498.116076780185</v>
      </c>
      <c r="S48" s="69">
        <f t="shared" si="3"/>
        <v>39826.415278145592</v>
      </c>
      <c r="T48" s="69">
        <f t="shared" si="4"/>
        <v>13671.700798634594</v>
      </c>
      <c r="U48" s="18">
        <f t="shared" si="10"/>
        <v>0.4</v>
      </c>
      <c r="V48" s="20">
        <f t="shared" si="11"/>
        <v>20308.504514363885</v>
      </c>
      <c r="W48" s="20">
        <f t="shared" si="5"/>
        <v>15118.568536251711</v>
      </c>
      <c r="X48" s="20">
        <f t="shared" si="6"/>
        <v>5189.9359781121748</v>
      </c>
      <c r="Y48" s="19">
        <f t="shared" si="12"/>
        <v>104269.37736268991</v>
      </c>
    </row>
    <row r="49" spans="1:25" x14ac:dyDescent="0.25">
      <c r="A49" s="6">
        <v>39</v>
      </c>
      <c r="B49" s="7" t="s">
        <v>45</v>
      </c>
      <c r="C49" s="83">
        <v>0.72721366010863631</v>
      </c>
      <c r="D49" s="6" t="s">
        <v>87</v>
      </c>
      <c r="E49" s="6">
        <v>27</v>
      </c>
      <c r="F49" s="6"/>
      <c r="G49" s="6" t="s">
        <v>161</v>
      </c>
      <c r="H49" s="71"/>
      <c r="I49" s="62">
        <f>IF(OR(F49="BG", F49="ĐK"),50, VLOOKUP($D$11:$D$107,'Quy định'!$B$10:$E$20,2,0))</f>
        <v>50</v>
      </c>
      <c r="J49" s="62">
        <f>E49*'Quy định'!$C$14</f>
        <v>27</v>
      </c>
      <c r="K49" s="62">
        <f t="shared" si="7"/>
        <v>77</v>
      </c>
      <c r="L49" s="66">
        <f>MAX(VLOOKUP($G$11:$G$107,'Quy định'!$B$11:$D$20,3,0),I49)</f>
        <v>50</v>
      </c>
      <c r="M49" s="67">
        <f>+H49*'Quy định'!$D$20+J49</f>
        <v>27</v>
      </c>
      <c r="N49" s="66">
        <f t="shared" si="13"/>
        <v>77</v>
      </c>
      <c r="O49" s="63">
        <f t="shared" si="8"/>
        <v>61084.173734610129</v>
      </c>
      <c r="P49" s="64">
        <f t="shared" si="14"/>
        <v>45473.819425444599</v>
      </c>
      <c r="Q49" s="64">
        <f t="shared" si="15"/>
        <v>15610.354309165527</v>
      </c>
      <c r="R49" s="69">
        <f t="shared" si="9"/>
        <v>64364.920904876155</v>
      </c>
      <c r="S49" s="69">
        <f t="shared" si="3"/>
        <v>47916.155881518913</v>
      </c>
      <c r="T49" s="69">
        <f t="shared" si="4"/>
        <v>16448.765023357246</v>
      </c>
      <c r="U49" s="18">
        <f t="shared" si="10"/>
        <v>0.3</v>
      </c>
      <c r="V49" s="20">
        <f t="shared" si="11"/>
        <v>18325.252120383037</v>
      </c>
      <c r="W49" s="20">
        <f t="shared" si="5"/>
        <v>13642.14582763338</v>
      </c>
      <c r="X49" s="20">
        <f t="shared" si="6"/>
        <v>4683.1062927496578</v>
      </c>
      <c r="Y49" s="19">
        <f t="shared" si="12"/>
        <v>125449.09463948628</v>
      </c>
    </row>
    <row r="50" spans="1:25" x14ac:dyDescent="0.25">
      <c r="A50" s="6">
        <v>40</v>
      </c>
      <c r="B50" s="7" t="s">
        <v>46</v>
      </c>
      <c r="C50" s="83">
        <v>0.53161611827992472</v>
      </c>
      <c r="D50" s="6" t="s">
        <v>85</v>
      </c>
      <c r="E50" s="6">
        <v>8</v>
      </c>
      <c r="F50" s="6" t="s">
        <v>91</v>
      </c>
      <c r="G50" s="6" t="s">
        <v>159</v>
      </c>
      <c r="H50" s="71"/>
      <c r="I50" s="62">
        <f>IF(OR(F50="BG", F50="ĐK"),50, VLOOKUP($D$11:$D$107,'Quy định'!$B$10:$E$20,2,0))</f>
        <v>50</v>
      </c>
      <c r="J50" s="62">
        <f>E50*'Quy định'!$C$14</f>
        <v>8</v>
      </c>
      <c r="K50" s="62">
        <f t="shared" si="7"/>
        <v>58</v>
      </c>
      <c r="L50" s="66">
        <f>MAX(VLOOKUP($G$11:$G$107,'Quy định'!$B$11:$D$20,3,0),I50)</f>
        <v>50</v>
      </c>
      <c r="M50" s="67">
        <f>+H50*'Quy định'!$D$20+J50</f>
        <v>8</v>
      </c>
      <c r="N50" s="66">
        <f t="shared" si="13"/>
        <v>58</v>
      </c>
      <c r="O50" s="63">
        <f t="shared" si="8"/>
        <v>46011.455540355673</v>
      </c>
      <c r="P50" s="64">
        <f t="shared" si="14"/>
        <v>34253.006839945279</v>
      </c>
      <c r="Q50" s="64">
        <f t="shared" si="15"/>
        <v>11758.448700410396</v>
      </c>
      <c r="R50" s="69">
        <f t="shared" si="9"/>
        <v>48482.667694582044</v>
      </c>
      <c r="S50" s="69">
        <f t="shared" si="3"/>
        <v>36092.688845819444</v>
      </c>
      <c r="T50" s="69">
        <f t="shared" si="4"/>
        <v>12389.978848762601</v>
      </c>
      <c r="U50" s="18">
        <f t="shared" si="10"/>
        <v>0.4</v>
      </c>
      <c r="V50" s="20">
        <f t="shared" si="11"/>
        <v>18404.582216142273</v>
      </c>
      <c r="W50" s="20">
        <f t="shared" si="5"/>
        <v>13701.202735978113</v>
      </c>
      <c r="X50" s="20">
        <f t="shared" si="6"/>
        <v>4703.3794801641588</v>
      </c>
      <c r="Y50" s="19">
        <f t="shared" si="12"/>
        <v>94494.123234937724</v>
      </c>
    </row>
    <row r="51" spans="1:25" x14ac:dyDescent="0.25">
      <c r="A51" s="6">
        <v>41</v>
      </c>
      <c r="B51" s="7" t="s">
        <v>47</v>
      </c>
      <c r="C51" s="83">
        <v>0.66582210242587603</v>
      </c>
      <c r="D51" s="6" t="s">
        <v>85</v>
      </c>
      <c r="E51" s="6">
        <v>5</v>
      </c>
      <c r="F51" s="6" t="s">
        <v>91</v>
      </c>
      <c r="G51" s="6" t="s">
        <v>159</v>
      </c>
      <c r="H51" s="71"/>
      <c r="I51" s="62">
        <f>IF(OR(F51="BG", F51="ĐK"),50, VLOOKUP($D$11:$D$107,'Quy định'!$B$10:$E$20,2,0))</f>
        <v>50</v>
      </c>
      <c r="J51" s="62">
        <f>E51*'Quy định'!$C$14</f>
        <v>5</v>
      </c>
      <c r="K51" s="62">
        <f t="shared" si="7"/>
        <v>55</v>
      </c>
      <c r="L51" s="66">
        <f>MAX(VLOOKUP($G$11:$G$107,'Quy định'!$B$11:$D$20,3,0),I51)</f>
        <v>50</v>
      </c>
      <c r="M51" s="67">
        <f>+H51*'Quy định'!$D$20+J51</f>
        <v>5</v>
      </c>
      <c r="N51" s="66">
        <f t="shared" si="13"/>
        <v>55</v>
      </c>
      <c r="O51" s="63">
        <f t="shared" si="8"/>
        <v>43631.55266757866</v>
      </c>
      <c r="P51" s="64">
        <f t="shared" si="14"/>
        <v>32481.299589603284</v>
      </c>
      <c r="Q51" s="64">
        <f t="shared" si="15"/>
        <v>11150.253077975376</v>
      </c>
      <c r="R51" s="69">
        <f t="shared" si="9"/>
        <v>45974.943503482973</v>
      </c>
      <c r="S51" s="69">
        <f t="shared" si="3"/>
        <v>34225.82562965637</v>
      </c>
      <c r="T51" s="69">
        <f t="shared" si="4"/>
        <v>11749.117873826604</v>
      </c>
      <c r="U51" s="18">
        <f t="shared" si="10"/>
        <v>0.4</v>
      </c>
      <c r="V51" s="20">
        <f t="shared" si="11"/>
        <v>17452.621067031465</v>
      </c>
      <c r="W51" s="20">
        <f t="shared" si="5"/>
        <v>12992.519835841314</v>
      </c>
      <c r="X51" s="20">
        <f t="shared" si="6"/>
        <v>4460.1012311901504</v>
      </c>
      <c r="Y51" s="19">
        <f t="shared" si="12"/>
        <v>89606.496171061634</v>
      </c>
    </row>
    <row r="52" spans="1:25" x14ac:dyDescent="0.25">
      <c r="A52" s="6">
        <v>42</v>
      </c>
      <c r="B52" s="7" t="s">
        <v>48</v>
      </c>
      <c r="C52" s="83">
        <v>0.2578800597166277</v>
      </c>
      <c r="D52" s="6" t="s">
        <v>85</v>
      </c>
      <c r="E52" s="6">
        <v>9</v>
      </c>
      <c r="F52" s="6" t="s">
        <v>91</v>
      </c>
      <c r="G52" s="6" t="s">
        <v>159</v>
      </c>
      <c r="H52" s="71"/>
      <c r="I52" s="62">
        <f>IF(OR(F52="BG", F52="ĐK"),50, VLOOKUP($D$11:$D$107,'Quy định'!$B$10:$E$20,2,0))</f>
        <v>50</v>
      </c>
      <c r="J52" s="62">
        <f>E52*'Quy định'!$C$14</f>
        <v>9</v>
      </c>
      <c r="K52" s="62">
        <f t="shared" si="7"/>
        <v>59</v>
      </c>
      <c r="L52" s="66">
        <f>MAX(VLOOKUP($G$11:$G$107,'Quy định'!$B$11:$D$20,3,0),I52)</f>
        <v>50</v>
      </c>
      <c r="M52" s="67">
        <f>+H52*'Quy định'!$D$20+J52</f>
        <v>9</v>
      </c>
      <c r="N52" s="66">
        <f t="shared" si="13"/>
        <v>59</v>
      </c>
      <c r="O52" s="63">
        <f t="shared" si="8"/>
        <v>46804.756497948016</v>
      </c>
      <c r="P52" s="64">
        <f t="shared" si="14"/>
        <v>34843.575923392615</v>
      </c>
      <c r="Q52" s="64">
        <f t="shared" si="15"/>
        <v>11961.180574555403</v>
      </c>
      <c r="R52" s="69">
        <f t="shared" si="9"/>
        <v>49318.575758281731</v>
      </c>
      <c r="S52" s="69">
        <f t="shared" si="3"/>
        <v>36714.976584540469</v>
      </c>
      <c r="T52" s="69">
        <f t="shared" si="4"/>
        <v>12603.599173741266</v>
      </c>
      <c r="U52" s="18">
        <f t="shared" si="10"/>
        <v>0.5</v>
      </c>
      <c r="V52" s="20">
        <f t="shared" si="11"/>
        <v>23402.378248974008</v>
      </c>
      <c r="W52" s="20">
        <f t="shared" si="5"/>
        <v>17421.787961696307</v>
      </c>
      <c r="X52" s="20">
        <f t="shared" si="6"/>
        <v>5980.5902872777015</v>
      </c>
      <c r="Y52" s="19">
        <f t="shared" si="12"/>
        <v>96123.33225622974</v>
      </c>
    </row>
    <row r="53" spans="1:25" x14ac:dyDescent="0.25">
      <c r="A53" s="6">
        <v>43</v>
      </c>
      <c r="B53" s="7" t="s">
        <v>49</v>
      </c>
      <c r="C53" s="83">
        <v>0.4583787496453795</v>
      </c>
      <c r="D53" s="6" t="s">
        <v>87</v>
      </c>
      <c r="E53" s="6">
        <v>8</v>
      </c>
      <c r="F53" s="6"/>
      <c r="G53" s="6" t="s">
        <v>161</v>
      </c>
      <c r="H53" s="71"/>
      <c r="I53" s="62">
        <f>IF(OR(F53="BG", F53="ĐK"),50, VLOOKUP($D$11:$D$107,'Quy định'!$B$10:$E$20,2,0))</f>
        <v>50</v>
      </c>
      <c r="J53" s="62">
        <f>E53*'Quy định'!$C$14</f>
        <v>8</v>
      </c>
      <c r="K53" s="62">
        <f t="shared" si="7"/>
        <v>58</v>
      </c>
      <c r="L53" s="66">
        <f>MAX(VLOOKUP($G$11:$G$107,'Quy định'!$B$11:$D$20,3,0),I53)</f>
        <v>50</v>
      </c>
      <c r="M53" s="67">
        <f>+H53*'Quy định'!$D$20+J53</f>
        <v>8</v>
      </c>
      <c r="N53" s="66">
        <f t="shared" si="13"/>
        <v>58</v>
      </c>
      <c r="O53" s="63">
        <f t="shared" si="8"/>
        <v>46011.455540355673</v>
      </c>
      <c r="P53" s="64">
        <f t="shared" si="14"/>
        <v>34253.006839945279</v>
      </c>
      <c r="Q53" s="64">
        <f t="shared" si="15"/>
        <v>11758.448700410396</v>
      </c>
      <c r="R53" s="69">
        <f t="shared" si="9"/>
        <v>48482.667694582044</v>
      </c>
      <c r="S53" s="69">
        <f t="shared" si="3"/>
        <v>36092.688845819444</v>
      </c>
      <c r="T53" s="69">
        <f t="shared" si="4"/>
        <v>12389.978848762601</v>
      </c>
      <c r="U53" s="18">
        <f t="shared" si="10"/>
        <v>0.4</v>
      </c>
      <c r="V53" s="20">
        <f t="shared" si="11"/>
        <v>18404.582216142273</v>
      </c>
      <c r="W53" s="20">
        <f t="shared" si="5"/>
        <v>13701.202735978113</v>
      </c>
      <c r="X53" s="20">
        <f t="shared" si="6"/>
        <v>4703.3794801641588</v>
      </c>
      <c r="Y53" s="19">
        <f t="shared" si="12"/>
        <v>94494.123234937724</v>
      </c>
    </row>
    <row r="54" spans="1:25" x14ac:dyDescent="0.25">
      <c r="A54" s="6">
        <v>44</v>
      </c>
      <c r="B54" s="7" t="s">
        <v>50</v>
      </c>
      <c r="C54" s="83">
        <v>0.79760875095395578</v>
      </c>
      <c r="D54" s="6" t="s">
        <v>87</v>
      </c>
      <c r="E54" s="6">
        <v>21</v>
      </c>
      <c r="F54" s="6"/>
      <c r="G54" s="6" t="s">
        <v>161</v>
      </c>
      <c r="H54" s="71"/>
      <c r="I54" s="62">
        <f>IF(OR(F54="BG", F54="ĐK"),50, VLOOKUP($D$11:$D$107,'Quy định'!$B$10:$E$20,2,0))</f>
        <v>50</v>
      </c>
      <c r="J54" s="62">
        <f>E54*'Quy định'!$C$14</f>
        <v>21</v>
      </c>
      <c r="K54" s="62">
        <f t="shared" si="7"/>
        <v>71</v>
      </c>
      <c r="L54" s="66">
        <f>MAX(VLOOKUP($G$11:$G$107,'Quy định'!$B$11:$D$20,3,0),I54)</f>
        <v>50</v>
      </c>
      <c r="M54" s="67">
        <f>+H54*'Quy định'!$D$20+J54</f>
        <v>21</v>
      </c>
      <c r="N54" s="66">
        <f t="shared" si="13"/>
        <v>71</v>
      </c>
      <c r="O54" s="63">
        <f t="shared" si="8"/>
        <v>56324.367989056089</v>
      </c>
      <c r="P54" s="64">
        <f t="shared" si="14"/>
        <v>41930.404924760602</v>
      </c>
      <c r="Q54" s="64">
        <f t="shared" si="15"/>
        <v>14393.963064295485</v>
      </c>
      <c r="R54" s="69">
        <f t="shared" si="9"/>
        <v>59349.472522678014</v>
      </c>
      <c r="S54" s="69">
        <f t="shared" si="3"/>
        <v>44182.429449192765</v>
      </c>
      <c r="T54" s="69">
        <f t="shared" si="4"/>
        <v>15167.043073485253</v>
      </c>
      <c r="U54" s="18">
        <f t="shared" si="10"/>
        <v>0.3</v>
      </c>
      <c r="V54" s="20">
        <f t="shared" si="11"/>
        <v>16897.310396716824</v>
      </c>
      <c r="W54" s="20">
        <f t="shared" si="5"/>
        <v>12579.12147742818</v>
      </c>
      <c r="X54" s="20">
        <f t="shared" si="6"/>
        <v>4318.1889192886456</v>
      </c>
      <c r="Y54" s="19">
        <f t="shared" si="12"/>
        <v>115673.8405117341</v>
      </c>
    </row>
    <row r="55" spans="1:25" x14ac:dyDescent="0.25">
      <c r="A55" s="6">
        <v>45</v>
      </c>
      <c r="B55" s="7" t="s">
        <v>51</v>
      </c>
      <c r="C55" s="83">
        <v>0.73294887563528344</v>
      </c>
      <c r="D55" s="6" t="s">
        <v>87</v>
      </c>
      <c r="E55" s="6">
        <v>9</v>
      </c>
      <c r="F55" s="6"/>
      <c r="G55" s="6" t="s">
        <v>161</v>
      </c>
      <c r="H55" s="71"/>
      <c r="I55" s="62">
        <f>IF(OR(F55="BG", F55="ĐK"),50, VLOOKUP($D$11:$D$107,'Quy định'!$B$10:$E$20,2,0))</f>
        <v>50</v>
      </c>
      <c r="J55" s="62">
        <f>E55*'Quy định'!$C$14</f>
        <v>9</v>
      </c>
      <c r="K55" s="62">
        <f t="shared" si="7"/>
        <v>59</v>
      </c>
      <c r="L55" s="66">
        <f>MAX(VLOOKUP($G$11:$G$107,'Quy định'!$B$11:$D$20,3,0),I55)</f>
        <v>50</v>
      </c>
      <c r="M55" s="67">
        <f>+H55*'Quy định'!$D$20+J55</f>
        <v>9</v>
      </c>
      <c r="N55" s="66">
        <f t="shared" si="13"/>
        <v>59</v>
      </c>
      <c r="O55" s="63">
        <f t="shared" si="8"/>
        <v>46804.756497948016</v>
      </c>
      <c r="P55" s="64">
        <f t="shared" si="14"/>
        <v>34843.575923392615</v>
      </c>
      <c r="Q55" s="64">
        <f t="shared" si="15"/>
        <v>11961.180574555403</v>
      </c>
      <c r="R55" s="69">
        <f t="shared" si="9"/>
        <v>49318.575758281731</v>
      </c>
      <c r="S55" s="69">
        <f t="shared" si="3"/>
        <v>36714.976584540469</v>
      </c>
      <c r="T55" s="69">
        <f t="shared" si="4"/>
        <v>12603.599173741266</v>
      </c>
      <c r="U55" s="18">
        <f t="shared" si="10"/>
        <v>0.3</v>
      </c>
      <c r="V55" s="20">
        <f t="shared" si="11"/>
        <v>14041.426949384404</v>
      </c>
      <c r="W55" s="20">
        <f t="shared" si="5"/>
        <v>10453.072777017784</v>
      </c>
      <c r="X55" s="20">
        <f t="shared" si="6"/>
        <v>3588.3541723666208</v>
      </c>
      <c r="Y55" s="19">
        <f t="shared" si="12"/>
        <v>96123.33225622974</v>
      </c>
    </row>
    <row r="56" spans="1:25" x14ac:dyDescent="0.25">
      <c r="A56" s="6">
        <v>46</v>
      </c>
      <c r="B56" s="7" t="s">
        <v>52</v>
      </c>
      <c r="C56" s="83">
        <v>0.63113986300567881</v>
      </c>
      <c r="D56" s="6" t="s">
        <v>87</v>
      </c>
      <c r="E56" s="6">
        <v>10</v>
      </c>
      <c r="F56" s="6"/>
      <c r="G56" s="6" t="s">
        <v>159</v>
      </c>
      <c r="H56" s="71"/>
      <c r="I56" s="62">
        <f>IF(OR(F56="BG", F56="ĐK"),50, VLOOKUP($D$11:$D$107,'Quy định'!$B$10:$E$20,2,0))</f>
        <v>50</v>
      </c>
      <c r="J56" s="62">
        <f>E56*'Quy định'!$C$14</f>
        <v>10</v>
      </c>
      <c r="K56" s="62">
        <f t="shared" si="7"/>
        <v>60</v>
      </c>
      <c r="L56" s="66">
        <f>MAX(VLOOKUP($G$11:$G$107,'Quy định'!$B$11:$D$20,3,0),I56)</f>
        <v>50</v>
      </c>
      <c r="M56" s="67">
        <f>+H56*'Quy định'!$D$20+J56</f>
        <v>10</v>
      </c>
      <c r="N56" s="66">
        <f t="shared" si="13"/>
        <v>60</v>
      </c>
      <c r="O56" s="63">
        <f t="shared" si="8"/>
        <v>47598.057455540358</v>
      </c>
      <c r="P56" s="64">
        <f t="shared" si="14"/>
        <v>35434.14500683995</v>
      </c>
      <c r="Q56" s="64">
        <f t="shared" si="15"/>
        <v>12163.91244870041</v>
      </c>
      <c r="R56" s="69">
        <f t="shared" si="9"/>
        <v>50154.483821981426</v>
      </c>
      <c r="S56" s="69">
        <f t="shared" si="3"/>
        <v>37337.264323261494</v>
      </c>
      <c r="T56" s="69">
        <f t="shared" si="4"/>
        <v>12817.219498719933</v>
      </c>
      <c r="U56" s="18">
        <f t="shared" si="10"/>
        <v>0.4</v>
      </c>
      <c r="V56" s="20">
        <f t="shared" si="11"/>
        <v>19039.222982216146</v>
      </c>
      <c r="W56" s="20">
        <f t="shared" si="5"/>
        <v>14173.658002735981</v>
      </c>
      <c r="X56" s="20">
        <f t="shared" si="6"/>
        <v>4865.5649794801639</v>
      </c>
      <c r="Y56" s="19">
        <f t="shared" si="12"/>
        <v>97752.541277521785</v>
      </c>
    </row>
    <row r="57" spans="1:25" x14ac:dyDescent="0.25">
      <c r="A57" s="6">
        <v>47</v>
      </c>
      <c r="B57" s="7" t="s">
        <v>53</v>
      </c>
      <c r="C57" s="83">
        <v>0.44865319865319864</v>
      </c>
      <c r="D57" s="6" t="s">
        <v>87</v>
      </c>
      <c r="E57" s="6">
        <v>1</v>
      </c>
      <c r="F57" s="6"/>
      <c r="G57" s="6" t="s">
        <v>159</v>
      </c>
      <c r="H57" s="71"/>
      <c r="I57" s="62">
        <f>IF(OR(F57="BG", F57="ĐK"),50, VLOOKUP($D$11:$D$107,'Quy định'!$B$10:$E$20,2,0))</f>
        <v>50</v>
      </c>
      <c r="J57" s="62">
        <f>E57*'Quy định'!$C$14</f>
        <v>1</v>
      </c>
      <c r="K57" s="62">
        <f t="shared" si="7"/>
        <v>51</v>
      </c>
      <c r="L57" s="66">
        <f>MAX(VLOOKUP($G$11:$G$107,'Quy định'!$B$11:$D$20,3,0),I57)</f>
        <v>50</v>
      </c>
      <c r="M57" s="67">
        <f>+H57*'Quy định'!$D$20+J57</f>
        <v>1</v>
      </c>
      <c r="N57" s="66">
        <f t="shared" si="13"/>
        <v>51</v>
      </c>
      <c r="O57" s="63">
        <f t="shared" si="8"/>
        <v>40458.348837209298</v>
      </c>
      <c r="P57" s="64">
        <f t="shared" si="14"/>
        <v>30119.023255813954</v>
      </c>
      <c r="Q57" s="64">
        <f t="shared" si="15"/>
        <v>10339.325581395347</v>
      </c>
      <c r="R57" s="69">
        <f t="shared" si="9"/>
        <v>42631.311248684215</v>
      </c>
      <c r="S57" s="69">
        <f t="shared" si="3"/>
        <v>31736.674674772268</v>
      </c>
      <c r="T57" s="69">
        <f t="shared" si="4"/>
        <v>10894.636573911943</v>
      </c>
      <c r="U57" s="18">
        <f t="shared" si="10"/>
        <v>0.4</v>
      </c>
      <c r="V57" s="20">
        <f t="shared" si="11"/>
        <v>16183.339534883722</v>
      </c>
      <c r="W57" s="20">
        <f t="shared" si="5"/>
        <v>12047.609302325582</v>
      </c>
      <c r="X57" s="20">
        <f t="shared" si="6"/>
        <v>4135.7302325581395</v>
      </c>
      <c r="Y57" s="19">
        <f t="shared" si="12"/>
        <v>83089.660085893513</v>
      </c>
    </row>
    <row r="58" spans="1:25" x14ac:dyDescent="0.25">
      <c r="A58" s="6">
        <v>48</v>
      </c>
      <c r="B58" s="7" t="s">
        <v>54</v>
      </c>
      <c r="C58" s="83">
        <v>0.42991352266502897</v>
      </c>
      <c r="D58" s="6" t="s">
        <v>85</v>
      </c>
      <c r="E58" s="6">
        <v>3</v>
      </c>
      <c r="F58" s="6"/>
      <c r="G58" s="6" t="s">
        <v>159</v>
      </c>
      <c r="H58" s="71"/>
      <c r="I58" s="62">
        <f>IF(OR(F58="BG", F58="ĐK"),50, VLOOKUP($D$11:$D$107,'Quy định'!$B$10:$E$20,2,0))</f>
        <v>40</v>
      </c>
      <c r="J58" s="62">
        <f>E58*'Quy định'!$C$14</f>
        <v>3</v>
      </c>
      <c r="K58" s="62">
        <f t="shared" si="7"/>
        <v>43</v>
      </c>
      <c r="L58" s="66">
        <f>MAX(VLOOKUP($G$11:$G$107,'Quy định'!$B$11:$D$20,3,0),I58)</f>
        <v>40</v>
      </c>
      <c r="M58" s="67">
        <f>+H58*'Quy định'!$D$20+J58</f>
        <v>3</v>
      </c>
      <c r="N58" s="66">
        <f t="shared" si="13"/>
        <v>43</v>
      </c>
      <c r="O58" s="63">
        <f t="shared" si="8"/>
        <v>34111.941176470587</v>
      </c>
      <c r="P58" s="64">
        <f t="shared" si="14"/>
        <v>25394.470588235294</v>
      </c>
      <c r="Q58" s="64">
        <f t="shared" si="15"/>
        <v>8717.4705882352937</v>
      </c>
      <c r="R58" s="69">
        <f t="shared" si="9"/>
        <v>35944.046739086691</v>
      </c>
      <c r="S58" s="69">
        <f t="shared" si="3"/>
        <v>26758.372765004071</v>
      </c>
      <c r="T58" s="69">
        <f t="shared" si="4"/>
        <v>9185.6739740826179</v>
      </c>
      <c r="U58" s="18">
        <f t="shared" si="10"/>
        <v>0.4</v>
      </c>
      <c r="V58" s="20">
        <f t="shared" si="11"/>
        <v>13644.776470588236</v>
      </c>
      <c r="W58" s="20">
        <f t="shared" si="5"/>
        <v>10157.788235294118</v>
      </c>
      <c r="X58" s="20">
        <f t="shared" si="6"/>
        <v>3486.9882352941177</v>
      </c>
      <c r="Y58" s="19">
        <f t="shared" si="12"/>
        <v>70055.987915557285</v>
      </c>
    </row>
    <row r="59" spans="1:25" x14ac:dyDescent="0.25">
      <c r="A59" s="6">
        <v>49</v>
      </c>
      <c r="B59" s="7" t="s">
        <v>55</v>
      </c>
      <c r="C59" s="83">
        <v>0.54135829030407345</v>
      </c>
      <c r="D59" s="6" t="s">
        <v>85</v>
      </c>
      <c r="E59" s="6">
        <v>5</v>
      </c>
      <c r="F59" s="6"/>
      <c r="G59" s="6" t="s">
        <v>159</v>
      </c>
      <c r="H59" s="71"/>
      <c r="I59" s="62">
        <f>IF(OR(F59="BG", F59="ĐK"),50, VLOOKUP($D$11:$D$107,'Quy định'!$B$10:$E$20,2,0))</f>
        <v>40</v>
      </c>
      <c r="J59" s="62">
        <f>E59*'Quy định'!$C$14</f>
        <v>5</v>
      </c>
      <c r="K59" s="62">
        <f t="shared" si="7"/>
        <v>45</v>
      </c>
      <c r="L59" s="66">
        <f>MAX(VLOOKUP($G$11:$G$107,'Quy định'!$B$11:$D$20,3,0),I59)</f>
        <v>40</v>
      </c>
      <c r="M59" s="67">
        <f>+H59*'Quy định'!$D$20+J59</f>
        <v>5</v>
      </c>
      <c r="N59" s="66">
        <f t="shared" si="13"/>
        <v>45</v>
      </c>
      <c r="O59" s="63">
        <f t="shared" si="8"/>
        <v>35698.543091655272</v>
      </c>
      <c r="P59" s="64">
        <f t="shared" si="14"/>
        <v>26575.608755129961</v>
      </c>
      <c r="Q59" s="64">
        <f t="shared" si="15"/>
        <v>9122.934336525308</v>
      </c>
      <c r="R59" s="69">
        <f t="shared" si="9"/>
        <v>37615.862866486073</v>
      </c>
      <c r="S59" s="69">
        <f t="shared" si="3"/>
        <v>28002.94824244612</v>
      </c>
      <c r="T59" s="69">
        <f t="shared" si="4"/>
        <v>9612.9146240399496</v>
      </c>
      <c r="U59" s="18">
        <f t="shared" si="10"/>
        <v>0.4</v>
      </c>
      <c r="V59" s="20">
        <f t="shared" si="11"/>
        <v>14279.417236662108</v>
      </c>
      <c r="W59" s="20">
        <f t="shared" si="5"/>
        <v>10630.243502051984</v>
      </c>
      <c r="X59" s="20">
        <f t="shared" si="6"/>
        <v>3649.1737346101236</v>
      </c>
      <c r="Y59" s="19">
        <f t="shared" si="12"/>
        <v>73314.405958141346</v>
      </c>
    </row>
    <row r="60" spans="1:25" x14ac:dyDescent="0.25">
      <c r="A60" s="6">
        <v>50</v>
      </c>
      <c r="B60" s="7" t="s">
        <v>56</v>
      </c>
      <c r="C60" s="83">
        <v>0.62426407096318393</v>
      </c>
      <c r="D60" s="6" t="s">
        <v>87</v>
      </c>
      <c r="E60" s="6">
        <v>5</v>
      </c>
      <c r="F60" s="6"/>
      <c r="G60" s="6" t="s">
        <v>145</v>
      </c>
      <c r="H60" s="71"/>
      <c r="I60" s="62">
        <f>IF(OR(F60="BG", F60="ĐK"),50, VLOOKUP($D$11:$D$107,'Quy định'!$B$10:$E$20,2,0))</f>
        <v>50</v>
      </c>
      <c r="J60" s="62">
        <f>E60*'Quy định'!$C$14</f>
        <v>5</v>
      </c>
      <c r="K60" s="62">
        <f t="shared" si="7"/>
        <v>55</v>
      </c>
      <c r="L60" s="66">
        <f>MAX(VLOOKUP($G$11:$G$107,'Quy định'!$B$11:$D$20,3,0),I60)</f>
        <v>50</v>
      </c>
      <c r="M60" s="67">
        <f>+H60*'Quy định'!$D$20+J60</f>
        <v>5</v>
      </c>
      <c r="N60" s="66">
        <f t="shared" si="13"/>
        <v>55</v>
      </c>
      <c r="O60" s="63">
        <f t="shared" si="8"/>
        <v>43631.55266757866</v>
      </c>
      <c r="P60" s="64">
        <f t="shared" si="14"/>
        <v>32481.299589603284</v>
      </c>
      <c r="Q60" s="64">
        <f t="shared" si="15"/>
        <v>11150.253077975376</v>
      </c>
      <c r="R60" s="69">
        <f t="shared" si="9"/>
        <v>45974.943503482973</v>
      </c>
      <c r="S60" s="69">
        <f t="shared" si="3"/>
        <v>34225.82562965637</v>
      </c>
      <c r="T60" s="69">
        <f t="shared" si="4"/>
        <v>11749.117873826604</v>
      </c>
      <c r="U60" s="18">
        <f t="shared" si="10"/>
        <v>0.4</v>
      </c>
      <c r="V60" s="20">
        <f t="shared" si="11"/>
        <v>17452.621067031465</v>
      </c>
      <c r="W60" s="20">
        <f t="shared" si="5"/>
        <v>12992.519835841314</v>
      </c>
      <c r="X60" s="20">
        <f t="shared" si="6"/>
        <v>4460.1012311901504</v>
      </c>
      <c r="Y60" s="19">
        <f t="shared" si="12"/>
        <v>89606.496171061634</v>
      </c>
    </row>
    <row r="61" spans="1:25" x14ac:dyDescent="0.25">
      <c r="A61" s="6">
        <v>51</v>
      </c>
      <c r="B61" s="7" t="s">
        <v>57</v>
      </c>
      <c r="C61" s="83">
        <v>0.39036458333333335</v>
      </c>
      <c r="D61" s="6" t="s">
        <v>87</v>
      </c>
      <c r="E61" s="6">
        <v>5</v>
      </c>
      <c r="F61" s="6"/>
      <c r="G61" s="6" t="s">
        <v>159</v>
      </c>
      <c r="H61" s="71"/>
      <c r="I61" s="62">
        <f>IF(OR(F61="BG", F61="ĐK"),50, VLOOKUP($D$11:$D$107,'Quy định'!$B$10:$E$20,2,0))</f>
        <v>50</v>
      </c>
      <c r="J61" s="62">
        <f>E61*'Quy định'!$C$14</f>
        <v>5</v>
      </c>
      <c r="K61" s="62">
        <f t="shared" si="7"/>
        <v>55</v>
      </c>
      <c r="L61" s="66">
        <f>MAX(VLOOKUP($G$11:$G$107,'Quy định'!$B$11:$D$20,3,0),I61)</f>
        <v>50</v>
      </c>
      <c r="M61" s="67">
        <f>+H61*'Quy định'!$D$20+J61</f>
        <v>5</v>
      </c>
      <c r="N61" s="66">
        <f t="shared" si="13"/>
        <v>55</v>
      </c>
      <c r="O61" s="63">
        <f t="shared" si="8"/>
        <v>43631.55266757866</v>
      </c>
      <c r="P61" s="64">
        <f t="shared" si="14"/>
        <v>32481.299589603284</v>
      </c>
      <c r="Q61" s="64">
        <f t="shared" si="15"/>
        <v>11150.253077975376</v>
      </c>
      <c r="R61" s="69">
        <f t="shared" si="9"/>
        <v>45974.943503482973</v>
      </c>
      <c r="S61" s="69">
        <f t="shared" si="3"/>
        <v>34225.82562965637</v>
      </c>
      <c r="T61" s="69">
        <f t="shared" si="4"/>
        <v>11749.117873826604</v>
      </c>
      <c r="U61" s="18">
        <f t="shared" si="10"/>
        <v>0.4</v>
      </c>
      <c r="V61" s="20">
        <f t="shared" si="11"/>
        <v>17452.621067031465</v>
      </c>
      <c r="W61" s="20">
        <f t="shared" si="5"/>
        <v>12992.519835841314</v>
      </c>
      <c r="X61" s="20">
        <f t="shared" si="6"/>
        <v>4460.1012311901504</v>
      </c>
      <c r="Y61" s="19">
        <f t="shared" si="12"/>
        <v>89606.496171061634</v>
      </c>
    </row>
    <row r="62" spans="1:25" x14ac:dyDescent="0.25">
      <c r="A62" s="6">
        <v>52</v>
      </c>
      <c r="B62" s="7" t="s">
        <v>58</v>
      </c>
      <c r="C62" s="83">
        <v>0.72272138035849987</v>
      </c>
      <c r="D62" s="6" t="s">
        <v>87</v>
      </c>
      <c r="E62" s="6">
        <v>14</v>
      </c>
      <c r="F62" s="6"/>
      <c r="G62" s="6" t="s">
        <v>145</v>
      </c>
      <c r="H62" s="71"/>
      <c r="I62" s="62">
        <f>IF(OR(F62="BG", F62="ĐK"),50, VLOOKUP($D$11:$D$107,'Quy định'!$B$10:$E$20,2,0))</f>
        <v>50</v>
      </c>
      <c r="J62" s="62">
        <f>E62*'Quy định'!$C$14</f>
        <v>14</v>
      </c>
      <c r="K62" s="62">
        <f t="shared" si="7"/>
        <v>64</v>
      </c>
      <c r="L62" s="66">
        <f>MAX(VLOOKUP($G$11:$G$107,'Quy định'!$B$11:$D$20,3,0),I62)</f>
        <v>50</v>
      </c>
      <c r="M62" s="67">
        <f>+H62*'Quy định'!$D$20+J62</f>
        <v>14</v>
      </c>
      <c r="N62" s="66">
        <f t="shared" si="13"/>
        <v>64</v>
      </c>
      <c r="O62" s="74">
        <f t="shared" si="8"/>
        <v>50771.261285909713</v>
      </c>
      <c r="P62" s="75">
        <f t="shared" si="14"/>
        <v>37796.421340629277</v>
      </c>
      <c r="Q62" s="75">
        <f t="shared" si="15"/>
        <v>12974.839945280437</v>
      </c>
      <c r="R62" s="69">
        <f t="shared" si="9"/>
        <v>53498.116076780185</v>
      </c>
      <c r="S62" s="69">
        <f t="shared" si="3"/>
        <v>39826.415278145592</v>
      </c>
      <c r="T62" s="69">
        <f t="shared" si="4"/>
        <v>13671.700798634594</v>
      </c>
      <c r="U62" s="18">
        <f t="shared" si="10"/>
        <v>0.3</v>
      </c>
      <c r="V62" s="21">
        <f t="shared" si="11"/>
        <v>15231.378385772914</v>
      </c>
      <c r="W62" s="20">
        <f t="shared" si="5"/>
        <v>11338.926402188783</v>
      </c>
      <c r="X62" s="20">
        <f t="shared" si="6"/>
        <v>3892.4519835841311</v>
      </c>
      <c r="Y62" s="19">
        <f t="shared" si="12"/>
        <v>104269.37736268991</v>
      </c>
    </row>
    <row r="63" spans="1:25" x14ac:dyDescent="0.25">
      <c r="A63" s="6">
        <v>53</v>
      </c>
      <c r="B63" s="7" t="s">
        <v>59</v>
      </c>
      <c r="C63" s="83">
        <v>0.59669571342847449</v>
      </c>
      <c r="D63" s="6" t="s">
        <v>87</v>
      </c>
      <c r="E63" s="6">
        <v>13</v>
      </c>
      <c r="F63" s="6"/>
      <c r="G63" s="6" t="s">
        <v>159</v>
      </c>
      <c r="H63" s="71"/>
      <c r="I63" s="62">
        <f>IF(OR(F63="BG", F63="ĐK"),50, VLOOKUP($D$11:$D$107,'Quy định'!$B$10:$E$20,2,0))</f>
        <v>50</v>
      </c>
      <c r="J63" s="62">
        <f>E63*'Quy định'!$C$14</f>
        <v>13</v>
      </c>
      <c r="K63" s="62">
        <f t="shared" si="7"/>
        <v>63</v>
      </c>
      <c r="L63" s="66">
        <f>MAX(VLOOKUP($G$11:$G$107,'Quy định'!$B$11:$D$20,3,0),I63)</f>
        <v>50</v>
      </c>
      <c r="M63" s="67">
        <f>+H63*'Quy định'!$D$20+J63</f>
        <v>13</v>
      </c>
      <c r="N63" s="66">
        <f t="shared" si="13"/>
        <v>63</v>
      </c>
      <c r="O63" s="74">
        <f t="shared" si="8"/>
        <v>49977.960328317371</v>
      </c>
      <c r="P63" s="75">
        <f t="shared" si="14"/>
        <v>37205.852257181941</v>
      </c>
      <c r="Q63" s="75">
        <f t="shared" si="15"/>
        <v>12772.10807113543</v>
      </c>
      <c r="R63" s="69">
        <f t="shared" si="9"/>
        <v>52662.208013080497</v>
      </c>
      <c r="S63" s="69">
        <f t="shared" si="3"/>
        <v>39204.127539424568</v>
      </c>
      <c r="T63" s="69">
        <f t="shared" si="4"/>
        <v>13458.080473655929</v>
      </c>
      <c r="U63" s="18">
        <f t="shared" si="10"/>
        <v>0.4</v>
      </c>
      <c r="V63" s="21">
        <f t="shared" si="11"/>
        <v>19991.184131326947</v>
      </c>
      <c r="W63" s="20">
        <f t="shared" si="5"/>
        <v>14882.340902872776</v>
      </c>
      <c r="X63" s="20">
        <f t="shared" si="6"/>
        <v>5108.8432284541723</v>
      </c>
      <c r="Y63" s="19">
        <f t="shared" si="12"/>
        <v>102640.16834139786</v>
      </c>
    </row>
    <row r="64" spans="1:25" x14ac:dyDescent="0.25">
      <c r="A64" s="6">
        <v>54</v>
      </c>
      <c r="B64" s="7" t="s">
        <v>60</v>
      </c>
      <c r="C64" s="83">
        <v>0.71929650435714709</v>
      </c>
      <c r="D64" s="6" t="s">
        <v>87</v>
      </c>
      <c r="E64" s="6">
        <v>8</v>
      </c>
      <c r="F64" s="6"/>
      <c r="G64" s="6" t="s">
        <v>145</v>
      </c>
      <c r="H64" s="71"/>
      <c r="I64" s="62">
        <f>IF(OR(F64="BG", F64="ĐK"),50, VLOOKUP($D$11:$D$107,'Quy định'!$B$10:$E$20,2,0))</f>
        <v>50</v>
      </c>
      <c r="J64" s="62">
        <f>E64*'Quy định'!$C$14</f>
        <v>8</v>
      </c>
      <c r="K64" s="62">
        <f t="shared" si="7"/>
        <v>58</v>
      </c>
      <c r="L64" s="66">
        <f>MAX(VLOOKUP($G$11:$G$107,'Quy định'!$B$11:$D$20,3,0),I64)</f>
        <v>50</v>
      </c>
      <c r="M64" s="67">
        <f>+H64*'Quy định'!$D$20+J64</f>
        <v>8</v>
      </c>
      <c r="N64" s="66">
        <f t="shared" si="13"/>
        <v>58</v>
      </c>
      <c r="O64" s="74">
        <f t="shared" si="8"/>
        <v>46011.455540355673</v>
      </c>
      <c r="P64" s="75">
        <f t="shared" si="14"/>
        <v>34253.006839945279</v>
      </c>
      <c r="Q64" s="75">
        <f t="shared" si="15"/>
        <v>11758.448700410396</v>
      </c>
      <c r="R64" s="69">
        <f t="shared" si="9"/>
        <v>48482.667694582044</v>
      </c>
      <c r="S64" s="69">
        <f t="shared" si="3"/>
        <v>36092.688845819444</v>
      </c>
      <c r="T64" s="69">
        <f t="shared" si="4"/>
        <v>12389.978848762601</v>
      </c>
      <c r="U64" s="18">
        <f t="shared" si="10"/>
        <v>0.3</v>
      </c>
      <c r="V64" s="21">
        <f t="shared" si="11"/>
        <v>13803.436662106702</v>
      </c>
      <c r="W64" s="20">
        <f t="shared" si="5"/>
        <v>10275.902051983583</v>
      </c>
      <c r="X64" s="20">
        <f t="shared" si="6"/>
        <v>3527.5346101231185</v>
      </c>
      <c r="Y64" s="19">
        <f t="shared" si="12"/>
        <v>94494.123234937724</v>
      </c>
    </row>
    <row r="65" spans="1:25" x14ac:dyDescent="0.25">
      <c r="A65" s="6">
        <v>55</v>
      </c>
      <c r="B65" s="7" t="s">
        <v>61</v>
      </c>
      <c r="C65" s="83">
        <v>2.3519708518756854E-2</v>
      </c>
      <c r="D65" s="6" t="s">
        <v>87</v>
      </c>
      <c r="E65" s="6">
        <v>13</v>
      </c>
      <c r="F65" s="6"/>
      <c r="G65" s="6" t="s">
        <v>159</v>
      </c>
      <c r="H65" s="71"/>
      <c r="I65" s="62">
        <f>IF(OR(F65="BG", F65="ĐK"),50, VLOOKUP($D$11:$D$107,'Quy định'!$B$10:$E$20,2,0))</f>
        <v>50</v>
      </c>
      <c r="J65" s="62">
        <f>E65*'Quy định'!$C$14</f>
        <v>13</v>
      </c>
      <c r="K65" s="62">
        <f t="shared" si="7"/>
        <v>63</v>
      </c>
      <c r="L65" s="66">
        <f>MAX(VLOOKUP($G$11:$G$107,'Quy định'!$B$11:$D$20,3,0),I65)</f>
        <v>50</v>
      </c>
      <c r="M65" s="67">
        <f>+H65*'Quy định'!$D$20+J65</f>
        <v>13</v>
      </c>
      <c r="N65" s="66">
        <f t="shared" si="13"/>
        <v>63</v>
      </c>
      <c r="O65" s="74">
        <f t="shared" si="8"/>
        <v>49977.960328317371</v>
      </c>
      <c r="P65" s="75">
        <f t="shared" si="14"/>
        <v>37205.852257181941</v>
      </c>
      <c r="Q65" s="75">
        <f t="shared" si="15"/>
        <v>12772.10807113543</v>
      </c>
      <c r="R65" s="69">
        <f t="shared" si="9"/>
        <v>52662.208013080497</v>
      </c>
      <c r="S65" s="69">
        <f t="shared" si="3"/>
        <v>39204.127539424568</v>
      </c>
      <c r="T65" s="69">
        <f t="shared" si="4"/>
        <v>13458.080473655929</v>
      </c>
      <c r="U65" s="18">
        <f t="shared" si="10"/>
        <v>0.5</v>
      </c>
      <c r="V65" s="21">
        <f t="shared" si="11"/>
        <v>24988.980164158686</v>
      </c>
      <c r="W65" s="20">
        <f t="shared" si="5"/>
        <v>18602.926128590971</v>
      </c>
      <c r="X65" s="20">
        <f t="shared" si="6"/>
        <v>6386.0540355677149</v>
      </c>
      <c r="Y65" s="19">
        <f t="shared" si="12"/>
        <v>102640.16834139786</v>
      </c>
    </row>
    <row r="66" spans="1:25" x14ac:dyDescent="0.25">
      <c r="A66" s="6">
        <v>56</v>
      </c>
      <c r="B66" s="7" t="s">
        <v>62</v>
      </c>
      <c r="C66" s="83">
        <v>0.75753020039264929</v>
      </c>
      <c r="D66" s="6" t="s">
        <v>87</v>
      </c>
      <c r="E66" s="6">
        <v>24</v>
      </c>
      <c r="F66" s="6"/>
      <c r="G66" s="6" t="s">
        <v>161</v>
      </c>
      <c r="H66" s="71"/>
      <c r="I66" s="62">
        <f>IF(OR(F66="BG", F66="ĐK"),50, VLOOKUP($D$11:$D$107,'Quy định'!$B$10:$E$20,2,0))</f>
        <v>50</v>
      </c>
      <c r="J66" s="62">
        <f>E66*'Quy định'!$C$14</f>
        <v>24</v>
      </c>
      <c r="K66" s="62">
        <f t="shared" si="7"/>
        <v>74</v>
      </c>
      <c r="L66" s="66">
        <f>MAX(VLOOKUP($G$11:$G$107,'Quy định'!$B$11:$D$20,3,0),I66)</f>
        <v>50</v>
      </c>
      <c r="M66" s="67">
        <f>+H66*'Quy định'!$D$20+J66</f>
        <v>24</v>
      </c>
      <c r="N66" s="66">
        <f t="shared" si="13"/>
        <v>74</v>
      </c>
      <c r="O66" s="74">
        <f t="shared" si="8"/>
        <v>58704.270861833109</v>
      </c>
      <c r="P66" s="75">
        <f t="shared" si="14"/>
        <v>43702.1121751026</v>
      </c>
      <c r="Q66" s="75">
        <f t="shared" si="15"/>
        <v>15002.158686730505</v>
      </c>
      <c r="R66" s="69">
        <f t="shared" si="9"/>
        <v>61857.196713777084</v>
      </c>
      <c r="S66" s="69">
        <f t="shared" si="3"/>
        <v>46049.292665355839</v>
      </c>
      <c r="T66" s="69">
        <f t="shared" si="4"/>
        <v>15807.904048421249</v>
      </c>
      <c r="U66" s="18">
        <f t="shared" si="10"/>
        <v>0.3</v>
      </c>
      <c r="V66" s="21">
        <f t="shared" si="11"/>
        <v>17611.28125854993</v>
      </c>
      <c r="W66" s="20">
        <f t="shared" si="5"/>
        <v>13110.63365253078</v>
      </c>
      <c r="X66" s="20">
        <f t="shared" si="6"/>
        <v>4500.6476060191517</v>
      </c>
      <c r="Y66" s="19">
        <f t="shared" si="12"/>
        <v>120561.46757561019</v>
      </c>
    </row>
    <row r="67" spans="1:25" x14ac:dyDescent="0.25">
      <c r="A67" s="6">
        <v>57</v>
      </c>
      <c r="B67" s="7" t="s">
        <v>63</v>
      </c>
      <c r="C67" s="83">
        <v>0.51818698919258754</v>
      </c>
      <c r="D67" s="6" t="s">
        <v>87</v>
      </c>
      <c r="E67" s="6">
        <v>18</v>
      </c>
      <c r="F67" s="6"/>
      <c r="G67" s="6" t="s">
        <v>145</v>
      </c>
      <c r="H67" s="71"/>
      <c r="I67" s="62">
        <f>IF(OR(F67="BG", F67="ĐK"),50, VLOOKUP($D$11:$D$107,'Quy định'!$B$10:$E$20,2,0))</f>
        <v>50</v>
      </c>
      <c r="J67" s="62">
        <f>E67*'Quy định'!$C$14</f>
        <v>18</v>
      </c>
      <c r="K67" s="62">
        <f t="shared" si="7"/>
        <v>68</v>
      </c>
      <c r="L67" s="66">
        <f>MAX(VLOOKUP($G$11:$G$107,'Quy định'!$B$11:$D$20,3,0),I67)</f>
        <v>50</v>
      </c>
      <c r="M67" s="67">
        <f>+H67*'Quy định'!$D$20+J67</f>
        <v>18</v>
      </c>
      <c r="N67" s="66">
        <f t="shared" si="13"/>
        <v>68</v>
      </c>
      <c r="O67" s="74">
        <f t="shared" si="8"/>
        <v>53944.465116279069</v>
      </c>
      <c r="P67" s="75">
        <f t="shared" si="14"/>
        <v>40158.697674418603</v>
      </c>
      <c r="Q67" s="75">
        <f t="shared" si="15"/>
        <v>13785.767441860464</v>
      </c>
      <c r="R67" s="69">
        <f t="shared" si="9"/>
        <v>56841.748331578943</v>
      </c>
      <c r="S67" s="69">
        <f t="shared" si="3"/>
        <v>42315.566233029691</v>
      </c>
      <c r="T67" s="69">
        <f t="shared" si="4"/>
        <v>14526.182098549256</v>
      </c>
      <c r="U67" s="18">
        <f t="shared" si="10"/>
        <v>0.4</v>
      </c>
      <c r="V67" s="21">
        <f t="shared" si="11"/>
        <v>21577.786046511628</v>
      </c>
      <c r="W67" s="20">
        <f t="shared" si="5"/>
        <v>16063.479069767442</v>
      </c>
      <c r="X67" s="20">
        <f t="shared" si="6"/>
        <v>5514.3069767441857</v>
      </c>
      <c r="Y67" s="19">
        <f t="shared" si="12"/>
        <v>110786.21344785801</v>
      </c>
    </row>
    <row r="68" spans="1:25" x14ac:dyDescent="0.25">
      <c r="A68" s="6">
        <v>58</v>
      </c>
      <c r="B68" s="7" t="s">
        <v>67</v>
      </c>
      <c r="C68" s="83">
        <v>0.77729599588602416</v>
      </c>
      <c r="D68" s="6" t="s">
        <v>87</v>
      </c>
      <c r="E68" s="6">
        <v>8</v>
      </c>
      <c r="F68" s="6"/>
      <c r="G68" s="6" t="s">
        <v>161</v>
      </c>
      <c r="H68" s="71"/>
      <c r="I68" s="62">
        <f>IF(OR(F68="BG", F68="ĐK"),50, VLOOKUP($D$11:$D$107,'Quy định'!$B$10:$E$20,2,0))</f>
        <v>50</v>
      </c>
      <c r="J68" s="62">
        <f>E68*'Quy định'!$C$14</f>
        <v>8</v>
      </c>
      <c r="K68" s="62">
        <f t="shared" si="7"/>
        <v>58</v>
      </c>
      <c r="L68" s="66">
        <f>MAX(VLOOKUP($G$11:$G$107,'Quy định'!$B$11:$D$20,3,0),I68)</f>
        <v>50</v>
      </c>
      <c r="M68" s="67">
        <f>+H68*'Quy định'!$D$20+J68</f>
        <v>8</v>
      </c>
      <c r="N68" s="66">
        <f t="shared" si="13"/>
        <v>58</v>
      </c>
      <c r="O68" s="74">
        <f t="shared" si="8"/>
        <v>46011.455540355673</v>
      </c>
      <c r="P68" s="75">
        <f t="shared" si="14"/>
        <v>34253.006839945279</v>
      </c>
      <c r="Q68" s="75">
        <f t="shared" si="15"/>
        <v>11758.448700410396</v>
      </c>
      <c r="R68" s="69">
        <f t="shared" si="9"/>
        <v>48482.667694582044</v>
      </c>
      <c r="S68" s="69">
        <f t="shared" si="3"/>
        <v>36092.688845819444</v>
      </c>
      <c r="T68" s="69">
        <f t="shared" si="4"/>
        <v>12389.978848762601</v>
      </c>
      <c r="U68" s="18">
        <f t="shared" si="10"/>
        <v>0.3</v>
      </c>
      <c r="V68" s="21">
        <f t="shared" si="11"/>
        <v>13803.436662106702</v>
      </c>
      <c r="W68" s="20">
        <f t="shared" si="5"/>
        <v>10275.902051983583</v>
      </c>
      <c r="X68" s="20">
        <f t="shared" si="6"/>
        <v>3527.5346101231185</v>
      </c>
      <c r="Y68" s="19">
        <f t="shared" si="12"/>
        <v>94494.123234937724</v>
      </c>
    </row>
    <row r="69" spans="1:25" x14ac:dyDescent="0.25">
      <c r="A69" s="6">
        <v>59</v>
      </c>
      <c r="B69" s="7" t="s">
        <v>68</v>
      </c>
      <c r="C69" s="83">
        <v>0.81135395628786822</v>
      </c>
      <c r="D69" s="6" t="s">
        <v>87</v>
      </c>
      <c r="E69" s="6">
        <v>7</v>
      </c>
      <c r="F69" s="6"/>
      <c r="G69" s="6" t="s">
        <v>161</v>
      </c>
      <c r="H69" s="71"/>
      <c r="I69" s="62">
        <f>IF(OR(F69="BG", F69="ĐK"),50, VLOOKUP($D$11:$D$107,'Quy định'!$B$10:$E$20,2,0))</f>
        <v>50</v>
      </c>
      <c r="J69" s="62">
        <f>E69*'Quy định'!$C$14</f>
        <v>7</v>
      </c>
      <c r="K69" s="62">
        <f t="shared" si="7"/>
        <v>57</v>
      </c>
      <c r="L69" s="66">
        <f>MAX(VLOOKUP($G$11:$G$107,'Quy định'!$B$11:$D$20,3,0),I69)</f>
        <v>50</v>
      </c>
      <c r="M69" s="67">
        <f>+H69*'Quy định'!$D$20+J69</f>
        <v>7</v>
      </c>
      <c r="N69" s="66">
        <f t="shared" si="13"/>
        <v>57</v>
      </c>
      <c r="O69" s="63">
        <f t="shared" si="8"/>
        <v>45218.154582763338</v>
      </c>
      <c r="P69" s="64">
        <f t="shared" si="14"/>
        <v>33662.437756497951</v>
      </c>
      <c r="Q69" s="64">
        <f t="shared" si="15"/>
        <v>11555.716826265389</v>
      </c>
      <c r="R69" s="69">
        <f t="shared" si="9"/>
        <v>47646.759630882356</v>
      </c>
      <c r="S69" s="69">
        <f t="shared" si="3"/>
        <v>35470.40110709842</v>
      </c>
      <c r="T69" s="69">
        <f t="shared" si="4"/>
        <v>12176.358523783936</v>
      </c>
      <c r="U69" s="18">
        <f t="shared" si="10"/>
        <v>0.3</v>
      </c>
      <c r="V69" s="20">
        <f t="shared" si="11"/>
        <v>13565.446374829</v>
      </c>
      <c r="W69" s="20">
        <f t="shared" si="5"/>
        <v>10098.731326949384</v>
      </c>
      <c r="X69" s="20">
        <f t="shared" si="6"/>
        <v>3466.7150478796166</v>
      </c>
      <c r="Y69" s="19">
        <f t="shared" si="12"/>
        <v>92864.914213645694</v>
      </c>
    </row>
    <row r="70" spans="1:25" x14ac:dyDescent="0.25">
      <c r="A70" s="6">
        <v>60</v>
      </c>
      <c r="B70" s="7" t="s">
        <v>69</v>
      </c>
      <c r="C70" s="83">
        <v>0.60589108502625288</v>
      </c>
      <c r="D70" s="6" t="s">
        <v>87</v>
      </c>
      <c r="E70" s="6">
        <v>3</v>
      </c>
      <c r="F70" s="6"/>
      <c r="G70" s="6" t="s">
        <v>161</v>
      </c>
      <c r="H70" s="71"/>
      <c r="I70" s="62">
        <f>IF(OR(F70="BG", F70="ĐK"),50, VLOOKUP($D$11:$D$107,'Quy định'!$B$10:$E$20,2,0))</f>
        <v>50</v>
      </c>
      <c r="J70" s="62">
        <f>E70*'Quy định'!$C$14</f>
        <v>3</v>
      </c>
      <c r="K70" s="62">
        <f t="shared" si="7"/>
        <v>53</v>
      </c>
      <c r="L70" s="66">
        <f>MAX(VLOOKUP($G$11:$G$107,'Quy định'!$B$11:$D$20,3,0),I70)</f>
        <v>50</v>
      </c>
      <c r="M70" s="67">
        <f>+H70*'Quy định'!$D$20+J70</f>
        <v>3</v>
      </c>
      <c r="N70" s="66">
        <f t="shared" si="13"/>
        <v>53</v>
      </c>
      <c r="O70" s="63">
        <f t="shared" si="8"/>
        <v>42044.950752393983</v>
      </c>
      <c r="P70" s="64">
        <f t="shared" si="14"/>
        <v>31300.161422708621</v>
      </c>
      <c r="Q70" s="64">
        <f t="shared" si="15"/>
        <v>10744.789329685362</v>
      </c>
      <c r="R70" s="69">
        <f t="shared" si="9"/>
        <v>44303.12737608359</v>
      </c>
      <c r="S70" s="69">
        <f t="shared" si="3"/>
        <v>32981.250152214321</v>
      </c>
      <c r="T70" s="69">
        <f t="shared" si="4"/>
        <v>11321.877223869273</v>
      </c>
      <c r="U70" s="18">
        <f t="shared" si="10"/>
        <v>0.4</v>
      </c>
      <c r="V70" s="20">
        <f t="shared" si="11"/>
        <v>16817.980300957595</v>
      </c>
      <c r="W70" s="20">
        <f t="shared" si="5"/>
        <v>12520.06456908345</v>
      </c>
      <c r="X70" s="20">
        <f t="shared" si="6"/>
        <v>4297.9157318741445</v>
      </c>
      <c r="Y70" s="19">
        <f t="shared" si="12"/>
        <v>86348.078128477573</v>
      </c>
    </row>
    <row r="71" spans="1:25" x14ac:dyDescent="0.25">
      <c r="A71" s="6">
        <v>61</v>
      </c>
      <c r="B71" s="7" t="s">
        <v>70</v>
      </c>
      <c r="C71" s="83">
        <v>0.72489892857619387</v>
      </c>
      <c r="D71" s="6" t="s">
        <v>87</v>
      </c>
      <c r="E71" s="6">
        <v>3</v>
      </c>
      <c r="F71" s="6"/>
      <c r="G71" s="6" t="s">
        <v>161</v>
      </c>
      <c r="H71" s="71"/>
      <c r="I71" s="62">
        <f>IF(OR(F71="BG", F71="ĐK"),50, VLOOKUP($D$11:$D$107,'Quy định'!$B$10:$E$20,2,0))</f>
        <v>50</v>
      </c>
      <c r="J71" s="62">
        <f>E71*'Quy định'!$C$14</f>
        <v>3</v>
      </c>
      <c r="K71" s="62">
        <f t="shared" si="7"/>
        <v>53</v>
      </c>
      <c r="L71" s="66">
        <f>MAX(VLOOKUP($G$11:$G$107,'Quy định'!$B$11:$D$20,3,0),I71)</f>
        <v>50</v>
      </c>
      <c r="M71" s="67">
        <f>+H71*'Quy định'!$D$20+J71</f>
        <v>3</v>
      </c>
      <c r="N71" s="66">
        <f t="shared" si="13"/>
        <v>53</v>
      </c>
      <c r="O71" s="63">
        <f t="shared" si="8"/>
        <v>42044.950752393983</v>
      </c>
      <c r="P71" s="64">
        <f t="shared" si="14"/>
        <v>31300.161422708621</v>
      </c>
      <c r="Q71" s="64">
        <f t="shared" si="15"/>
        <v>10744.789329685362</v>
      </c>
      <c r="R71" s="69">
        <f t="shared" si="9"/>
        <v>44303.12737608359</v>
      </c>
      <c r="S71" s="69">
        <f t="shared" si="3"/>
        <v>32981.250152214321</v>
      </c>
      <c r="T71" s="69">
        <f t="shared" si="4"/>
        <v>11321.877223869273</v>
      </c>
      <c r="U71" s="18">
        <f t="shared" si="10"/>
        <v>0.3</v>
      </c>
      <c r="V71" s="20">
        <f t="shared" si="11"/>
        <v>12613.485225718194</v>
      </c>
      <c r="W71" s="20">
        <f t="shared" si="5"/>
        <v>9390.0484268125856</v>
      </c>
      <c r="X71" s="20">
        <f t="shared" si="6"/>
        <v>3223.4367989056086</v>
      </c>
      <c r="Y71" s="19">
        <f t="shared" si="12"/>
        <v>86348.078128477573</v>
      </c>
    </row>
    <row r="72" spans="1:25" x14ac:dyDescent="0.25">
      <c r="A72" s="6">
        <v>62</v>
      </c>
      <c r="B72" s="7" t="s">
        <v>71</v>
      </c>
      <c r="C72" s="83">
        <v>0.79779744894403015</v>
      </c>
      <c r="D72" s="6" t="s">
        <v>87</v>
      </c>
      <c r="E72" s="6">
        <v>1</v>
      </c>
      <c r="F72" s="6"/>
      <c r="G72" s="6" t="s">
        <v>159</v>
      </c>
      <c r="H72" s="71"/>
      <c r="I72" s="62">
        <f>IF(OR(F72="BG", F72="ĐK"),50, VLOOKUP($D$11:$D$107,'Quy định'!$B$10:$E$20,2,0))</f>
        <v>50</v>
      </c>
      <c r="J72" s="62">
        <f>E72*'Quy định'!$C$14</f>
        <v>1</v>
      </c>
      <c r="K72" s="62">
        <f t="shared" si="7"/>
        <v>51</v>
      </c>
      <c r="L72" s="66">
        <f>MAX(VLOOKUP($G$11:$G$107,'Quy định'!$B$11:$D$20,3,0),I72)</f>
        <v>50</v>
      </c>
      <c r="M72" s="67">
        <f>+H72*'Quy định'!$D$20+J72</f>
        <v>1</v>
      </c>
      <c r="N72" s="66">
        <f t="shared" si="13"/>
        <v>51</v>
      </c>
      <c r="O72" s="63">
        <f t="shared" si="8"/>
        <v>40458.348837209298</v>
      </c>
      <c r="P72" s="64">
        <f t="shared" si="14"/>
        <v>30119.023255813954</v>
      </c>
      <c r="Q72" s="64">
        <f t="shared" si="15"/>
        <v>10339.325581395347</v>
      </c>
      <c r="R72" s="69">
        <f t="shared" si="9"/>
        <v>42631.311248684215</v>
      </c>
      <c r="S72" s="69">
        <f t="shared" si="3"/>
        <v>31736.674674772268</v>
      </c>
      <c r="T72" s="69">
        <f t="shared" si="4"/>
        <v>10894.636573911943</v>
      </c>
      <c r="U72" s="18">
        <f t="shared" si="10"/>
        <v>0.3</v>
      </c>
      <c r="V72" s="20">
        <f t="shared" si="11"/>
        <v>12137.50465116279</v>
      </c>
      <c r="W72" s="20">
        <f t="shared" si="5"/>
        <v>9035.7069767441862</v>
      </c>
      <c r="X72" s="20">
        <f t="shared" si="6"/>
        <v>3101.7976744186039</v>
      </c>
      <c r="Y72" s="19">
        <f t="shared" si="12"/>
        <v>83089.660085893513</v>
      </c>
    </row>
    <row r="73" spans="1:25" x14ac:dyDescent="0.25">
      <c r="A73" s="8">
        <v>63</v>
      </c>
      <c r="B73" s="9" t="s">
        <v>92</v>
      </c>
      <c r="C73" s="84">
        <v>0.69545454545454544</v>
      </c>
      <c r="D73" s="6" t="s">
        <v>97</v>
      </c>
      <c r="E73" s="76"/>
      <c r="F73" s="91" t="s">
        <v>95</v>
      </c>
      <c r="G73" s="23" t="s">
        <v>161</v>
      </c>
      <c r="H73" s="72"/>
      <c r="I73" s="62">
        <f>IF(OR(F73="BG", F73="ĐK"),50, VLOOKUP($D$11:$D$107,'Quy định'!$B$10:$E$20,2,0))</f>
        <v>50</v>
      </c>
      <c r="J73" s="62">
        <f>E73*'Quy định'!$C$14</f>
        <v>0</v>
      </c>
      <c r="K73" s="62">
        <f t="shared" si="7"/>
        <v>50</v>
      </c>
      <c r="L73" s="66">
        <f>MAX(VLOOKUP($G$11:$G$107,'Quy định'!$B$11:$D$20,3,0),I73)</f>
        <v>50</v>
      </c>
      <c r="M73" s="67">
        <f>+H73*'Quy định'!$D$20+J73</f>
        <v>0</v>
      </c>
      <c r="N73" s="66">
        <f t="shared" si="13"/>
        <v>50</v>
      </c>
      <c r="O73" s="63">
        <f t="shared" si="8"/>
        <v>39665.047879616963</v>
      </c>
      <c r="P73" s="64">
        <f t="shared" si="14"/>
        <v>29528.454172366623</v>
      </c>
      <c r="Q73" s="64">
        <f t="shared" si="15"/>
        <v>10136.593707250342</v>
      </c>
      <c r="R73" s="69">
        <f t="shared" si="9"/>
        <v>41795.40318498452</v>
      </c>
      <c r="S73" s="69">
        <f t="shared" si="3"/>
        <v>31114.386936051244</v>
      </c>
      <c r="T73" s="69">
        <f t="shared" si="4"/>
        <v>10681.016248933276</v>
      </c>
      <c r="U73" s="18">
        <f t="shared" si="10"/>
        <v>0.4</v>
      </c>
      <c r="V73" s="20">
        <f t="shared" si="11"/>
        <v>15866.019151846787</v>
      </c>
      <c r="W73" s="20">
        <f t="shared" si="5"/>
        <v>11811.381668946649</v>
      </c>
      <c r="X73" s="20">
        <f t="shared" si="6"/>
        <v>4054.637482900137</v>
      </c>
      <c r="Y73" s="19">
        <f t="shared" si="12"/>
        <v>81460.451064601482</v>
      </c>
    </row>
    <row r="74" spans="1:25" s="55" customFormat="1" x14ac:dyDescent="0.25">
      <c r="A74" s="8">
        <v>64</v>
      </c>
      <c r="B74" s="77" t="s">
        <v>102</v>
      </c>
      <c r="C74" s="85">
        <v>0.54555417049081523</v>
      </c>
      <c r="D74" s="8" t="s">
        <v>97</v>
      </c>
      <c r="E74" s="77"/>
      <c r="F74" s="90" t="s">
        <v>91</v>
      </c>
      <c r="G74" s="53" t="s">
        <v>159</v>
      </c>
      <c r="H74" s="72"/>
      <c r="I74" s="62">
        <f>IF(OR(F74="BG", F74="ĐK"),50, VLOOKUP($D$11:$D$107,'Quy định'!$B$10:$E$20,2,0))</f>
        <v>50</v>
      </c>
      <c r="J74" s="62">
        <f>E74*'Quy định'!$C$14</f>
        <v>0</v>
      </c>
      <c r="K74" s="62">
        <f t="shared" ref="K74:K93" si="16">+I74+J74</f>
        <v>50</v>
      </c>
      <c r="L74" s="66">
        <f>MAX(VLOOKUP($G$11:$G$107,'Quy định'!$B$11:$D$20,3,0),I74)</f>
        <v>50</v>
      </c>
      <c r="M74" s="67">
        <f>+H74*'Quy định'!$D$20+J74</f>
        <v>0</v>
      </c>
      <c r="N74" s="66">
        <f t="shared" ref="N74:N93" si="17">SUM(L74:M74)</f>
        <v>50</v>
      </c>
      <c r="O74" s="63">
        <f t="shared" ref="O74:O93" si="18">+P74+Q74</f>
        <v>39665.047879616963</v>
      </c>
      <c r="P74" s="64">
        <f t="shared" si="14"/>
        <v>29528.454172366623</v>
      </c>
      <c r="Q74" s="64">
        <f t="shared" si="15"/>
        <v>10136.593707250342</v>
      </c>
      <c r="R74" s="69">
        <f t="shared" si="9"/>
        <v>41795.40318498452</v>
      </c>
      <c r="S74" s="69">
        <f t="shared" si="3"/>
        <v>31114.386936051244</v>
      </c>
      <c r="T74" s="69">
        <f t="shared" si="4"/>
        <v>10681.016248933276</v>
      </c>
      <c r="U74" s="18">
        <f t="shared" si="10"/>
        <v>0.4</v>
      </c>
      <c r="V74" s="54">
        <f t="shared" ref="V74:V93" si="19">+W74+X74</f>
        <v>15866.019151846787</v>
      </c>
      <c r="W74" s="54">
        <f t="shared" ref="W74:W93" si="20">IF(O74&gt;0,P74*U74,S74*U74)</f>
        <v>11811.381668946649</v>
      </c>
      <c r="X74" s="54">
        <f t="shared" ref="X74:X93" si="21">IF(O74&gt;0,Q74*U74,T74*U74)</f>
        <v>4054.637482900137</v>
      </c>
      <c r="Y74" s="61">
        <f t="shared" si="12"/>
        <v>81460.451064601482</v>
      </c>
    </row>
    <row r="75" spans="1:25" s="55" customFormat="1" x14ac:dyDescent="0.25">
      <c r="A75" s="8">
        <v>65</v>
      </c>
      <c r="B75" s="78" t="s">
        <v>106</v>
      </c>
      <c r="C75" s="86">
        <v>0.55356066996023612</v>
      </c>
      <c r="D75" s="8" t="s">
        <v>97</v>
      </c>
      <c r="E75" s="77"/>
      <c r="F75" s="90" t="s">
        <v>91</v>
      </c>
      <c r="G75" s="53" t="s">
        <v>159</v>
      </c>
      <c r="H75" s="72"/>
      <c r="I75" s="62">
        <f>IF(OR(F75="BG", F75="ĐK"),50, VLOOKUP($D$11:$D$107,'Quy định'!$B$10:$E$20,2,0))</f>
        <v>50</v>
      </c>
      <c r="J75" s="62">
        <f>E75*'Quy định'!$C$14</f>
        <v>0</v>
      </c>
      <c r="K75" s="62">
        <f t="shared" si="16"/>
        <v>50</v>
      </c>
      <c r="L75" s="66">
        <f>MAX(VLOOKUP($G$11:$G$107,'Quy định'!$B$11:$D$20,3,0),I75)</f>
        <v>50</v>
      </c>
      <c r="M75" s="67">
        <f>+H75*'Quy định'!$D$20+J75</f>
        <v>0</v>
      </c>
      <c r="N75" s="66">
        <f t="shared" si="17"/>
        <v>50</v>
      </c>
      <c r="O75" s="63">
        <f t="shared" si="18"/>
        <v>39665.047879616963</v>
      </c>
      <c r="P75" s="64">
        <f t="shared" ref="P75:P98" si="22">+K75*$P$2</f>
        <v>29528.454172366623</v>
      </c>
      <c r="Q75" s="64">
        <f t="shared" ref="Q75:Q98" si="23">+K75*$Q$2</f>
        <v>10136.593707250342</v>
      </c>
      <c r="R75" s="69">
        <f t="shared" si="9"/>
        <v>41795.40318498452</v>
      </c>
      <c r="S75" s="69">
        <f t="shared" ref="S75:S106" si="24">+$N75*$S$2</f>
        <v>31114.386936051244</v>
      </c>
      <c r="T75" s="69">
        <f t="shared" ref="T75:T106" si="25">+$N75*$T$2</f>
        <v>10681.016248933276</v>
      </c>
      <c r="U75" s="18">
        <f t="shared" si="10"/>
        <v>0.4</v>
      </c>
      <c r="V75" s="54">
        <f t="shared" si="19"/>
        <v>15866.019151846787</v>
      </c>
      <c r="W75" s="54">
        <f t="shared" si="20"/>
        <v>11811.381668946649</v>
      </c>
      <c r="X75" s="54">
        <f t="shared" si="21"/>
        <v>4054.637482900137</v>
      </c>
      <c r="Y75" s="61">
        <f t="shared" si="12"/>
        <v>81460.451064601482</v>
      </c>
    </row>
    <row r="76" spans="1:25" s="55" customFormat="1" x14ac:dyDescent="0.25">
      <c r="A76" s="8">
        <v>66</v>
      </c>
      <c r="B76" s="78" t="s">
        <v>107</v>
      </c>
      <c r="C76" s="86">
        <v>0.68155897492819784</v>
      </c>
      <c r="D76" s="8" t="s">
        <v>97</v>
      </c>
      <c r="E76" s="77"/>
      <c r="F76" s="90" t="s">
        <v>91</v>
      </c>
      <c r="G76" s="53" t="s">
        <v>159</v>
      </c>
      <c r="H76" s="72"/>
      <c r="I76" s="62">
        <f>IF(OR(F76="BG", F76="ĐK"),50, VLOOKUP($D$11:$D$107,'Quy định'!$B$10:$E$20,2,0))</f>
        <v>50</v>
      </c>
      <c r="J76" s="62">
        <f>E76*'Quy định'!$C$14</f>
        <v>0</v>
      </c>
      <c r="K76" s="62">
        <f t="shared" si="16"/>
        <v>50</v>
      </c>
      <c r="L76" s="66">
        <f>MAX(VLOOKUP($G$11:$G$107,'Quy định'!$B$11:$D$20,3,0),I76)</f>
        <v>50</v>
      </c>
      <c r="M76" s="67">
        <f>+H76*'Quy định'!$D$20+J76</f>
        <v>0</v>
      </c>
      <c r="N76" s="66">
        <f t="shared" si="17"/>
        <v>50</v>
      </c>
      <c r="O76" s="63">
        <f t="shared" si="18"/>
        <v>39665.047879616963</v>
      </c>
      <c r="P76" s="64">
        <f t="shared" si="22"/>
        <v>29528.454172366623</v>
      </c>
      <c r="Q76" s="64">
        <f t="shared" si="23"/>
        <v>10136.593707250342</v>
      </c>
      <c r="R76" s="69">
        <f t="shared" ref="R76:R107" si="26">+S76+T76</f>
        <v>41795.40318498452</v>
      </c>
      <c r="S76" s="69">
        <f t="shared" si="24"/>
        <v>31114.386936051244</v>
      </c>
      <c r="T76" s="69">
        <f t="shared" si="25"/>
        <v>10681.016248933276</v>
      </c>
      <c r="U76" s="18">
        <f t="shared" ref="U76:U106" si="27">IF(O76&gt;0,IF(C76&gt;=70%,30%,IF(AND(C76&gt;=30%,C76&lt;70%),40%,IF(C76&lt;30%,50%))),50%)</f>
        <v>0.4</v>
      </c>
      <c r="V76" s="54">
        <f t="shared" si="19"/>
        <v>15866.019151846787</v>
      </c>
      <c r="W76" s="54">
        <f t="shared" si="20"/>
        <v>11811.381668946649</v>
      </c>
      <c r="X76" s="54">
        <f t="shared" si="21"/>
        <v>4054.637482900137</v>
      </c>
      <c r="Y76" s="61">
        <f t="shared" ref="Y76:Y107" si="28">+O76+R76</f>
        <v>81460.451064601482</v>
      </c>
    </row>
    <row r="77" spans="1:25" s="55" customFormat="1" x14ac:dyDescent="0.25">
      <c r="A77" s="8">
        <v>67</v>
      </c>
      <c r="B77" s="78" t="s">
        <v>108</v>
      </c>
      <c r="C77" s="86">
        <v>0.50544239587230599</v>
      </c>
      <c r="D77" s="8" t="s">
        <v>97</v>
      </c>
      <c r="E77" s="77"/>
      <c r="F77" s="90" t="s">
        <v>91</v>
      </c>
      <c r="G77" s="53" t="s">
        <v>159</v>
      </c>
      <c r="H77" s="72"/>
      <c r="I77" s="62">
        <f>IF(OR(F77="BG", F77="ĐK"),50, VLOOKUP($D$11:$D$107,'Quy định'!$B$10:$E$20,2,0))</f>
        <v>50</v>
      </c>
      <c r="J77" s="62">
        <f>E77*'Quy định'!$C$14</f>
        <v>0</v>
      </c>
      <c r="K77" s="62">
        <f t="shared" si="16"/>
        <v>50</v>
      </c>
      <c r="L77" s="66">
        <f>MAX(VLOOKUP($G$11:$G$107,'Quy định'!$B$11:$D$20,3,0),I77)</f>
        <v>50</v>
      </c>
      <c r="M77" s="67">
        <f>+H77*'Quy định'!$D$20+J77</f>
        <v>0</v>
      </c>
      <c r="N77" s="66">
        <f t="shared" si="17"/>
        <v>50</v>
      </c>
      <c r="O77" s="63">
        <f t="shared" si="18"/>
        <v>39665.047879616963</v>
      </c>
      <c r="P77" s="64">
        <f t="shared" si="22"/>
        <v>29528.454172366623</v>
      </c>
      <c r="Q77" s="64">
        <f t="shared" si="23"/>
        <v>10136.593707250342</v>
      </c>
      <c r="R77" s="69">
        <f t="shared" si="26"/>
        <v>41795.40318498452</v>
      </c>
      <c r="S77" s="69">
        <f t="shared" si="24"/>
        <v>31114.386936051244</v>
      </c>
      <c r="T77" s="69">
        <f t="shared" si="25"/>
        <v>10681.016248933276</v>
      </c>
      <c r="U77" s="18">
        <f t="shared" si="27"/>
        <v>0.4</v>
      </c>
      <c r="V77" s="54">
        <f t="shared" si="19"/>
        <v>15866.019151846787</v>
      </c>
      <c r="W77" s="54">
        <f t="shared" si="20"/>
        <v>11811.381668946649</v>
      </c>
      <c r="X77" s="54">
        <f t="shared" si="21"/>
        <v>4054.637482900137</v>
      </c>
      <c r="Y77" s="61">
        <f t="shared" si="28"/>
        <v>81460.451064601482</v>
      </c>
    </row>
    <row r="78" spans="1:25" s="55" customFormat="1" x14ac:dyDescent="0.25">
      <c r="A78" s="8">
        <v>68</v>
      </c>
      <c r="B78" s="78" t="s">
        <v>112</v>
      </c>
      <c r="C78" s="86">
        <v>0.43790426001583754</v>
      </c>
      <c r="D78" s="8" t="s">
        <v>97</v>
      </c>
      <c r="E78" s="77"/>
      <c r="F78" s="90" t="s">
        <v>91</v>
      </c>
      <c r="G78" s="53" t="s">
        <v>159</v>
      </c>
      <c r="H78" s="72"/>
      <c r="I78" s="62">
        <f>IF(OR(F78="BG", F78="ĐK"),50, VLOOKUP($D$11:$D$107,'Quy định'!$B$10:$E$20,2,0))</f>
        <v>50</v>
      </c>
      <c r="J78" s="62">
        <f>E78*'Quy định'!$C$14</f>
        <v>0</v>
      </c>
      <c r="K78" s="62">
        <f t="shared" si="16"/>
        <v>50</v>
      </c>
      <c r="L78" s="66">
        <f>MAX(VLOOKUP($G$11:$G$107,'Quy định'!$B$11:$D$20,3,0),I78)</f>
        <v>50</v>
      </c>
      <c r="M78" s="67">
        <f>+H78*'Quy định'!$D$20+J78</f>
        <v>0</v>
      </c>
      <c r="N78" s="66">
        <f t="shared" si="17"/>
        <v>50</v>
      </c>
      <c r="O78" s="63">
        <f t="shared" si="18"/>
        <v>39665.047879616963</v>
      </c>
      <c r="P78" s="64">
        <f t="shared" si="22"/>
        <v>29528.454172366623</v>
      </c>
      <c r="Q78" s="64">
        <f t="shared" si="23"/>
        <v>10136.593707250342</v>
      </c>
      <c r="R78" s="69">
        <f t="shared" si="26"/>
        <v>41795.40318498452</v>
      </c>
      <c r="S78" s="69">
        <f t="shared" si="24"/>
        <v>31114.386936051244</v>
      </c>
      <c r="T78" s="69">
        <f t="shared" si="25"/>
        <v>10681.016248933276</v>
      </c>
      <c r="U78" s="18">
        <f t="shared" si="27"/>
        <v>0.4</v>
      </c>
      <c r="V78" s="54">
        <f t="shared" si="19"/>
        <v>15866.019151846787</v>
      </c>
      <c r="W78" s="54">
        <f t="shared" si="20"/>
        <v>11811.381668946649</v>
      </c>
      <c r="X78" s="54">
        <f t="shared" si="21"/>
        <v>4054.637482900137</v>
      </c>
      <c r="Y78" s="61">
        <f t="shared" si="28"/>
        <v>81460.451064601482</v>
      </c>
    </row>
    <row r="79" spans="1:25" s="55" customFormat="1" x14ac:dyDescent="0.25">
      <c r="A79" s="8">
        <v>69</v>
      </c>
      <c r="B79" s="79" t="s">
        <v>114</v>
      </c>
      <c r="C79" s="87">
        <v>0.23303690217771864</v>
      </c>
      <c r="D79" s="8" t="s">
        <v>97</v>
      </c>
      <c r="E79" s="77"/>
      <c r="F79" s="90" t="s">
        <v>91</v>
      </c>
      <c r="G79" s="53" t="s">
        <v>159</v>
      </c>
      <c r="H79" s="72"/>
      <c r="I79" s="62">
        <f>IF(OR(F79="BG", F79="ĐK"),50, VLOOKUP($D$11:$D$107,'Quy định'!$B$10:$E$20,2,0))</f>
        <v>50</v>
      </c>
      <c r="J79" s="62">
        <f>E79*'Quy định'!$C$14</f>
        <v>0</v>
      </c>
      <c r="K79" s="62">
        <f t="shared" si="16"/>
        <v>50</v>
      </c>
      <c r="L79" s="66">
        <f>MAX(VLOOKUP($G$11:$G$107,'Quy định'!$B$11:$D$20,3,0),I79)</f>
        <v>50</v>
      </c>
      <c r="M79" s="67">
        <f>+H79*'Quy định'!$D$20+J79</f>
        <v>0</v>
      </c>
      <c r="N79" s="66">
        <f t="shared" si="17"/>
        <v>50</v>
      </c>
      <c r="O79" s="63">
        <f t="shared" si="18"/>
        <v>39665.047879616963</v>
      </c>
      <c r="P79" s="64">
        <f t="shared" si="22"/>
        <v>29528.454172366623</v>
      </c>
      <c r="Q79" s="64">
        <f t="shared" si="23"/>
        <v>10136.593707250342</v>
      </c>
      <c r="R79" s="69">
        <f t="shared" si="26"/>
        <v>41795.40318498452</v>
      </c>
      <c r="S79" s="69">
        <f t="shared" si="24"/>
        <v>31114.386936051244</v>
      </c>
      <c r="T79" s="69">
        <f t="shared" si="25"/>
        <v>10681.016248933276</v>
      </c>
      <c r="U79" s="18">
        <f t="shared" si="27"/>
        <v>0.5</v>
      </c>
      <c r="V79" s="54">
        <f t="shared" si="19"/>
        <v>19832.523939808481</v>
      </c>
      <c r="W79" s="54">
        <f t="shared" si="20"/>
        <v>14764.227086183311</v>
      </c>
      <c r="X79" s="54">
        <f t="shared" si="21"/>
        <v>5068.296853625171</v>
      </c>
      <c r="Y79" s="61">
        <f t="shared" si="28"/>
        <v>81460.451064601482</v>
      </c>
    </row>
    <row r="80" spans="1:25" s="55" customFormat="1" x14ac:dyDescent="0.25">
      <c r="A80" s="8">
        <v>70</v>
      </c>
      <c r="B80" s="78" t="s">
        <v>115</v>
      </c>
      <c r="C80" s="86">
        <v>0.66443128212458902</v>
      </c>
      <c r="D80" s="8" t="s">
        <v>97</v>
      </c>
      <c r="E80" s="77"/>
      <c r="F80" s="90" t="s">
        <v>91</v>
      </c>
      <c r="G80" s="53" t="s">
        <v>159</v>
      </c>
      <c r="H80" s="72"/>
      <c r="I80" s="62">
        <f>IF(OR(F80="BG", F80="ĐK"),50, VLOOKUP($D$11:$D$107,'Quy định'!$B$10:$E$20,2,0))</f>
        <v>50</v>
      </c>
      <c r="J80" s="62">
        <f>E80*'Quy định'!$C$14</f>
        <v>0</v>
      </c>
      <c r="K80" s="62">
        <f t="shared" si="16"/>
        <v>50</v>
      </c>
      <c r="L80" s="66">
        <f>MAX(VLOOKUP($G$11:$G$107,'Quy định'!$B$11:$D$20,3,0),I80)</f>
        <v>50</v>
      </c>
      <c r="M80" s="67">
        <f>+H80*'Quy định'!$D$20+J80</f>
        <v>0</v>
      </c>
      <c r="N80" s="66">
        <f t="shared" si="17"/>
        <v>50</v>
      </c>
      <c r="O80" s="63">
        <f t="shared" si="18"/>
        <v>39665.047879616963</v>
      </c>
      <c r="P80" s="64">
        <f t="shared" si="22"/>
        <v>29528.454172366623</v>
      </c>
      <c r="Q80" s="64">
        <f t="shared" si="23"/>
        <v>10136.593707250342</v>
      </c>
      <c r="R80" s="69">
        <f t="shared" si="26"/>
        <v>41795.40318498452</v>
      </c>
      <c r="S80" s="69">
        <f t="shared" si="24"/>
        <v>31114.386936051244</v>
      </c>
      <c r="T80" s="69">
        <f t="shared" si="25"/>
        <v>10681.016248933276</v>
      </c>
      <c r="U80" s="18">
        <f t="shared" si="27"/>
        <v>0.4</v>
      </c>
      <c r="V80" s="54">
        <f t="shared" si="19"/>
        <v>15866.019151846787</v>
      </c>
      <c r="W80" s="54">
        <f t="shared" si="20"/>
        <v>11811.381668946649</v>
      </c>
      <c r="X80" s="54">
        <f t="shared" si="21"/>
        <v>4054.637482900137</v>
      </c>
      <c r="Y80" s="61">
        <f t="shared" si="28"/>
        <v>81460.451064601482</v>
      </c>
    </row>
    <row r="81" spans="1:25" s="55" customFormat="1" x14ac:dyDescent="0.25">
      <c r="A81" s="8">
        <v>71</v>
      </c>
      <c r="B81" s="78" t="s">
        <v>116</v>
      </c>
      <c r="C81" s="86">
        <v>0.56594453968900982</v>
      </c>
      <c r="D81" s="8" t="s">
        <v>97</v>
      </c>
      <c r="E81" s="77"/>
      <c r="F81" s="90" t="s">
        <v>91</v>
      </c>
      <c r="G81" s="53" t="s">
        <v>159</v>
      </c>
      <c r="H81" s="72"/>
      <c r="I81" s="62">
        <f>IF(OR(F81="BG", F81="ĐK"),50, VLOOKUP($D$11:$D$107,'Quy định'!$B$10:$E$20,2,0))</f>
        <v>50</v>
      </c>
      <c r="J81" s="62">
        <f>E81*'Quy định'!$C$14</f>
        <v>0</v>
      </c>
      <c r="K81" s="62">
        <f t="shared" si="16"/>
        <v>50</v>
      </c>
      <c r="L81" s="66">
        <f>MAX(VLOOKUP($G$11:$G$107,'Quy định'!$B$11:$D$20,3,0),I81)</f>
        <v>50</v>
      </c>
      <c r="M81" s="67">
        <f>+H81*'Quy định'!$D$20+J81</f>
        <v>0</v>
      </c>
      <c r="N81" s="66">
        <f t="shared" si="17"/>
        <v>50</v>
      </c>
      <c r="O81" s="63">
        <f t="shared" si="18"/>
        <v>39665.047879616963</v>
      </c>
      <c r="P81" s="64">
        <f t="shared" si="22"/>
        <v>29528.454172366623</v>
      </c>
      <c r="Q81" s="64">
        <f t="shared" si="23"/>
        <v>10136.593707250342</v>
      </c>
      <c r="R81" s="69">
        <f t="shared" si="26"/>
        <v>41795.40318498452</v>
      </c>
      <c r="S81" s="69">
        <f t="shared" si="24"/>
        <v>31114.386936051244</v>
      </c>
      <c r="T81" s="69">
        <f t="shared" si="25"/>
        <v>10681.016248933276</v>
      </c>
      <c r="U81" s="18">
        <f t="shared" si="27"/>
        <v>0.4</v>
      </c>
      <c r="V81" s="54">
        <f t="shared" si="19"/>
        <v>15866.019151846787</v>
      </c>
      <c r="W81" s="54">
        <f t="shared" si="20"/>
        <v>11811.381668946649</v>
      </c>
      <c r="X81" s="54">
        <f t="shared" si="21"/>
        <v>4054.637482900137</v>
      </c>
      <c r="Y81" s="61">
        <f t="shared" si="28"/>
        <v>81460.451064601482</v>
      </c>
    </row>
    <row r="82" spans="1:25" s="55" customFormat="1" x14ac:dyDescent="0.25">
      <c r="A82" s="8">
        <v>72</v>
      </c>
      <c r="B82" s="79" t="s">
        <v>117</v>
      </c>
      <c r="C82" s="87">
        <v>0.46606834753910309</v>
      </c>
      <c r="D82" s="8" t="s">
        <v>97</v>
      </c>
      <c r="E82" s="77"/>
      <c r="F82" s="8" t="s">
        <v>91</v>
      </c>
      <c r="G82" s="8" t="s">
        <v>159</v>
      </c>
      <c r="H82" s="71"/>
      <c r="I82" s="62">
        <f>IF(OR(F82="BG", F82="ĐK"),50, VLOOKUP($D$11:$D$107,'Quy định'!$B$10:$E$20,2,0))</f>
        <v>50</v>
      </c>
      <c r="J82" s="62">
        <f>E82*'Quy định'!$C$14</f>
        <v>0</v>
      </c>
      <c r="K82" s="62">
        <f t="shared" si="16"/>
        <v>50</v>
      </c>
      <c r="L82" s="66">
        <f>MAX(VLOOKUP($G$11:$G$107,'Quy định'!$B$11:$D$20,3,0),I82)</f>
        <v>50</v>
      </c>
      <c r="M82" s="67">
        <f>+H82*'Quy định'!$D$20+J82</f>
        <v>0</v>
      </c>
      <c r="N82" s="66">
        <f t="shared" si="17"/>
        <v>50</v>
      </c>
      <c r="O82" s="63">
        <f t="shared" si="18"/>
        <v>39665.047879616963</v>
      </c>
      <c r="P82" s="64">
        <f t="shared" si="22"/>
        <v>29528.454172366623</v>
      </c>
      <c r="Q82" s="64">
        <f t="shared" si="23"/>
        <v>10136.593707250342</v>
      </c>
      <c r="R82" s="69">
        <f t="shared" si="26"/>
        <v>41795.40318498452</v>
      </c>
      <c r="S82" s="69">
        <f t="shared" si="24"/>
        <v>31114.386936051244</v>
      </c>
      <c r="T82" s="69">
        <f t="shared" si="25"/>
        <v>10681.016248933276</v>
      </c>
      <c r="U82" s="18">
        <f t="shared" si="27"/>
        <v>0.4</v>
      </c>
      <c r="V82" s="54">
        <f t="shared" si="19"/>
        <v>15866.019151846787</v>
      </c>
      <c r="W82" s="54">
        <f t="shared" si="20"/>
        <v>11811.381668946649</v>
      </c>
      <c r="X82" s="54">
        <f t="shared" si="21"/>
        <v>4054.637482900137</v>
      </c>
      <c r="Y82" s="61">
        <f t="shared" si="28"/>
        <v>81460.451064601482</v>
      </c>
    </row>
    <row r="83" spans="1:25" x14ac:dyDescent="0.25">
      <c r="A83" s="8">
        <v>73</v>
      </c>
      <c r="B83" s="78" t="s">
        <v>8</v>
      </c>
      <c r="C83" s="86">
        <v>0.67054621465028263</v>
      </c>
      <c r="D83" s="6" t="s">
        <v>97</v>
      </c>
      <c r="E83" s="76"/>
      <c r="F83" s="91"/>
      <c r="G83" s="23" t="s">
        <v>159</v>
      </c>
      <c r="H83" s="72"/>
      <c r="I83" s="62">
        <f>IF(OR(F83="BG", F83="ĐK"),50, VLOOKUP($D$11:$D$107,'Quy định'!$B$10:$E$20,2,0))</f>
        <v>25</v>
      </c>
      <c r="J83" s="62">
        <f>E83*'Quy định'!$C$14</f>
        <v>0</v>
      </c>
      <c r="K83" s="62">
        <f t="shared" si="16"/>
        <v>25</v>
      </c>
      <c r="L83" s="66">
        <f>MAX(VLOOKUP($G$11:$G$107,'Quy định'!$B$11:$D$20,3,0),I83)</f>
        <v>25</v>
      </c>
      <c r="M83" s="67">
        <f>+H83*'Quy định'!$D$20+J83</f>
        <v>0</v>
      </c>
      <c r="N83" s="66">
        <f t="shared" si="17"/>
        <v>25</v>
      </c>
      <c r="O83" s="63">
        <f t="shared" si="18"/>
        <v>19832.523939808481</v>
      </c>
      <c r="P83" s="64">
        <f t="shared" si="22"/>
        <v>14764.227086183311</v>
      </c>
      <c r="Q83" s="64">
        <f t="shared" si="23"/>
        <v>5068.296853625171</v>
      </c>
      <c r="R83" s="69">
        <f t="shared" si="26"/>
        <v>20897.70159249226</v>
      </c>
      <c r="S83" s="69">
        <f t="shared" si="24"/>
        <v>15557.193468025622</v>
      </c>
      <c r="T83" s="69">
        <f t="shared" si="25"/>
        <v>5340.508124466638</v>
      </c>
      <c r="U83" s="18">
        <f t="shared" si="27"/>
        <v>0.4</v>
      </c>
      <c r="V83" s="20">
        <f t="shared" si="19"/>
        <v>7933.0095759233936</v>
      </c>
      <c r="W83" s="20">
        <f t="shared" si="20"/>
        <v>5905.6908344733247</v>
      </c>
      <c r="X83" s="20">
        <f t="shared" si="21"/>
        <v>2027.3187414500685</v>
      </c>
      <c r="Y83" s="19">
        <f t="shared" si="28"/>
        <v>40730.225532300741</v>
      </c>
    </row>
    <row r="84" spans="1:25" x14ac:dyDescent="0.25">
      <c r="A84" s="6">
        <v>74</v>
      </c>
      <c r="B84" s="78" t="s">
        <v>7</v>
      </c>
      <c r="C84" s="86">
        <v>0.700412718840837</v>
      </c>
      <c r="D84" s="6" t="s">
        <v>97</v>
      </c>
      <c r="E84" s="76"/>
      <c r="F84" s="91"/>
      <c r="G84" s="23" t="s">
        <v>159</v>
      </c>
      <c r="H84" s="72"/>
      <c r="I84" s="62">
        <f>IF(OR(F84="BG", F84="ĐK"),50, VLOOKUP($D$11:$D$107,'Quy định'!$B$10:$E$20,2,0))</f>
        <v>25</v>
      </c>
      <c r="J84" s="62">
        <f>E84*'Quy định'!$C$14</f>
        <v>0</v>
      </c>
      <c r="K84" s="62">
        <f t="shared" si="16"/>
        <v>25</v>
      </c>
      <c r="L84" s="66">
        <f>MAX(VLOOKUP($G$11:$G$107,'Quy định'!$B$11:$D$20,3,0),I84)</f>
        <v>25</v>
      </c>
      <c r="M84" s="67">
        <f>+H84*'Quy định'!$D$20+J84</f>
        <v>0</v>
      </c>
      <c r="N84" s="66">
        <f t="shared" si="17"/>
        <v>25</v>
      </c>
      <c r="O84" s="63">
        <f t="shared" si="18"/>
        <v>19832.523939808481</v>
      </c>
      <c r="P84" s="64">
        <f t="shared" si="22"/>
        <v>14764.227086183311</v>
      </c>
      <c r="Q84" s="64">
        <f t="shared" si="23"/>
        <v>5068.296853625171</v>
      </c>
      <c r="R84" s="69">
        <f t="shared" si="26"/>
        <v>20897.70159249226</v>
      </c>
      <c r="S84" s="69">
        <f t="shared" si="24"/>
        <v>15557.193468025622</v>
      </c>
      <c r="T84" s="69">
        <f t="shared" si="25"/>
        <v>5340.508124466638</v>
      </c>
      <c r="U84" s="18">
        <f t="shared" si="27"/>
        <v>0.3</v>
      </c>
      <c r="V84" s="20">
        <f t="shared" si="19"/>
        <v>5949.7571819425439</v>
      </c>
      <c r="W84" s="20">
        <f t="shared" si="20"/>
        <v>4429.2681258549928</v>
      </c>
      <c r="X84" s="20">
        <f t="shared" si="21"/>
        <v>1520.4890560875513</v>
      </c>
      <c r="Y84" s="19">
        <f t="shared" si="28"/>
        <v>40730.225532300741</v>
      </c>
    </row>
    <row r="85" spans="1:25" x14ac:dyDescent="0.25">
      <c r="A85" s="8">
        <v>75</v>
      </c>
      <c r="B85" s="78" t="s">
        <v>103</v>
      </c>
      <c r="C85" s="86">
        <v>0.48253670783129865</v>
      </c>
      <c r="D85" s="6" t="s">
        <v>97</v>
      </c>
      <c r="E85" s="76"/>
      <c r="F85" s="91"/>
      <c r="G85" s="23" t="s">
        <v>159</v>
      </c>
      <c r="H85" s="72"/>
      <c r="I85" s="62">
        <f>IF(OR(F85="BG", F85="ĐK"),50, VLOOKUP($D$11:$D$107,'Quy định'!$B$10:$E$20,2,0))</f>
        <v>25</v>
      </c>
      <c r="J85" s="62">
        <f>E85*'Quy định'!$C$14</f>
        <v>0</v>
      </c>
      <c r="K85" s="62">
        <f t="shared" si="16"/>
        <v>25</v>
      </c>
      <c r="L85" s="66">
        <f>MAX(VLOOKUP($G$11:$G$107,'Quy định'!$B$11:$D$20,3,0),I85)</f>
        <v>25</v>
      </c>
      <c r="M85" s="67">
        <f>+H85*'Quy định'!$D$20+J85</f>
        <v>0</v>
      </c>
      <c r="N85" s="66">
        <f t="shared" si="17"/>
        <v>25</v>
      </c>
      <c r="O85" s="63">
        <f t="shared" si="18"/>
        <v>19832.523939808481</v>
      </c>
      <c r="P85" s="64">
        <f t="shared" si="22"/>
        <v>14764.227086183311</v>
      </c>
      <c r="Q85" s="64">
        <f t="shared" si="23"/>
        <v>5068.296853625171</v>
      </c>
      <c r="R85" s="69">
        <f t="shared" si="26"/>
        <v>20897.70159249226</v>
      </c>
      <c r="S85" s="69">
        <f t="shared" si="24"/>
        <v>15557.193468025622</v>
      </c>
      <c r="T85" s="69">
        <f t="shared" si="25"/>
        <v>5340.508124466638</v>
      </c>
      <c r="U85" s="18">
        <f t="shared" si="27"/>
        <v>0.4</v>
      </c>
      <c r="V85" s="20">
        <f t="shared" si="19"/>
        <v>7933.0095759233936</v>
      </c>
      <c r="W85" s="20">
        <f t="shared" si="20"/>
        <v>5905.6908344733247</v>
      </c>
      <c r="X85" s="20">
        <f t="shared" si="21"/>
        <v>2027.3187414500685</v>
      </c>
      <c r="Y85" s="19">
        <f t="shared" si="28"/>
        <v>40730.225532300741</v>
      </c>
    </row>
    <row r="86" spans="1:25" s="55" customFormat="1" x14ac:dyDescent="0.25">
      <c r="A86" s="8">
        <v>76</v>
      </c>
      <c r="B86" s="78" t="s">
        <v>104</v>
      </c>
      <c r="C86" s="86">
        <v>0.70397841577829168</v>
      </c>
      <c r="D86" s="8" t="s">
        <v>97</v>
      </c>
      <c r="E86" s="77"/>
      <c r="F86" s="90"/>
      <c r="G86" s="53" t="s">
        <v>159</v>
      </c>
      <c r="H86" s="72"/>
      <c r="I86" s="62">
        <f>IF(OR(F86="BG", F86="ĐK"),50, VLOOKUP($D$11:$D$107,'Quy định'!$B$10:$E$20,2,0))</f>
        <v>25</v>
      </c>
      <c r="J86" s="62">
        <f>E86*'Quy định'!$C$14</f>
        <v>0</v>
      </c>
      <c r="K86" s="62">
        <f t="shared" si="16"/>
        <v>25</v>
      </c>
      <c r="L86" s="66">
        <f>MAX(VLOOKUP($G$11:$G$107,'Quy định'!$B$11:$D$20,3,0),I86)</f>
        <v>25</v>
      </c>
      <c r="M86" s="67">
        <f>+H86*'Quy định'!$D$20+J86</f>
        <v>0</v>
      </c>
      <c r="N86" s="66">
        <f t="shared" si="17"/>
        <v>25</v>
      </c>
      <c r="O86" s="63">
        <f t="shared" si="18"/>
        <v>19832.523939808481</v>
      </c>
      <c r="P86" s="64">
        <f t="shared" si="22"/>
        <v>14764.227086183311</v>
      </c>
      <c r="Q86" s="64">
        <f t="shared" si="23"/>
        <v>5068.296853625171</v>
      </c>
      <c r="R86" s="69">
        <f t="shared" si="26"/>
        <v>20897.70159249226</v>
      </c>
      <c r="S86" s="69">
        <f t="shared" si="24"/>
        <v>15557.193468025622</v>
      </c>
      <c r="T86" s="69">
        <f t="shared" si="25"/>
        <v>5340.508124466638</v>
      </c>
      <c r="U86" s="18">
        <f t="shared" si="27"/>
        <v>0.3</v>
      </c>
      <c r="V86" s="54">
        <f t="shared" si="19"/>
        <v>5949.7571819425439</v>
      </c>
      <c r="W86" s="54">
        <f t="shared" si="20"/>
        <v>4429.2681258549928</v>
      </c>
      <c r="X86" s="54">
        <f t="shared" si="21"/>
        <v>1520.4890560875513</v>
      </c>
      <c r="Y86" s="19">
        <f t="shared" si="28"/>
        <v>40730.225532300741</v>
      </c>
    </row>
    <row r="87" spans="1:25" s="55" customFormat="1" x14ac:dyDescent="0.25">
      <c r="A87" s="8">
        <v>77</v>
      </c>
      <c r="B87" s="78" t="s">
        <v>105</v>
      </c>
      <c r="C87" s="86">
        <v>0.66033101264417993</v>
      </c>
      <c r="D87" s="8" t="s">
        <v>97</v>
      </c>
      <c r="E87" s="77"/>
      <c r="F87" s="90"/>
      <c r="G87" s="53" t="s">
        <v>159</v>
      </c>
      <c r="H87" s="72"/>
      <c r="I87" s="62">
        <f>IF(OR(F87="BG", F87="ĐK"),50, VLOOKUP($D$11:$D$107,'Quy định'!$B$10:$E$20,2,0))</f>
        <v>25</v>
      </c>
      <c r="J87" s="62">
        <f>E87*'Quy định'!$C$14</f>
        <v>0</v>
      </c>
      <c r="K87" s="62">
        <f t="shared" si="16"/>
        <v>25</v>
      </c>
      <c r="L87" s="66">
        <f>MAX(VLOOKUP($G$11:$G$107,'Quy định'!$B$11:$D$20,3,0),I87)</f>
        <v>25</v>
      </c>
      <c r="M87" s="67">
        <f>+H87*'Quy định'!$D$20+J87</f>
        <v>0</v>
      </c>
      <c r="N87" s="66">
        <f t="shared" si="17"/>
        <v>25</v>
      </c>
      <c r="O87" s="63">
        <f t="shared" si="18"/>
        <v>19832.523939808481</v>
      </c>
      <c r="P87" s="64">
        <f t="shared" si="22"/>
        <v>14764.227086183311</v>
      </c>
      <c r="Q87" s="64">
        <f t="shared" si="23"/>
        <v>5068.296853625171</v>
      </c>
      <c r="R87" s="69">
        <f t="shared" si="26"/>
        <v>20897.70159249226</v>
      </c>
      <c r="S87" s="69">
        <f t="shared" si="24"/>
        <v>15557.193468025622</v>
      </c>
      <c r="T87" s="69">
        <f t="shared" si="25"/>
        <v>5340.508124466638</v>
      </c>
      <c r="U87" s="18">
        <f t="shared" si="27"/>
        <v>0.4</v>
      </c>
      <c r="V87" s="54">
        <f t="shared" si="19"/>
        <v>7933.0095759233936</v>
      </c>
      <c r="W87" s="54">
        <f t="shared" si="20"/>
        <v>5905.6908344733247</v>
      </c>
      <c r="X87" s="54">
        <f t="shared" si="21"/>
        <v>2027.3187414500685</v>
      </c>
      <c r="Y87" s="19">
        <f t="shared" si="28"/>
        <v>40730.225532300741</v>
      </c>
    </row>
    <row r="88" spans="1:25" s="55" customFormat="1" x14ac:dyDescent="0.25">
      <c r="A88" s="8">
        <v>78</v>
      </c>
      <c r="B88" s="78" t="s">
        <v>6</v>
      </c>
      <c r="C88" s="86">
        <v>0.69708276797829039</v>
      </c>
      <c r="D88" s="8" t="s">
        <v>97</v>
      </c>
      <c r="E88" s="77"/>
      <c r="F88" s="90"/>
      <c r="G88" s="53" t="s">
        <v>159</v>
      </c>
      <c r="H88" s="72"/>
      <c r="I88" s="62">
        <f>IF(OR(F88="BG", F88="ĐK"),50, VLOOKUP($D$11:$D$107,'Quy định'!$B$10:$E$20,2,0))</f>
        <v>25</v>
      </c>
      <c r="J88" s="62">
        <f>E88*'Quy định'!$C$14</f>
        <v>0</v>
      </c>
      <c r="K88" s="62">
        <f t="shared" si="16"/>
        <v>25</v>
      </c>
      <c r="L88" s="66">
        <f>MAX(VLOOKUP($G$11:$G$107,'Quy định'!$B$11:$D$20,3,0),I88)</f>
        <v>25</v>
      </c>
      <c r="M88" s="67">
        <f>+H88*'Quy định'!$D$20+J88</f>
        <v>0</v>
      </c>
      <c r="N88" s="66">
        <f t="shared" si="17"/>
        <v>25</v>
      </c>
      <c r="O88" s="63">
        <f t="shared" si="18"/>
        <v>19832.523939808481</v>
      </c>
      <c r="P88" s="64">
        <f t="shared" si="22"/>
        <v>14764.227086183311</v>
      </c>
      <c r="Q88" s="64">
        <f t="shared" si="23"/>
        <v>5068.296853625171</v>
      </c>
      <c r="R88" s="69">
        <f t="shared" si="26"/>
        <v>20897.70159249226</v>
      </c>
      <c r="S88" s="69">
        <f t="shared" si="24"/>
        <v>15557.193468025622</v>
      </c>
      <c r="T88" s="69">
        <f t="shared" si="25"/>
        <v>5340.508124466638</v>
      </c>
      <c r="U88" s="18">
        <f t="shared" si="27"/>
        <v>0.4</v>
      </c>
      <c r="V88" s="54">
        <f t="shared" si="19"/>
        <v>7933.0095759233936</v>
      </c>
      <c r="W88" s="54">
        <f t="shared" si="20"/>
        <v>5905.6908344733247</v>
      </c>
      <c r="X88" s="54">
        <f t="shared" si="21"/>
        <v>2027.3187414500685</v>
      </c>
      <c r="Y88" s="19">
        <f t="shared" si="28"/>
        <v>40730.225532300741</v>
      </c>
    </row>
    <row r="89" spans="1:25" s="55" customFormat="1" x14ac:dyDescent="0.25">
      <c r="A89" s="8">
        <v>79</v>
      </c>
      <c r="B89" s="78" t="s">
        <v>109</v>
      </c>
      <c r="C89" s="86">
        <v>0.20986070729528913</v>
      </c>
      <c r="D89" s="8" t="s">
        <v>97</v>
      </c>
      <c r="E89" s="77"/>
      <c r="F89" s="90"/>
      <c r="G89" s="53" t="s">
        <v>159</v>
      </c>
      <c r="H89" s="72"/>
      <c r="I89" s="62">
        <f>IF(OR(F89="BG", F89="ĐK"),50, VLOOKUP($D$11:$D$107,'Quy định'!$B$10:$E$20,2,0))</f>
        <v>25</v>
      </c>
      <c r="J89" s="62">
        <f>E89*'Quy định'!$C$14</f>
        <v>0</v>
      </c>
      <c r="K89" s="62">
        <f t="shared" si="16"/>
        <v>25</v>
      </c>
      <c r="L89" s="66">
        <f>MAX(VLOOKUP($G$11:$G$107,'Quy định'!$B$11:$D$20,3,0),I89)</f>
        <v>25</v>
      </c>
      <c r="M89" s="67">
        <f>+H89*'Quy định'!$D$20+J89</f>
        <v>0</v>
      </c>
      <c r="N89" s="66">
        <f t="shared" si="17"/>
        <v>25</v>
      </c>
      <c r="O89" s="63">
        <f t="shared" si="18"/>
        <v>19832.523939808481</v>
      </c>
      <c r="P89" s="64">
        <f t="shared" si="22"/>
        <v>14764.227086183311</v>
      </c>
      <c r="Q89" s="64">
        <f t="shared" si="23"/>
        <v>5068.296853625171</v>
      </c>
      <c r="R89" s="69">
        <f t="shared" si="26"/>
        <v>20897.70159249226</v>
      </c>
      <c r="S89" s="69">
        <f t="shared" si="24"/>
        <v>15557.193468025622</v>
      </c>
      <c r="T89" s="69">
        <f t="shared" si="25"/>
        <v>5340.508124466638</v>
      </c>
      <c r="U89" s="18">
        <f t="shared" si="27"/>
        <v>0.5</v>
      </c>
      <c r="V89" s="54">
        <f t="shared" si="19"/>
        <v>9916.2619699042407</v>
      </c>
      <c r="W89" s="54">
        <f t="shared" si="20"/>
        <v>7382.1135430916556</v>
      </c>
      <c r="X89" s="54">
        <f t="shared" si="21"/>
        <v>2534.1484268125855</v>
      </c>
      <c r="Y89" s="19">
        <f t="shared" si="28"/>
        <v>40730.225532300741</v>
      </c>
    </row>
    <row r="90" spans="1:25" s="55" customFormat="1" x14ac:dyDescent="0.25">
      <c r="A90" s="8">
        <v>80</v>
      </c>
      <c r="B90" s="78" t="s">
        <v>110</v>
      </c>
      <c r="C90" s="86">
        <v>0.66196336961591062</v>
      </c>
      <c r="D90" s="8" t="s">
        <v>97</v>
      </c>
      <c r="E90" s="77"/>
      <c r="F90" s="90"/>
      <c r="G90" s="53" t="s">
        <v>159</v>
      </c>
      <c r="H90" s="72"/>
      <c r="I90" s="62">
        <f>IF(OR(F90="BG", F90="ĐK"),50, VLOOKUP($D$11:$D$107,'Quy định'!$B$10:$E$20,2,0))</f>
        <v>25</v>
      </c>
      <c r="J90" s="62">
        <f>E90*'Quy định'!$C$14</f>
        <v>0</v>
      </c>
      <c r="K90" s="62">
        <f t="shared" si="16"/>
        <v>25</v>
      </c>
      <c r="L90" s="66">
        <f>MAX(VLOOKUP($G$11:$G$107,'Quy định'!$B$11:$D$20,3,0),I90)</f>
        <v>25</v>
      </c>
      <c r="M90" s="67">
        <f>+H90*'Quy định'!$D$20+J90</f>
        <v>0</v>
      </c>
      <c r="N90" s="66">
        <f t="shared" si="17"/>
        <v>25</v>
      </c>
      <c r="O90" s="63">
        <f t="shared" si="18"/>
        <v>19832.523939808481</v>
      </c>
      <c r="P90" s="64">
        <f t="shared" si="22"/>
        <v>14764.227086183311</v>
      </c>
      <c r="Q90" s="64">
        <f t="shared" si="23"/>
        <v>5068.296853625171</v>
      </c>
      <c r="R90" s="69">
        <f t="shared" si="26"/>
        <v>20897.70159249226</v>
      </c>
      <c r="S90" s="69">
        <f t="shared" si="24"/>
        <v>15557.193468025622</v>
      </c>
      <c r="T90" s="69">
        <f t="shared" si="25"/>
        <v>5340.508124466638</v>
      </c>
      <c r="U90" s="18">
        <f t="shared" si="27"/>
        <v>0.4</v>
      </c>
      <c r="V90" s="54">
        <f t="shared" si="19"/>
        <v>7933.0095759233936</v>
      </c>
      <c r="W90" s="54">
        <f t="shared" si="20"/>
        <v>5905.6908344733247</v>
      </c>
      <c r="X90" s="54">
        <f t="shared" si="21"/>
        <v>2027.3187414500685</v>
      </c>
      <c r="Y90" s="19">
        <f t="shared" si="28"/>
        <v>40730.225532300741</v>
      </c>
    </row>
    <row r="91" spans="1:25" s="55" customFormat="1" x14ac:dyDescent="0.25">
      <c r="A91" s="8">
        <v>81</v>
      </c>
      <c r="B91" s="78" t="s">
        <v>111</v>
      </c>
      <c r="C91" s="86">
        <v>0.46024891632733483</v>
      </c>
      <c r="D91" s="8" t="s">
        <v>97</v>
      </c>
      <c r="E91" s="77"/>
      <c r="F91" s="90"/>
      <c r="G91" s="53" t="s">
        <v>159</v>
      </c>
      <c r="H91" s="72"/>
      <c r="I91" s="62">
        <f>IF(OR(F91="BG", F91="ĐK"),50, VLOOKUP($D$11:$D$107,'Quy định'!$B$10:$E$20,2,0))</f>
        <v>25</v>
      </c>
      <c r="J91" s="62">
        <f>E91*'Quy định'!$C$14</f>
        <v>0</v>
      </c>
      <c r="K91" s="62">
        <f t="shared" si="16"/>
        <v>25</v>
      </c>
      <c r="L91" s="66">
        <f>MAX(VLOOKUP($G$11:$G$107,'Quy định'!$B$11:$D$20,3,0),I91)</f>
        <v>25</v>
      </c>
      <c r="M91" s="67">
        <f>+H91*'Quy định'!$D$20+J91</f>
        <v>0</v>
      </c>
      <c r="N91" s="66">
        <f t="shared" si="17"/>
        <v>25</v>
      </c>
      <c r="O91" s="63">
        <f t="shared" si="18"/>
        <v>19832.523939808481</v>
      </c>
      <c r="P91" s="64">
        <f t="shared" si="22"/>
        <v>14764.227086183311</v>
      </c>
      <c r="Q91" s="64">
        <f t="shared" si="23"/>
        <v>5068.296853625171</v>
      </c>
      <c r="R91" s="69">
        <f t="shared" si="26"/>
        <v>20897.70159249226</v>
      </c>
      <c r="S91" s="69">
        <f t="shared" si="24"/>
        <v>15557.193468025622</v>
      </c>
      <c r="T91" s="69">
        <f t="shared" si="25"/>
        <v>5340.508124466638</v>
      </c>
      <c r="U91" s="18">
        <f t="shared" si="27"/>
        <v>0.4</v>
      </c>
      <c r="V91" s="54">
        <f t="shared" si="19"/>
        <v>7933.0095759233936</v>
      </c>
      <c r="W91" s="54">
        <f t="shared" si="20"/>
        <v>5905.6908344733247</v>
      </c>
      <c r="X91" s="54">
        <f t="shared" si="21"/>
        <v>2027.3187414500685</v>
      </c>
      <c r="Y91" s="19">
        <f t="shared" si="28"/>
        <v>40730.225532300741</v>
      </c>
    </row>
    <row r="92" spans="1:25" s="55" customFormat="1" x14ac:dyDescent="0.25">
      <c r="A92" s="8">
        <v>82</v>
      </c>
      <c r="B92" s="78" t="s">
        <v>113</v>
      </c>
      <c r="C92" s="86">
        <v>0.73945581446644926</v>
      </c>
      <c r="D92" s="8" t="s">
        <v>97</v>
      </c>
      <c r="E92" s="77"/>
      <c r="F92" s="90"/>
      <c r="G92" s="53" t="s">
        <v>159</v>
      </c>
      <c r="H92" s="72"/>
      <c r="I92" s="62">
        <f>IF(OR(F92="BG", F92="ĐK"),50, VLOOKUP($D$11:$D$107,'Quy định'!$B$10:$E$20,2,0))</f>
        <v>25</v>
      </c>
      <c r="J92" s="62">
        <f>E92*'Quy định'!$C$14</f>
        <v>0</v>
      </c>
      <c r="K92" s="62">
        <f t="shared" si="16"/>
        <v>25</v>
      </c>
      <c r="L92" s="66">
        <f>MAX(VLOOKUP($G$11:$G$107,'Quy định'!$B$11:$D$20,3,0),I92)</f>
        <v>25</v>
      </c>
      <c r="M92" s="67">
        <f>+H92*'Quy định'!$D$20+J92</f>
        <v>0</v>
      </c>
      <c r="N92" s="66">
        <f t="shared" si="17"/>
        <v>25</v>
      </c>
      <c r="O92" s="63">
        <f t="shared" si="18"/>
        <v>19832.523939808481</v>
      </c>
      <c r="P92" s="64">
        <f t="shared" si="22"/>
        <v>14764.227086183311</v>
      </c>
      <c r="Q92" s="64">
        <f t="shared" si="23"/>
        <v>5068.296853625171</v>
      </c>
      <c r="R92" s="69">
        <f t="shared" si="26"/>
        <v>20897.70159249226</v>
      </c>
      <c r="S92" s="69">
        <f t="shared" si="24"/>
        <v>15557.193468025622</v>
      </c>
      <c r="T92" s="69">
        <f t="shared" si="25"/>
        <v>5340.508124466638</v>
      </c>
      <c r="U92" s="18">
        <f t="shared" si="27"/>
        <v>0.3</v>
      </c>
      <c r="V92" s="54">
        <f t="shared" si="19"/>
        <v>5949.7571819425439</v>
      </c>
      <c r="W92" s="54">
        <f t="shared" si="20"/>
        <v>4429.2681258549928</v>
      </c>
      <c r="X92" s="54">
        <f t="shared" si="21"/>
        <v>1520.4890560875513</v>
      </c>
      <c r="Y92" s="19">
        <f t="shared" si="28"/>
        <v>40730.225532300741</v>
      </c>
    </row>
    <row r="93" spans="1:25" s="55" customFormat="1" x14ac:dyDescent="0.25">
      <c r="A93" s="8">
        <v>83</v>
      </c>
      <c r="B93" s="78" t="s">
        <v>5</v>
      </c>
      <c r="C93" s="86">
        <v>0.75824554918992182</v>
      </c>
      <c r="D93" s="8" t="s">
        <v>97</v>
      </c>
      <c r="E93" s="77"/>
      <c r="F93" s="90"/>
      <c r="G93" s="53" t="s">
        <v>159</v>
      </c>
      <c r="H93" s="72"/>
      <c r="I93" s="62">
        <f>IF(OR(F93="BG", F93="ĐK"),50, VLOOKUP($D$11:$D$107,'Quy định'!$B$10:$E$20,2,0))</f>
        <v>25</v>
      </c>
      <c r="J93" s="62">
        <f>E93*'Quy định'!$C$14</f>
        <v>0</v>
      </c>
      <c r="K93" s="62">
        <f t="shared" si="16"/>
        <v>25</v>
      </c>
      <c r="L93" s="66">
        <f>MAX(VLOOKUP($G$11:$G$107,'Quy định'!$B$11:$D$20,3,0),I93)</f>
        <v>25</v>
      </c>
      <c r="M93" s="67">
        <f>+H93*'Quy định'!$D$20+J93</f>
        <v>0</v>
      </c>
      <c r="N93" s="66">
        <f t="shared" si="17"/>
        <v>25</v>
      </c>
      <c r="O93" s="63">
        <f t="shared" si="18"/>
        <v>19832.523939808481</v>
      </c>
      <c r="P93" s="64">
        <f t="shared" si="22"/>
        <v>14764.227086183311</v>
      </c>
      <c r="Q93" s="64">
        <f t="shared" si="23"/>
        <v>5068.296853625171</v>
      </c>
      <c r="R93" s="69">
        <f t="shared" si="26"/>
        <v>20897.70159249226</v>
      </c>
      <c r="S93" s="69">
        <f t="shared" si="24"/>
        <v>15557.193468025622</v>
      </c>
      <c r="T93" s="69">
        <f t="shared" si="25"/>
        <v>5340.508124466638</v>
      </c>
      <c r="U93" s="18">
        <f t="shared" si="27"/>
        <v>0.3</v>
      </c>
      <c r="V93" s="54">
        <f t="shared" si="19"/>
        <v>5949.7571819425439</v>
      </c>
      <c r="W93" s="54">
        <f t="shared" si="20"/>
        <v>4429.2681258549928</v>
      </c>
      <c r="X93" s="54">
        <f t="shared" si="21"/>
        <v>1520.4890560875513</v>
      </c>
      <c r="Y93" s="19">
        <f t="shared" si="28"/>
        <v>40730.225532300741</v>
      </c>
    </row>
    <row r="94" spans="1:25" s="55" customFormat="1" x14ac:dyDescent="0.25">
      <c r="A94" s="8">
        <v>84</v>
      </c>
      <c r="B94" s="77" t="s">
        <v>118</v>
      </c>
      <c r="C94" s="85">
        <v>0.70886644219977557</v>
      </c>
      <c r="D94" s="8" t="s">
        <v>97</v>
      </c>
      <c r="E94" s="77"/>
      <c r="F94" s="90"/>
      <c r="G94" s="8" t="s">
        <v>159</v>
      </c>
      <c r="H94" s="71"/>
      <c r="I94" s="62">
        <f>IF(OR(F94="BG", F94="ĐK"),50, VLOOKUP($D$11:$D$107,'Quy định'!$B$10:$E$20,2,0))</f>
        <v>25</v>
      </c>
      <c r="J94" s="62">
        <f>E94*'Quy định'!$C$14</f>
        <v>0</v>
      </c>
      <c r="K94" s="62">
        <f t="shared" ref="K94:K107" si="29">+I94+J94</f>
        <v>25</v>
      </c>
      <c r="L94" s="66">
        <f>MAX(VLOOKUP($G$11:$G$107,'Quy định'!$B$11:$D$20,3,0),I94)</f>
        <v>25</v>
      </c>
      <c r="M94" s="67">
        <f>+H94*'Quy định'!$D$20+J94</f>
        <v>0</v>
      </c>
      <c r="N94" s="66">
        <f t="shared" ref="N94:N106" si="30">SUM(L94:M94)</f>
        <v>25</v>
      </c>
      <c r="O94" s="63">
        <f t="shared" ref="O94:O107" si="31">+P94+Q94</f>
        <v>19832.523939808481</v>
      </c>
      <c r="P94" s="64">
        <f t="shared" si="22"/>
        <v>14764.227086183311</v>
      </c>
      <c r="Q94" s="64">
        <f t="shared" si="23"/>
        <v>5068.296853625171</v>
      </c>
      <c r="R94" s="69">
        <f t="shared" si="26"/>
        <v>20897.70159249226</v>
      </c>
      <c r="S94" s="69">
        <f t="shared" si="24"/>
        <v>15557.193468025622</v>
      </c>
      <c r="T94" s="69">
        <f t="shared" si="25"/>
        <v>5340.508124466638</v>
      </c>
      <c r="U94" s="18">
        <f t="shared" si="27"/>
        <v>0.3</v>
      </c>
      <c r="V94" s="54">
        <f t="shared" ref="V94:V106" si="32">+W94+X94</f>
        <v>5949.7571819425439</v>
      </c>
      <c r="W94" s="54">
        <f t="shared" ref="W94:W106" si="33">IF(O94&gt;0,P94*U94,S94*U94)</f>
        <v>4429.2681258549928</v>
      </c>
      <c r="X94" s="54">
        <f t="shared" ref="X94:X106" si="34">IF(O94&gt;0,Q94*U94,T94*U94)</f>
        <v>1520.4890560875513</v>
      </c>
      <c r="Y94" s="19">
        <f t="shared" si="28"/>
        <v>40730.225532300741</v>
      </c>
    </row>
    <row r="95" spans="1:25" x14ac:dyDescent="0.25">
      <c r="A95" s="8">
        <v>85</v>
      </c>
      <c r="B95" s="76" t="s">
        <v>119</v>
      </c>
      <c r="C95" s="88">
        <v>0.57432043775165553</v>
      </c>
      <c r="D95" s="6" t="s">
        <v>97</v>
      </c>
      <c r="E95" s="76"/>
      <c r="F95" s="91"/>
      <c r="G95" s="6" t="s">
        <v>159</v>
      </c>
      <c r="H95" s="71"/>
      <c r="I95" s="62">
        <f>IF(OR(F95="BG", F95="ĐK"),50, VLOOKUP($D$11:$D$107,'Quy định'!$B$10:$E$20,2,0))</f>
        <v>25</v>
      </c>
      <c r="J95" s="62">
        <f>E95*'Quy định'!$C$14</f>
        <v>0</v>
      </c>
      <c r="K95" s="62">
        <f t="shared" si="29"/>
        <v>25</v>
      </c>
      <c r="L95" s="66">
        <f>MAX(VLOOKUP($G$11:$G$107,'Quy định'!$B$11:$D$20,3,0),I95)</f>
        <v>25</v>
      </c>
      <c r="M95" s="67">
        <f>+H95*'Quy định'!$D$20+J95</f>
        <v>0</v>
      </c>
      <c r="N95" s="66">
        <f t="shared" si="30"/>
        <v>25</v>
      </c>
      <c r="O95" s="63">
        <f t="shared" si="31"/>
        <v>19832.523939808481</v>
      </c>
      <c r="P95" s="64">
        <f t="shared" si="22"/>
        <v>14764.227086183311</v>
      </c>
      <c r="Q95" s="64">
        <f t="shared" si="23"/>
        <v>5068.296853625171</v>
      </c>
      <c r="R95" s="69">
        <f t="shared" si="26"/>
        <v>20897.70159249226</v>
      </c>
      <c r="S95" s="69">
        <f t="shared" si="24"/>
        <v>15557.193468025622</v>
      </c>
      <c r="T95" s="69">
        <f t="shared" si="25"/>
        <v>5340.508124466638</v>
      </c>
      <c r="U95" s="18">
        <f t="shared" si="27"/>
        <v>0.4</v>
      </c>
      <c r="V95" s="20">
        <f t="shared" si="32"/>
        <v>7933.0095759233936</v>
      </c>
      <c r="W95" s="20">
        <f t="shared" si="33"/>
        <v>5905.6908344733247</v>
      </c>
      <c r="X95" s="20">
        <f t="shared" si="34"/>
        <v>2027.3187414500685</v>
      </c>
      <c r="Y95" s="19">
        <f t="shared" si="28"/>
        <v>40730.225532300741</v>
      </c>
    </row>
    <row r="96" spans="1:25" x14ac:dyDescent="0.25">
      <c r="A96" s="6">
        <v>86</v>
      </c>
      <c r="B96" s="76" t="s">
        <v>120</v>
      </c>
      <c r="C96" s="88">
        <v>0.26016707281226592</v>
      </c>
      <c r="D96" s="6" t="s">
        <v>97</v>
      </c>
      <c r="E96" s="76"/>
      <c r="F96" s="91"/>
      <c r="G96" s="6" t="s">
        <v>159</v>
      </c>
      <c r="H96" s="71"/>
      <c r="I96" s="62">
        <f>IF(OR(F96="BG", F96="ĐK"),50, VLOOKUP($D$11:$D$107,'Quy định'!$B$10:$E$20,2,0))</f>
        <v>25</v>
      </c>
      <c r="J96" s="62">
        <f>E96*'Quy định'!$C$14</f>
        <v>0</v>
      </c>
      <c r="K96" s="62">
        <f t="shared" si="29"/>
        <v>25</v>
      </c>
      <c r="L96" s="66">
        <f>MAX(VLOOKUP($G$11:$G$107,'Quy định'!$B$11:$D$20,3,0),I96)</f>
        <v>25</v>
      </c>
      <c r="M96" s="67">
        <f>+H96*'Quy định'!$D$20+J96</f>
        <v>0</v>
      </c>
      <c r="N96" s="66">
        <f t="shared" si="30"/>
        <v>25</v>
      </c>
      <c r="O96" s="63">
        <f t="shared" si="31"/>
        <v>19832.523939808481</v>
      </c>
      <c r="P96" s="64">
        <f t="shared" si="22"/>
        <v>14764.227086183311</v>
      </c>
      <c r="Q96" s="64">
        <f t="shared" si="23"/>
        <v>5068.296853625171</v>
      </c>
      <c r="R96" s="69">
        <f t="shared" si="26"/>
        <v>20897.70159249226</v>
      </c>
      <c r="S96" s="69">
        <f t="shared" si="24"/>
        <v>15557.193468025622</v>
      </c>
      <c r="T96" s="69">
        <f t="shared" si="25"/>
        <v>5340.508124466638</v>
      </c>
      <c r="U96" s="18">
        <f t="shared" si="27"/>
        <v>0.5</v>
      </c>
      <c r="V96" s="20">
        <f t="shared" si="32"/>
        <v>9916.2619699042407</v>
      </c>
      <c r="W96" s="20">
        <f t="shared" si="33"/>
        <v>7382.1135430916556</v>
      </c>
      <c r="X96" s="20">
        <f t="shared" si="34"/>
        <v>2534.1484268125855</v>
      </c>
      <c r="Y96" s="19">
        <f t="shared" si="28"/>
        <v>40730.225532300741</v>
      </c>
    </row>
    <row r="97" spans="1:25" x14ac:dyDescent="0.25">
      <c r="A97" s="8">
        <v>87</v>
      </c>
      <c r="B97" s="76" t="s">
        <v>121</v>
      </c>
      <c r="C97" s="88">
        <v>0.68419827012641388</v>
      </c>
      <c r="D97" s="6" t="s">
        <v>97</v>
      </c>
      <c r="E97" s="76"/>
      <c r="F97" s="91"/>
      <c r="G97" s="6" t="s">
        <v>159</v>
      </c>
      <c r="H97" s="71"/>
      <c r="I97" s="62">
        <f>IF(OR(F97="BG", F97="ĐK"),50, VLOOKUP($D$11:$D$107,'Quy định'!$B$10:$E$20,2,0))</f>
        <v>25</v>
      </c>
      <c r="J97" s="62">
        <f>E97*'Quy định'!$C$14</f>
        <v>0</v>
      </c>
      <c r="K97" s="62">
        <f t="shared" si="29"/>
        <v>25</v>
      </c>
      <c r="L97" s="66">
        <f>MAX(VLOOKUP($G$11:$G$107,'Quy định'!$B$11:$D$20,3,0),I97)</f>
        <v>25</v>
      </c>
      <c r="M97" s="67">
        <f>+H97*'Quy định'!$D$20+J97</f>
        <v>0</v>
      </c>
      <c r="N97" s="66">
        <f t="shared" si="30"/>
        <v>25</v>
      </c>
      <c r="O97" s="63">
        <f t="shared" si="31"/>
        <v>19832.523939808481</v>
      </c>
      <c r="P97" s="64">
        <f t="shared" si="22"/>
        <v>14764.227086183311</v>
      </c>
      <c r="Q97" s="64">
        <f t="shared" si="23"/>
        <v>5068.296853625171</v>
      </c>
      <c r="R97" s="69">
        <f t="shared" si="26"/>
        <v>20897.70159249226</v>
      </c>
      <c r="S97" s="69">
        <f t="shared" si="24"/>
        <v>15557.193468025622</v>
      </c>
      <c r="T97" s="69">
        <f t="shared" si="25"/>
        <v>5340.508124466638</v>
      </c>
      <c r="U97" s="18">
        <f t="shared" si="27"/>
        <v>0.4</v>
      </c>
      <c r="V97" s="20">
        <f t="shared" si="32"/>
        <v>7933.0095759233936</v>
      </c>
      <c r="W97" s="20">
        <f t="shared" si="33"/>
        <v>5905.6908344733247</v>
      </c>
      <c r="X97" s="20">
        <f t="shared" si="34"/>
        <v>2027.3187414500685</v>
      </c>
      <c r="Y97" s="19">
        <f t="shared" si="28"/>
        <v>40730.225532300741</v>
      </c>
    </row>
    <row r="98" spans="1:25" x14ac:dyDescent="0.25">
      <c r="A98" s="6">
        <v>88</v>
      </c>
      <c r="B98" s="15" t="s">
        <v>127</v>
      </c>
      <c r="C98" s="89">
        <v>0.13331284968095519</v>
      </c>
      <c r="D98" s="6" t="s">
        <v>143</v>
      </c>
      <c r="E98" s="12"/>
      <c r="F98" s="23"/>
      <c r="G98" s="23" t="s">
        <v>161</v>
      </c>
      <c r="H98" s="72"/>
      <c r="I98" s="62">
        <f>IF(OR(F98="BG", F98="ĐK"),50, VLOOKUP($D$11:$D$107,'Quy định'!$B$10:$E$20,2,0))</f>
        <v>0</v>
      </c>
      <c r="J98" s="62">
        <f>E98*'Quy định'!$C$14</f>
        <v>0</v>
      </c>
      <c r="K98" s="62">
        <f t="shared" si="29"/>
        <v>0</v>
      </c>
      <c r="L98" s="66">
        <f>MAX(VLOOKUP($G$11:$G$107,'Quy định'!$B$11:$D$20,3,0),I98)</f>
        <v>25</v>
      </c>
      <c r="M98" s="67">
        <f>+H98*'Quy định'!$D$20+J98</f>
        <v>0</v>
      </c>
      <c r="N98" s="66">
        <f t="shared" si="30"/>
        <v>25</v>
      </c>
      <c r="O98" s="63">
        <f t="shared" si="31"/>
        <v>0</v>
      </c>
      <c r="P98" s="64">
        <f t="shared" si="22"/>
        <v>0</v>
      </c>
      <c r="Q98" s="64">
        <f t="shared" si="23"/>
        <v>0</v>
      </c>
      <c r="R98" s="69">
        <f t="shared" si="26"/>
        <v>20897.70159249226</v>
      </c>
      <c r="S98" s="69">
        <f t="shared" si="24"/>
        <v>15557.193468025622</v>
      </c>
      <c r="T98" s="69">
        <f t="shared" si="25"/>
        <v>5340.508124466638</v>
      </c>
      <c r="U98" s="18">
        <f t="shared" si="27"/>
        <v>0.5</v>
      </c>
      <c r="V98" s="20">
        <f t="shared" si="32"/>
        <v>10448.85079624613</v>
      </c>
      <c r="W98" s="20">
        <f t="shared" si="33"/>
        <v>7778.5967340128109</v>
      </c>
      <c r="X98" s="20">
        <f t="shared" si="34"/>
        <v>2670.254062233319</v>
      </c>
      <c r="Y98" s="19">
        <f t="shared" si="28"/>
        <v>20897.70159249226</v>
      </c>
    </row>
    <row r="99" spans="1:25" x14ac:dyDescent="0.25">
      <c r="A99" s="8">
        <v>89</v>
      </c>
      <c r="B99" s="15" t="s">
        <v>128</v>
      </c>
      <c r="C99" s="89">
        <v>0.66774533493714272</v>
      </c>
      <c r="D99" s="6" t="s">
        <v>143</v>
      </c>
      <c r="E99" s="12"/>
      <c r="F99" s="23"/>
      <c r="G99" s="23" t="s">
        <v>161</v>
      </c>
      <c r="H99" s="72"/>
      <c r="I99" s="62">
        <f>IF(OR(F99="BG", F99="ĐK"),50, VLOOKUP($D$11:$D$107,'Quy định'!$B$10:$E$20,2,0))</f>
        <v>0</v>
      </c>
      <c r="J99" s="62">
        <f>E99*'Quy định'!$C$14</f>
        <v>0</v>
      </c>
      <c r="K99" s="62">
        <f t="shared" si="29"/>
        <v>0</v>
      </c>
      <c r="L99" s="66">
        <f>MAX(VLOOKUP($G$11:$G$107,'Quy định'!$B$11:$D$20,3,0),I99)</f>
        <v>25</v>
      </c>
      <c r="M99" s="67">
        <f>+H99*'Quy định'!$D$20+J99</f>
        <v>0</v>
      </c>
      <c r="N99" s="66">
        <f t="shared" si="30"/>
        <v>25</v>
      </c>
      <c r="O99" s="63">
        <f t="shared" si="31"/>
        <v>0</v>
      </c>
      <c r="P99" s="64"/>
      <c r="Q99" s="64"/>
      <c r="R99" s="69">
        <f t="shared" si="26"/>
        <v>20897.70159249226</v>
      </c>
      <c r="S99" s="69">
        <f t="shared" si="24"/>
        <v>15557.193468025622</v>
      </c>
      <c r="T99" s="69">
        <f t="shared" si="25"/>
        <v>5340.508124466638</v>
      </c>
      <c r="U99" s="18">
        <f t="shared" si="27"/>
        <v>0.5</v>
      </c>
      <c r="V99" s="20">
        <f t="shared" si="32"/>
        <v>10448.85079624613</v>
      </c>
      <c r="W99" s="20">
        <f t="shared" si="33"/>
        <v>7778.5967340128109</v>
      </c>
      <c r="X99" s="20">
        <f t="shared" si="34"/>
        <v>2670.254062233319</v>
      </c>
      <c r="Y99" s="19">
        <f t="shared" si="28"/>
        <v>20897.70159249226</v>
      </c>
    </row>
    <row r="100" spans="1:25" x14ac:dyDescent="0.25">
      <c r="A100" s="6">
        <v>90</v>
      </c>
      <c r="B100" s="15" t="s">
        <v>123</v>
      </c>
      <c r="C100" s="89">
        <v>0.16894865623585853</v>
      </c>
      <c r="D100" s="6" t="s">
        <v>143</v>
      </c>
      <c r="E100" s="12"/>
      <c r="F100" s="23"/>
      <c r="G100" s="23" t="s">
        <v>161</v>
      </c>
      <c r="H100" s="72"/>
      <c r="I100" s="62">
        <f>IF(OR(F100="BG", F100="ĐK"),50, VLOOKUP($D$11:$D$107,'Quy định'!$B$10:$E$20,2,0))</f>
        <v>0</v>
      </c>
      <c r="J100" s="62">
        <f>E100*'Quy định'!$C$14</f>
        <v>0</v>
      </c>
      <c r="K100" s="62">
        <f t="shared" si="29"/>
        <v>0</v>
      </c>
      <c r="L100" s="66">
        <f>MAX(VLOOKUP($G$11:$G$107,'Quy định'!$B$11:$D$20,3,0),I100)</f>
        <v>25</v>
      </c>
      <c r="M100" s="67">
        <f>+H100*'Quy định'!$D$20+J100</f>
        <v>0</v>
      </c>
      <c r="N100" s="66">
        <f t="shared" si="30"/>
        <v>25</v>
      </c>
      <c r="O100" s="63">
        <f t="shared" si="31"/>
        <v>0</v>
      </c>
      <c r="P100" s="64"/>
      <c r="Q100" s="64"/>
      <c r="R100" s="69">
        <f t="shared" si="26"/>
        <v>20897.70159249226</v>
      </c>
      <c r="S100" s="69">
        <f t="shared" si="24"/>
        <v>15557.193468025622</v>
      </c>
      <c r="T100" s="69">
        <f t="shared" si="25"/>
        <v>5340.508124466638</v>
      </c>
      <c r="U100" s="18">
        <f t="shared" si="27"/>
        <v>0.5</v>
      </c>
      <c r="V100" s="20">
        <f t="shared" si="32"/>
        <v>10448.85079624613</v>
      </c>
      <c r="W100" s="20">
        <f t="shared" si="33"/>
        <v>7778.5967340128109</v>
      </c>
      <c r="X100" s="20">
        <f t="shared" si="34"/>
        <v>2670.254062233319</v>
      </c>
      <c r="Y100" s="19">
        <f t="shared" si="28"/>
        <v>20897.70159249226</v>
      </c>
    </row>
    <row r="101" spans="1:25" x14ac:dyDescent="0.25">
      <c r="A101" s="8">
        <v>91</v>
      </c>
      <c r="B101" s="15" t="s">
        <v>124</v>
      </c>
      <c r="C101" s="89">
        <v>0</v>
      </c>
      <c r="D101" s="6" t="s">
        <v>143</v>
      </c>
      <c r="E101" s="12"/>
      <c r="F101" s="23"/>
      <c r="G101" s="23" t="s">
        <v>161</v>
      </c>
      <c r="H101" s="72"/>
      <c r="I101" s="62">
        <f>IF(OR(F101="BG", F101="ĐK"),50, VLOOKUP($D$11:$D$107,'Quy định'!$B$10:$E$20,2,0))</f>
        <v>0</v>
      </c>
      <c r="J101" s="62">
        <f>E101*'Quy định'!$C$14</f>
        <v>0</v>
      </c>
      <c r="K101" s="62">
        <f t="shared" si="29"/>
        <v>0</v>
      </c>
      <c r="L101" s="66">
        <f>MAX(VLOOKUP($G$11:$G$107,'Quy định'!$B$11:$D$20,3,0),I101)</f>
        <v>25</v>
      </c>
      <c r="M101" s="67">
        <f>+H101*'Quy định'!$D$20+J101</f>
        <v>0</v>
      </c>
      <c r="N101" s="66">
        <f t="shared" si="30"/>
        <v>25</v>
      </c>
      <c r="O101" s="63">
        <f t="shared" si="31"/>
        <v>0</v>
      </c>
      <c r="P101" s="64"/>
      <c r="Q101" s="64"/>
      <c r="R101" s="69">
        <f t="shared" si="26"/>
        <v>20897.70159249226</v>
      </c>
      <c r="S101" s="69">
        <f t="shared" si="24"/>
        <v>15557.193468025622</v>
      </c>
      <c r="T101" s="69">
        <f t="shared" si="25"/>
        <v>5340.508124466638</v>
      </c>
      <c r="U101" s="18">
        <f t="shared" si="27"/>
        <v>0.5</v>
      </c>
      <c r="V101" s="20">
        <f t="shared" si="32"/>
        <v>10448.85079624613</v>
      </c>
      <c r="W101" s="20">
        <f t="shared" si="33"/>
        <v>7778.5967340128109</v>
      </c>
      <c r="X101" s="20">
        <f t="shared" si="34"/>
        <v>2670.254062233319</v>
      </c>
      <c r="Y101" s="19">
        <f t="shared" si="28"/>
        <v>20897.70159249226</v>
      </c>
    </row>
    <row r="102" spans="1:25" x14ac:dyDescent="0.25">
      <c r="A102" s="6">
        <v>92</v>
      </c>
      <c r="B102" s="15" t="s">
        <v>125</v>
      </c>
      <c r="C102" s="89">
        <v>0</v>
      </c>
      <c r="D102" s="6" t="s">
        <v>143</v>
      </c>
      <c r="E102" s="12"/>
      <c r="F102" s="23"/>
      <c r="G102" s="23" t="s">
        <v>161</v>
      </c>
      <c r="H102" s="72"/>
      <c r="I102" s="62">
        <f>IF(OR(F102="BG", F102="ĐK"),50, VLOOKUP($D$11:$D$107,'Quy định'!$B$10:$E$20,2,0))</f>
        <v>0</v>
      </c>
      <c r="J102" s="62">
        <f>E102*'Quy định'!$C$14</f>
        <v>0</v>
      </c>
      <c r="K102" s="62">
        <f t="shared" si="29"/>
        <v>0</v>
      </c>
      <c r="L102" s="66">
        <f>MAX(VLOOKUP($G$11:$G$107,'Quy định'!$B$11:$D$20,3,0),I102)</f>
        <v>25</v>
      </c>
      <c r="M102" s="67">
        <f>+H102*'Quy định'!$D$20+J102</f>
        <v>0</v>
      </c>
      <c r="N102" s="66">
        <f t="shared" si="30"/>
        <v>25</v>
      </c>
      <c r="O102" s="63">
        <f t="shared" si="31"/>
        <v>0</v>
      </c>
      <c r="P102" s="64"/>
      <c r="Q102" s="64"/>
      <c r="R102" s="69">
        <f t="shared" si="26"/>
        <v>20897.70159249226</v>
      </c>
      <c r="S102" s="69">
        <f t="shared" si="24"/>
        <v>15557.193468025622</v>
      </c>
      <c r="T102" s="69">
        <f t="shared" si="25"/>
        <v>5340.508124466638</v>
      </c>
      <c r="U102" s="18">
        <f t="shared" si="27"/>
        <v>0.5</v>
      </c>
      <c r="V102" s="20">
        <f t="shared" si="32"/>
        <v>10448.85079624613</v>
      </c>
      <c r="W102" s="20">
        <f t="shared" si="33"/>
        <v>7778.5967340128109</v>
      </c>
      <c r="X102" s="20">
        <f t="shared" si="34"/>
        <v>2670.254062233319</v>
      </c>
      <c r="Y102" s="19">
        <f t="shared" si="28"/>
        <v>20897.70159249226</v>
      </c>
    </row>
    <row r="103" spans="1:25" x14ac:dyDescent="0.25">
      <c r="A103" s="8">
        <v>93</v>
      </c>
      <c r="B103" s="15" t="s">
        <v>126</v>
      </c>
      <c r="C103" s="89">
        <v>0.70436793422404931</v>
      </c>
      <c r="D103" s="6" t="s">
        <v>143</v>
      </c>
      <c r="E103" s="12"/>
      <c r="F103" s="23"/>
      <c r="G103" s="23" t="s">
        <v>161</v>
      </c>
      <c r="H103" s="72"/>
      <c r="I103" s="62">
        <f>IF(OR(F103="BG", F103="ĐK"),50, VLOOKUP($D$11:$D$107,'Quy định'!$B$10:$E$20,2,0))</f>
        <v>0</v>
      </c>
      <c r="J103" s="62">
        <f>E103*'Quy định'!$C$14</f>
        <v>0</v>
      </c>
      <c r="K103" s="62">
        <f t="shared" si="29"/>
        <v>0</v>
      </c>
      <c r="L103" s="66">
        <f>MAX(VLOOKUP($G$11:$G$107,'Quy định'!$B$11:$D$20,3,0),I103)</f>
        <v>25</v>
      </c>
      <c r="M103" s="67">
        <f>+H103*'Quy định'!$D$20+J103</f>
        <v>0</v>
      </c>
      <c r="N103" s="66">
        <f t="shared" si="30"/>
        <v>25</v>
      </c>
      <c r="O103" s="63">
        <f t="shared" si="31"/>
        <v>0</v>
      </c>
      <c r="P103" s="64"/>
      <c r="Q103" s="64"/>
      <c r="R103" s="69">
        <f t="shared" si="26"/>
        <v>20897.70159249226</v>
      </c>
      <c r="S103" s="69">
        <f t="shared" si="24"/>
        <v>15557.193468025622</v>
      </c>
      <c r="T103" s="69">
        <f t="shared" si="25"/>
        <v>5340.508124466638</v>
      </c>
      <c r="U103" s="18">
        <f t="shared" si="27"/>
        <v>0.5</v>
      </c>
      <c r="V103" s="20">
        <f t="shared" si="32"/>
        <v>10448.85079624613</v>
      </c>
      <c r="W103" s="20">
        <f t="shared" si="33"/>
        <v>7778.5967340128109</v>
      </c>
      <c r="X103" s="20">
        <f t="shared" si="34"/>
        <v>2670.254062233319</v>
      </c>
      <c r="Y103" s="19">
        <f t="shared" si="28"/>
        <v>20897.70159249226</v>
      </c>
    </row>
    <row r="104" spans="1:25" x14ac:dyDescent="0.25">
      <c r="A104" s="6">
        <v>94</v>
      </c>
      <c r="B104" s="15" t="s">
        <v>64</v>
      </c>
      <c r="C104" s="89">
        <v>0.10241227111829743</v>
      </c>
      <c r="D104" s="6" t="s">
        <v>78</v>
      </c>
      <c r="E104" s="12"/>
      <c r="F104" s="23"/>
      <c r="G104" s="23" t="s">
        <v>161</v>
      </c>
      <c r="H104" s="72"/>
      <c r="I104" s="62">
        <f>IF(OR(F104="BG", F104="ĐK"),50, VLOOKUP($D$11:$D$107,'Quy định'!$B$10:$E$20,2,0))</f>
        <v>30</v>
      </c>
      <c r="J104" s="62">
        <f>E104*'Quy định'!$C$14</f>
        <v>0</v>
      </c>
      <c r="K104" s="62">
        <f t="shared" si="29"/>
        <v>30</v>
      </c>
      <c r="L104" s="66">
        <f>MAX(VLOOKUP($G$11:$G$107,'Quy định'!$B$11:$D$20,3,0),I104)</f>
        <v>30</v>
      </c>
      <c r="M104" s="67">
        <f>+H104*'Quy định'!$D$20+J104</f>
        <v>0</v>
      </c>
      <c r="N104" s="66">
        <f t="shared" si="30"/>
        <v>30</v>
      </c>
      <c r="O104" s="63">
        <f t="shared" si="31"/>
        <v>0</v>
      </c>
      <c r="P104" s="64"/>
      <c r="Q104" s="64"/>
      <c r="R104" s="69">
        <f t="shared" si="26"/>
        <v>25077.241910990713</v>
      </c>
      <c r="S104" s="69">
        <f t="shared" si="24"/>
        <v>18668.632161630747</v>
      </c>
      <c r="T104" s="69">
        <f t="shared" si="25"/>
        <v>6408.6097493599664</v>
      </c>
      <c r="U104" s="18">
        <f t="shared" si="27"/>
        <v>0.5</v>
      </c>
      <c r="V104" s="20">
        <f t="shared" si="32"/>
        <v>12538.620955495357</v>
      </c>
      <c r="W104" s="20">
        <f t="shared" si="33"/>
        <v>9334.3160808153734</v>
      </c>
      <c r="X104" s="20">
        <f t="shared" si="34"/>
        <v>3204.3048746799832</v>
      </c>
      <c r="Y104" s="19">
        <f t="shared" si="28"/>
        <v>25077.241910990713</v>
      </c>
    </row>
    <row r="105" spans="1:25" x14ac:dyDescent="0.25">
      <c r="A105" s="8">
        <v>95</v>
      </c>
      <c r="B105" s="15" t="s">
        <v>65</v>
      </c>
      <c r="C105" s="89">
        <v>7.6613558770931558E-3</v>
      </c>
      <c r="D105" s="6" t="s">
        <v>78</v>
      </c>
      <c r="E105" s="12"/>
      <c r="F105" s="23"/>
      <c r="G105" s="23" t="s">
        <v>161</v>
      </c>
      <c r="H105" s="72"/>
      <c r="I105" s="62">
        <f>IF(OR(F105="BG", F105="ĐK"),50, VLOOKUP($D$11:$D$107,'Quy định'!$B$10:$E$20,2,0))</f>
        <v>30</v>
      </c>
      <c r="J105" s="62">
        <f>E105*'Quy định'!$C$14</f>
        <v>0</v>
      </c>
      <c r="K105" s="62">
        <f t="shared" si="29"/>
        <v>30</v>
      </c>
      <c r="L105" s="66">
        <f>MAX(VLOOKUP($G$11:$G$107,'Quy định'!$B$11:$D$20,3,0),I105)</f>
        <v>30</v>
      </c>
      <c r="M105" s="67">
        <f>+H105*'Quy định'!$D$20+J105</f>
        <v>0</v>
      </c>
      <c r="N105" s="66">
        <f t="shared" si="30"/>
        <v>30</v>
      </c>
      <c r="O105" s="63">
        <f t="shared" si="31"/>
        <v>0</v>
      </c>
      <c r="P105" s="64"/>
      <c r="Q105" s="64"/>
      <c r="R105" s="69">
        <f t="shared" si="26"/>
        <v>25077.241910990713</v>
      </c>
      <c r="S105" s="69">
        <f t="shared" si="24"/>
        <v>18668.632161630747</v>
      </c>
      <c r="T105" s="69">
        <f t="shared" si="25"/>
        <v>6408.6097493599664</v>
      </c>
      <c r="U105" s="18">
        <f t="shared" si="27"/>
        <v>0.5</v>
      </c>
      <c r="V105" s="20">
        <f t="shared" si="32"/>
        <v>12538.620955495357</v>
      </c>
      <c r="W105" s="20">
        <f t="shared" si="33"/>
        <v>9334.3160808153734</v>
      </c>
      <c r="X105" s="20">
        <f t="shared" si="34"/>
        <v>3204.3048746799832</v>
      </c>
      <c r="Y105" s="19">
        <f t="shared" si="28"/>
        <v>25077.241910990713</v>
      </c>
    </row>
    <row r="106" spans="1:25" x14ac:dyDescent="0.25">
      <c r="A106" s="6">
        <v>96</v>
      </c>
      <c r="B106" s="15" t="s">
        <v>66</v>
      </c>
      <c r="C106" s="89">
        <v>0.19322537810774923</v>
      </c>
      <c r="D106" s="6" t="s">
        <v>78</v>
      </c>
      <c r="E106" s="12"/>
      <c r="F106" s="23"/>
      <c r="G106" s="23" t="s">
        <v>161</v>
      </c>
      <c r="H106" s="72"/>
      <c r="I106" s="62">
        <f>IF(OR(F106="BG", F106="ĐK"),50, VLOOKUP($D$11:$D$107,'Quy định'!$B$10:$E$20,2,0))</f>
        <v>30</v>
      </c>
      <c r="J106" s="62">
        <f>E106*'Quy định'!$C$14</f>
        <v>0</v>
      </c>
      <c r="K106" s="62">
        <f t="shared" si="29"/>
        <v>30</v>
      </c>
      <c r="L106" s="66">
        <f>MAX(VLOOKUP($G$11:$G$107,'Quy định'!$B$11:$D$20,3,0),I106)</f>
        <v>30</v>
      </c>
      <c r="M106" s="67">
        <f>+H106*'Quy định'!$D$20+J106</f>
        <v>0</v>
      </c>
      <c r="N106" s="66">
        <f t="shared" si="30"/>
        <v>30</v>
      </c>
      <c r="O106" s="63">
        <f t="shared" si="31"/>
        <v>0</v>
      </c>
      <c r="P106" s="64"/>
      <c r="Q106" s="64"/>
      <c r="R106" s="69">
        <f t="shared" si="26"/>
        <v>25077.241910990713</v>
      </c>
      <c r="S106" s="69">
        <f t="shared" si="24"/>
        <v>18668.632161630747</v>
      </c>
      <c r="T106" s="69">
        <f t="shared" si="25"/>
        <v>6408.6097493599664</v>
      </c>
      <c r="U106" s="18">
        <f t="shared" si="27"/>
        <v>0.5</v>
      </c>
      <c r="V106" s="20">
        <f t="shared" si="32"/>
        <v>12538.620955495357</v>
      </c>
      <c r="W106" s="20">
        <f t="shared" si="33"/>
        <v>9334.3160808153734</v>
      </c>
      <c r="X106" s="20">
        <f t="shared" si="34"/>
        <v>3204.3048746799832</v>
      </c>
      <c r="Y106" s="19">
        <f t="shared" si="28"/>
        <v>25077.241910990713</v>
      </c>
    </row>
    <row r="107" spans="1:25" x14ac:dyDescent="0.25">
      <c r="A107" s="8">
        <v>97</v>
      </c>
      <c r="B107" s="47" t="s">
        <v>142</v>
      </c>
      <c r="C107" s="47"/>
      <c r="D107" s="46"/>
      <c r="E107" s="47"/>
      <c r="F107" s="48"/>
      <c r="G107" s="48"/>
      <c r="H107" s="48"/>
      <c r="I107" s="47"/>
      <c r="J107" s="47">
        <f>E107*'Quy định'!$C$14</f>
        <v>0</v>
      </c>
      <c r="K107" s="47">
        <f t="shared" si="29"/>
        <v>0</v>
      </c>
      <c r="L107" s="46"/>
      <c r="M107" s="80">
        <f>+H107*'Quy định'!$D$20+J107</f>
        <v>0</v>
      </c>
      <c r="N107" s="46">
        <f t="shared" ref="N107" si="35">SUM(L107:M107)</f>
        <v>0</v>
      </c>
      <c r="O107" s="49">
        <f t="shared" si="31"/>
        <v>386602</v>
      </c>
      <c r="P107" s="50">
        <f>2878040*0.1</f>
        <v>287804</v>
      </c>
      <c r="Q107" s="50">
        <f>987980*0.1</f>
        <v>98798</v>
      </c>
      <c r="R107" s="50">
        <f t="shared" si="26"/>
        <v>583769.02</v>
      </c>
      <c r="S107" s="52">
        <f>2878040*1.51*0.1</f>
        <v>434584.04000000004</v>
      </c>
      <c r="T107" s="52">
        <f>987980*1.51*0.1</f>
        <v>149184.98000000001</v>
      </c>
      <c r="U107" s="51"/>
      <c r="V107" s="52"/>
      <c r="W107" s="52"/>
      <c r="X107" s="52"/>
      <c r="Y107" s="24">
        <f t="shared" si="28"/>
        <v>970371.02</v>
      </c>
    </row>
    <row r="108" spans="1:25" x14ac:dyDescent="0.25">
      <c r="A108" s="13"/>
      <c r="B108" s="13" t="s">
        <v>101</v>
      </c>
      <c r="C108" s="13"/>
      <c r="D108" s="13"/>
      <c r="E108" s="36">
        <f>SUM(E11:E107)</f>
        <v>561</v>
      </c>
      <c r="F108" s="94"/>
      <c r="G108" s="94"/>
      <c r="H108" s="73">
        <f t="shared" ref="H108:N108" si="36">SUM(H11:H107)</f>
        <v>0</v>
      </c>
      <c r="I108" s="95">
        <f>SUM(I11:I97)</f>
        <v>3825</v>
      </c>
      <c r="J108" s="95">
        <f t="shared" ref="J108:K108" si="37">SUM(J11:J97)</f>
        <v>561</v>
      </c>
      <c r="K108" s="95">
        <f t="shared" si="37"/>
        <v>4386</v>
      </c>
      <c r="L108" s="68">
        <f t="shared" si="36"/>
        <v>4065</v>
      </c>
      <c r="M108" s="68">
        <f t="shared" si="36"/>
        <v>561</v>
      </c>
      <c r="N108" s="68">
        <f t="shared" si="36"/>
        <v>4626</v>
      </c>
      <c r="O108" s="65">
        <f>SUM(O11:O107)</f>
        <v>3866019.9999999958</v>
      </c>
      <c r="P108" s="65">
        <f t="shared" ref="P108:X108" si="38">SUM(P11:P107)</f>
        <v>2878039.9999999972</v>
      </c>
      <c r="Q108" s="65">
        <f t="shared" si="38"/>
        <v>987980.00000000058</v>
      </c>
      <c r="R108" s="70">
        <f t="shared" si="38"/>
        <v>4450679.7226747703</v>
      </c>
      <c r="S108" s="70">
        <f t="shared" si="38"/>
        <v>3313287.1193234581</v>
      </c>
      <c r="T108" s="70">
        <f t="shared" si="38"/>
        <v>1137392.6033513069</v>
      </c>
      <c r="U108" s="14">
        <f t="shared" si="38"/>
        <v>36.499999999999986</v>
      </c>
      <c r="V108" s="14">
        <f t="shared" si="38"/>
        <v>1366099.9755783004</v>
      </c>
      <c r="W108" s="14">
        <f t="shared" si="38"/>
        <v>1016986.5581950878</v>
      </c>
      <c r="X108" s="14">
        <f t="shared" si="38"/>
        <v>349113.41738321289</v>
      </c>
    </row>
    <row r="109" spans="1:25" x14ac:dyDescent="0.25">
      <c r="A109" s="28"/>
      <c r="B109" s="28"/>
      <c r="C109" s="28"/>
      <c r="D109" s="28"/>
      <c r="E109" s="28"/>
      <c r="F109" s="29"/>
      <c r="G109" s="29"/>
      <c r="H109" s="29"/>
      <c r="I109" s="28"/>
      <c r="J109" s="28"/>
      <c r="K109" s="30"/>
      <c r="L109" s="28"/>
      <c r="M109" s="28"/>
      <c r="N109" s="28"/>
      <c r="O109" s="31"/>
      <c r="P109" s="31"/>
      <c r="Q109" s="31"/>
      <c r="R109" s="31">
        <f>+R108/O108</f>
        <v>1.1512303926712162</v>
      </c>
      <c r="S109" s="31">
        <f t="shared" ref="S109:T109" si="39">+S108/P108</f>
        <v>1.1512303926712142</v>
      </c>
      <c r="T109" s="31">
        <f t="shared" si="39"/>
        <v>1.1512303926712142</v>
      </c>
      <c r="U109" s="31"/>
      <c r="V109" s="31">
        <f>+V108/R128</f>
        <v>0.35336081437196426</v>
      </c>
      <c r="W109" s="31">
        <f t="shared" ref="W109:X109" si="40">+W108/S128</f>
        <v>0.35336081437196454</v>
      </c>
      <c r="X109" s="31">
        <f t="shared" si="40"/>
        <v>0.35336081437196371</v>
      </c>
    </row>
    <row r="110" spans="1:25" x14ac:dyDescent="0.25">
      <c r="A110" s="28"/>
      <c r="B110" s="28"/>
      <c r="C110" s="28"/>
      <c r="D110" s="28"/>
      <c r="E110" s="28"/>
      <c r="F110" s="29"/>
      <c r="G110" s="29"/>
      <c r="H110" s="29"/>
      <c r="I110" s="28"/>
      <c r="J110" s="28"/>
      <c r="K110" s="30"/>
      <c r="L110" s="28"/>
      <c r="M110" s="28"/>
      <c r="N110" s="28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1:25" x14ac:dyDescent="0.25">
      <c r="A111" s="28"/>
      <c r="B111" s="28"/>
      <c r="C111" s="28"/>
      <c r="D111" s="28"/>
      <c r="E111" s="28"/>
      <c r="F111" s="29"/>
      <c r="G111" s="29"/>
      <c r="H111" s="29"/>
      <c r="I111" s="28"/>
      <c r="J111" s="28"/>
      <c r="K111" s="30"/>
      <c r="L111" s="28"/>
      <c r="M111" s="28"/>
      <c r="N111" s="28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32"/>
    </row>
    <row r="112" spans="1:25" x14ac:dyDescent="0.25">
      <c r="A112" s="28"/>
      <c r="B112" s="28"/>
      <c r="C112" s="28"/>
      <c r="D112" s="28"/>
      <c r="E112" s="28"/>
      <c r="F112" s="29"/>
      <c r="G112" s="29"/>
      <c r="H112" s="29"/>
      <c r="I112" s="28"/>
      <c r="J112" s="28"/>
      <c r="K112" s="30"/>
      <c r="L112" s="28"/>
      <c r="M112" s="28"/>
      <c r="N112" s="28"/>
      <c r="O112" s="57"/>
      <c r="P112" s="57"/>
      <c r="Q112" s="57"/>
      <c r="R112" s="57"/>
      <c r="S112" s="57"/>
      <c r="T112" s="57"/>
      <c r="U112" s="57"/>
      <c r="V112" s="57"/>
      <c r="W112" s="57">
        <v>1032553.2806765389</v>
      </c>
      <c r="X112" s="57">
        <v>354457.19664869329</v>
      </c>
      <c r="Y112" s="32"/>
    </row>
    <row r="113" spans="1:25" x14ac:dyDescent="0.25">
      <c r="A113" s="28"/>
      <c r="B113" s="28"/>
      <c r="C113" s="28"/>
      <c r="D113" s="28"/>
      <c r="E113" s="28"/>
      <c r="F113" s="29"/>
      <c r="G113" s="29"/>
      <c r="H113" s="29"/>
      <c r="I113" s="28"/>
      <c r="J113" s="28"/>
      <c r="K113" s="30"/>
      <c r="L113" s="28"/>
      <c r="M113" s="28"/>
      <c r="N113" s="28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32"/>
    </row>
    <row r="114" spans="1:25" x14ac:dyDescent="0.25">
      <c r="O114" s="32"/>
      <c r="P114" s="58"/>
      <c r="Q114" s="58"/>
      <c r="R114" s="59"/>
      <c r="S114" s="59"/>
      <c r="T114" s="59"/>
      <c r="U114" s="32"/>
      <c r="V114" s="32"/>
      <c r="W114" s="57"/>
      <c r="X114" s="57"/>
      <c r="Y114" s="32"/>
    </row>
    <row r="115" spans="1:25" x14ac:dyDescent="0.25">
      <c r="O115" s="32"/>
      <c r="P115" s="32"/>
      <c r="Q115" s="32"/>
      <c r="R115" s="32"/>
      <c r="S115" s="32"/>
      <c r="T115" s="32"/>
      <c r="U115" s="32"/>
      <c r="V115" s="32"/>
      <c r="W115" s="60"/>
      <c r="X115" s="60"/>
      <c r="Y115" s="32"/>
    </row>
    <row r="116" spans="1:25" x14ac:dyDescent="0.25">
      <c r="O116" s="32"/>
      <c r="P116" s="32"/>
      <c r="Q116" s="32"/>
      <c r="R116" s="32"/>
      <c r="S116" s="32"/>
      <c r="T116" s="32"/>
      <c r="U116" s="59"/>
      <c r="V116" s="32"/>
      <c r="W116" s="32"/>
      <c r="X116" s="32"/>
      <c r="Y116" s="32"/>
    </row>
    <row r="117" spans="1:25" x14ac:dyDescent="0.25">
      <c r="O117" s="32"/>
      <c r="P117" s="32"/>
      <c r="Q117" s="59"/>
      <c r="R117" s="59"/>
      <c r="S117" s="59"/>
      <c r="T117" s="59"/>
      <c r="U117" s="59"/>
      <c r="V117" s="59"/>
      <c r="W117" s="32"/>
      <c r="X117" s="32"/>
      <c r="Y117" s="32"/>
    </row>
    <row r="118" spans="1:25" x14ac:dyDescent="0.25"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</row>
    <row r="119" spans="1:25" x14ac:dyDescent="0.25">
      <c r="D119" s="32"/>
      <c r="E119" s="32"/>
      <c r="F119" s="9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</row>
    <row r="120" spans="1:25" x14ac:dyDescent="0.25">
      <c r="D120" s="32"/>
      <c r="E120" s="32"/>
      <c r="F120" s="92"/>
      <c r="O120" s="32"/>
      <c r="P120" s="32"/>
      <c r="Q120" s="32"/>
      <c r="R120" s="32"/>
      <c r="S120" s="32"/>
      <c r="T120" s="32"/>
      <c r="U120" s="32"/>
      <c r="V120" s="59"/>
      <c r="W120" s="32"/>
      <c r="X120" s="32"/>
      <c r="Y120" s="32"/>
    </row>
    <row r="121" spans="1:25" x14ac:dyDescent="0.25">
      <c r="D121" s="32"/>
      <c r="E121" s="32"/>
      <c r="F121" s="92"/>
      <c r="O121" s="32"/>
      <c r="P121" s="32"/>
      <c r="Q121" s="32"/>
      <c r="R121" s="32"/>
      <c r="S121" s="32"/>
      <c r="T121" s="59"/>
      <c r="U121" s="59"/>
      <c r="V121" s="32"/>
      <c r="W121" s="32"/>
      <c r="X121" s="32"/>
      <c r="Y121" s="32"/>
    </row>
    <row r="122" spans="1:25" x14ac:dyDescent="0.25">
      <c r="T122" s="19"/>
      <c r="U122" s="19"/>
    </row>
    <row r="127" spans="1:25" ht="31.5" x14ac:dyDescent="0.25">
      <c r="Q127" s="27" t="s">
        <v>166</v>
      </c>
      <c r="R127" s="35" t="s">
        <v>96</v>
      </c>
      <c r="S127" s="25" t="s">
        <v>99</v>
      </c>
      <c r="T127" s="26" t="s">
        <v>100</v>
      </c>
    </row>
    <row r="128" spans="1:25" x14ac:dyDescent="0.25">
      <c r="Q128" s="13" t="s">
        <v>162</v>
      </c>
      <c r="R128" s="14">
        <f>+S128+T128</f>
        <v>3866019.9999999977</v>
      </c>
      <c r="S128" s="14">
        <f>+P108</f>
        <v>2878039.9999999972</v>
      </c>
      <c r="T128" s="14">
        <f>+Q108</f>
        <v>987980.00000000058</v>
      </c>
    </row>
    <row r="129" spans="17:23" x14ac:dyDescent="0.25">
      <c r="Q129" s="13" t="s">
        <v>163</v>
      </c>
      <c r="R129" s="14">
        <f t="shared" ref="R129:R131" si="41">+S129+T129</f>
        <v>5816779.6982530653</v>
      </c>
      <c r="S129" s="14">
        <f>+S130+S131</f>
        <v>4330273.6775185456</v>
      </c>
      <c r="T129" s="14">
        <f>+T130+T131</f>
        <v>1486506.0207345197</v>
      </c>
      <c r="U129" s="19">
        <f>+R129/R128</f>
        <v>1.5045912070431784</v>
      </c>
      <c r="V129" s="19">
        <f t="shared" ref="V129:W129" si="42">+S129/S128</f>
        <v>1.5045912070431786</v>
      </c>
      <c r="W129" s="19">
        <f t="shared" si="42"/>
        <v>1.5045912070431777</v>
      </c>
    </row>
    <row r="130" spans="17:23" x14ac:dyDescent="0.25">
      <c r="Q130" s="12" t="s">
        <v>164</v>
      </c>
      <c r="R130" s="20">
        <f t="shared" si="41"/>
        <v>4450679.7226747647</v>
      </c>
      <c r="S130" s="20">
        <f>+S108</f>
        <v>3313287.1193234581</v>
      </c>
      <c r="T130" s="20">
        <f>+T108</f>
        <v>1137392.6033513069</v>
      </c>
    </row>
    <row r="131" spans="17:23" x14ac:dyDescent="0.25">
      <c r="Q131" s="12" t="s">
        <v>165</v>
      </c>
      <c r="R131" s="20">
        <f t="shared" si="41"/>
        <v>1366099.9755783007</v>
      </c>
      <c r="S131" s="20">
        <f>+$W$108</f>
        <v>1016986.5581950878</v>
      </c>
      <c r="T131" s="20">
        <f>+X108</f>
        <v>349113.41738321289</v>
      </c>
    </row>
    <row r="135" spans="17:23" x14ac:dyDescent="0.25">
      <c r="R135" s="11"/>
    </row>
  </sheetData>
  <autoFilter ref="A10:Q116"/>
  <sortState ref="A74:AA93">
    <sortCondition ref="F74:F93"/>
  </sortState>
  <mergeCells count="30">
    <mergeCell ref="A8:A10"/>
    <mergeCell ref="B8:B10"/>
    <mergeCell ref="L8:N8"/>
    <mergeCell ref="I9:I10"/>
    <mergeCell ref="J9:J10"/>
    <mergeCell ref="K9:K10"/>
    <mergeCell ref="L9:L10"/>
    <mergeCell ref="I8:K8"/>
    <mergeCell ref="D8:H8"/>
    <mergeCell ref="G9:G10"/>
    <mergeCell ref="H9:H10"/>
    <mergeCell ref="D9:D10"/>
    <mergeCell ref="E9:E10"/>
    <mergeCell ref="F9:F10"/>
    <mergeCell ref="N9:N10"/>
    <mergeCell ref="M9:M10"/>
    <mergeCell ref="C8:C10"/>
    <mergeCell ref="V9:V10"/>
    <mergeCell ref="W9:W10"/>
    <mergeCell ref="O8:Q8"/>
    <mergeCell ref="R8:T8"/>
    <mergeCell ref="U8:X8"/>
    <mergeCell ref="O9:O10"/>
    <mergeCell ref="P9:P10"/>
    <mergeCell ref="Q9:Q10"/>
    <mergeCell ref="X9:X10"/>
    <mergeCell ref="R9:R10"/>
    <mergeCell ref="S9:S10"/>
    <mergeCell ref="T9:T10"/>
    <mergeCell ref="U9:U10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0:G76"/>
  <sheetViews>
    <sheetView workbookViewId="0">
      <selection activeCell="I21" sqref="I21"/>
    </sheetView>
  </sheetViews>
  <sheetFormatPr defaultRowHeight="18.75" x14ac:dyDescent="0.3"/>
  <cols>
    <col min="1" max="1" width="25.85546875" style="38" bestFit="1" customWidth="1"/>
    <col min="2" max="2" width="16.85546875" style="38" customWidth="1"/>
    <col min="3" max="3" width="13.85546875" style="38" bestFit="1" customWidth="1"/>
    <col min="4" max="4" width="11" style="38" bestFit="1" customWidth="1"/>
    <col min="5" max="5" width="16.7109375" style="38" bestFit="1" customWidth="1"/>
    <col min="6" max="6" width="9.140625" style="38"/>
    <col min="7" max="7" width="11.5703125" style="38" bestFit="1" customWidth="1"/>
    <col min="8" max="16384" width="9.140625" style="38"/>
  </cols>
  <sheetData>
    <row r="10" spans="1:5" x14ac:dyDescent="0.3">
      <c r="A10" s="127" t="s">
        <v>149</v>
      </c>
      <c r="B10" s="128"/>
      <c r="C10" s="37" t="s">
        <v>146</v>
      </c>
      <c r="D10" s="37" t="s">
        <v>147</v>
      </c>
      <c r="E10" s="37" t="s">
        <v>148</v>
      </c>
    </row>
    <row r="11" spans="1:5" x14ac:dyDescent="0.3">
      <c r="A11" s="39" t="s">
        <v>150</v>
      </c>
      <c r="B11" s="40" t="s">
        <v>78</v>
      </c>
      <c r="C11" s="40">
        <v>30</v>
      </c>
      <c r="D11" s="40">
        <v>30</v>
      </c>
      <c r="E11" s="41">
        <v>0.5</v>
      </c>
    </row>
    <row r="12" spans="1:5" x14ac:dyDescent="0.3">
      <c r="A12" s="39" t="s">
        <v>151</v>
      </c>
      <c r="B12" s="40" t="s">
        <v>85</v>
      </c>
      <c r="C12" s="40">
        <v>40</v>
      </c>
      <c r="D12" s="40">
        <v>40</v>
      </c>
      <c r="E12" s="41">
        <v>0.45</v>
      </c>
    </row>
    <row r="13" spans="1:5" x14ac:dyDescent="0.3">
      <c r="A13" s="39" t="s">
        <v>152</v>
      </c>
      <c r="B13" s="40" t="s">
        <v>87</v>
      </c>
      <c r="C13" s="40">
        <v>50</v>
      </c>
      <c r="D13" s="40">
        <v>50</v>
      </c>
      <c r="E13" s="41">
        <v>0.35</v>
      </c>
    </row>
    <row r="14" spans="1:5" x14ac:dyDescent="0.3">
      <c r="A14" s="39" t="s">
        <v>174</v>
      </c>
      <c r="B14" s="40" t="s">
        <v>90</v>
      </c>
      <c r="C14" s="40">
        <v>1</v>
      </c>
      <c r="D14" s="40">
        <v>1</v>
      </c>
      <c r="E14" s="40"/>
    </row>
    <row r="15" spans="1:5" x14ac:dyDescent="0.3">
      <c r="A15" s="39" t="s">
        <v>153</v>
      </c>
      <c r="B15" s="40" t="s">
        <v>97</v>
      </c>
      <c r="C15" s="40">
        <v>25</v>
      </c>
      <c r="D15" s="40">
        <v>25</v>
      </c>
      <c r="E15" s="41">
        <v>0.5</v>
      </c>
    </row>
    <row r="16" spans="1:5" x14ac:dyDescent="0.3">
      <c r="A16" s="42" t="s">
        <v>172</v>
      </c>
      <c r="B16" s="42" t="s">
        <v>143</v>
      </c>
      <c r="C16" s="42">
        <v>0</v>
      </c>
      <c r="D16" s="42">
        <v>50</v>
      </c>
      <c r="E16" s="43">
        <v>0.5</v>
      </c>
    </row>
    <row r="17" spans="1:5" x14ac:dyDescent="0.3">
      <c r="A17" s="42" t="s">
        <v>154</v>
      </c>
      <c r="B17" s="42" t="s">
        <v>159</v>
      </c>
      <c r="C17" s="42">
        <v>0</v>
      </c>
      <c r="D17" s="93">
        <v>25</v>
      </c>
      <c r="E17" s="42"/>
    </row>
    <row r="18" spans="1:5" x14ac:dyDescent="0.3">
      <c r="A18" s="42" t="s">
        <v>155</v>
      </c>
      <c r="B18" s="42" t="s">
        <v>145</v>
      </c>
      <c r="C18" s="42">
        <v>0</v>
      </c>
      <c r="D18" s="93">
        <v>30</v>
      </c>
      <c r="E18" s="42"/>
    </row>
    <row r="19" spans="1:5" x14ac:dyDescent="0.3">
      <c r="A19" s="42" t="s">
        <v>157</v>
      </c>
      <c r="B19" s="42" t="s">
        <v>161</v>
      </c>
      <c r="C19" s="42">
        <v>0</v>
      </c>
      <c r="D19" s="42">
        <v>25</v>
      </c>
      <c r="E19" s="42"/>
    </row>
    <row r="20" spans="1:5" x14ac:dyDescent="0.3">
      <c r="A20" s="42" t="s">
        <v>156</v>
      </c>
      <c r="B20" s="42" t="s">
        <v>160</v>
      </c>
      <c r="C20" s="42">
        <v>0</v>
      </c>
      <c r="D20" s="42">
        <v>1</v>
      </c>
      <c r="E20" s="42"/>
    </row>
    <row r="76" spans="7:7" x14ac:dyDescent="0.3">
      <c r="G76" s="45"/>
    </row>
  </sheetData>
  <mergeCells count="1">
    <mergeCell ref="A10:B10"/>
  </mergeCell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82"/>
  <sheetViews>
    <sheetView workbookViewId="0">
      <selection activeCell="M17" sqref="M17"/>
    </sheetView>
  </sheetViews>
  <sheetFormatPr defaultRowHeight="15" x14ac:dyDescent="0.25"/>
  <cols>
    <col min="1" max="1" width="3.5703125" bestFit="1" customWidth="1"/>
    <col min="2" max="2" width="28" customWidth="1"/>
    <col min="3" max="4" width="9.140625" customWidth="1"/>
  </cols>
  <sheetData>
    <row r="6" spans="1:7" ht="63" x14ac:dyDescent="0.25">
      <c r="A6" s="103" t="s">
        <v>0</v>
      </c>
      <c r="B6" s="103" t="s">
        <v>72</v>
      </c>
      <c r="C6" s="103" t="s">
        <v>73</v>
      </c>
      <c r="D6" s="103"/>
      <c r="E6" s="1" t="s">
        <v>74</v>
      </c>
      <c r="F6" s="103" t="s">
        <v>75</v>
      </c>
      <c r="G6" s="103"/>
    </row>
    <row r="7" spans="1:7" ht="31.5" x14ac:dyDescent="0.25">
      <c r="A7" s="103"/>
      <c r="B7" s="103"/>
      <c r="C7" s="1" t="s">
        <v>1</v>
      </c>
      <c r="D7" s="1" t="s">
        <v>2</v>
      </c>
      <c r="E7" s="1"/>
      <c r="F7" s="1" t="s">
        <v>76</v>
      </c>
      <c r="G7" s="1" t="s">
        <v>77</v>
      </c>
    </row>
    <row r="8" spans="1:7" ht="15.75" x14ac:dyDescent="0.25">
      <c r="A8" s="1" t="s">
        <v>78</v>
      </c>
      <c r="B8" s="1" t="s">
        <v>79</v>
      </c>
      <c r="C8" s="1">
        <v>61</v>
      </c>
      <c r="D8" s="1">
        <v>65</v>
      </c>
      <c r="E8" s="1">
        <v>65</v>
      </c>
      <c r="F8" s="4">
        <v>1085</v>
      </c>
      <c r="G8" s="1">
        <v>561</v>
      </c>
    </row>
    <row r="9" spans="1:7" ht="31.5" x14ac:dyDescent="0.25">
      <c r="A9" s="2">
        <v>1</v>
      </c>
      <c r="B9" s="5" t="s">
        <v>80</v>
      </c>
      <c r="C9" s="2"/>
      <c r="D9" s="2"/>
      <c r="E9" s="2"/>
      <c r="F9" s="2">
        <v>10</v>
      </c>
      <c r="G9" s="2" t="s">
        <v>81</v>
      </c>
    </row>
    <row r="10" spans="1:7" ht="15.75" x14ac:dyDescent="0.25">
      <c r="A10" s="2">
        <v>2</v>
      </c>
      <c r="B10" s="5" t="s">
        <v>82</v>
      </c>
      <c r="C10" s="2">
        <v>4</v>
      </c>
      <c r="D10" s="2">
        <v>7</v>
      </c>
      <c r="E10" s="2">
        <v>7</v>
      </c>
      <c r="F10" s="2">
        <v>164</v>
      </c>
      <c r="G10" s="2" t="s">
        <v>81</v>
      </c>
    </row>
    <row r="11" spans="1:7" ht="15.75" x14ac:dyDescent="0.25">
      <c r="A11" s="2">
        <v>3</v>
      </c>
      <c r="B11" s="5" t="s">
        <v>83</v>
      </c>
      <c r="C11" s="2">
        <v>9</v>
      </c>
      <c r="D11" s="2">
        <v>10</v>
      </c>
      <c r="E11" s="2">
        <v>10</v>
      </c>
      <c r="F11" s="2">
        <v>195</v>
      </c>
      <c r="G11" s="2">
        <v>39</v>
      </c>
    </row>
    <row r="12" spans="1:7" ht="15.75" x14ac:dyDescent="0.25">
      <c r="A12" s="2">
        <v>4</v>
      </c>
      <c r="B12" s="5" t="s">
        <v>84</v>
      </c>
      <c r="C12" s="2">
        <v>48</v>
      </c>
      <c r="D12" s="2">
        <v>48</v>
      </c>
      <c r="E12" s="2">
        <v>48</v>
      </c>
      <c r="F12" s="2">
        <v>716</v>
      </c>
      <c r="G12" s="2">
        <v>522</v>
      </c>
    </row>
    <row r="13" spans="1:7" ht="15.75" x14ac:dyDescent="0.25">
      <c r="A13" s="1" t="s">
        <v>85</v>
      </c>
      <c r="B13" s="3" t="s">
        <v>86</v>
      </c>
      <c r="C13" s="1">
        <v>61</v>
      </c>
      <c r="D13" s="1">
        <v>65</v>
      </c>
      <c r="E13" s="1">
        <v>65</v>
      </c>
      <c r="F13" s="4">
        <v>1085</v>
      </c>
      <c r="G13" s="1">
        <v>561</v>
      </c>
    </row>
    <row r="14" spans="1:7" ht="15.75" x14ac:dyDescent="0.25">
      <c r="A14" s="2">
        <v>1</v>
      </c>
      <c r="B14" s="5" t="s">
        <v>5</v>
      </c>
      <c r="C14" s="2"/>
      <c r="D14" s="2"/>
      <c r="E14" s="2"/>
      <c r="F14" s="2">
        <v>2</v>
      </c>
      <c r="G14" s="2" t="s">
        <v>81</v>
      </c>
    </row>
    <row r="15" spans="1:7" ht="15.75" x14ac:dyDescent="0.25">
      <c r="A15" s="2">
        <v>2</v>
      </c>
      <c r="B15" s="5" t="s">
        <v>6</v>
      </c>
      <c r="C15" s="2"/>
      <c r="D15" s="2"/>
      <c r="E15" s="2"/>
      <c r="F15" s="2">
        <v>4</v>
      </c>
      <c r="G15" s="2" t="s">
        <v>81</v>
      </c>
    </row>
    <row r="16" spans="1:7" ht="15.75" x14ac:dyDescent="0.25">
      <c r="A16" s="2">
        <v>3</v>
      </c>
      <c r="B16" s="5" t="s">
        <v>7</v>
      </c>
      <c r="C16" s="2"/>
      <c r="D16" s="2"/>
      <c r="E16" s="2"/>
      <c r="F16" s="2">
        <v>3</v>
      </c>
      <c r="G16" s="2" t="s">
        <v>81</v>
      </c>
    </row>
    <row r="17" spans="1:7" ht="15.75" x14ac:dyDescent="0.25">
      <c r="A17" s="2">
        <v>4</v>
      </c>
      <c r="B17" s="5" t="s">
        <v>8</v>
      </c>
      <c r="C17" s="2"/>
      <c r="D17" s="2"/>
      <c r="E17" s="2"/>
      <c r="F17" s="2">
        <v>1</v>
      </c>
      <c r="G17" s="2" t="s">
        <v>81</v>
      </c>
    </row>
    <row r="18" spans="1:7" ht="15.75" x14ac:dyDescent="0.25">
      <c r="A18" s="6">
        <v>5</v>
      </c>
      <c r="B18" s="7" t="s">
        <v>3</v>
      </c>
      <c r="C18" s="6"/>
      <c r="D18" s="6" t="s">
        <v>4</v>
      </c>
      <c r="E18" s="6" t="s">
        <v>78</v>
      </c>
      <c r="F18" s="6">
        <v>9</v>
      </c>
      <c r="G18" s="6" t="s">
        <v>81</v>
      </c>
    </row>
    <row r="19" spans="1:7" ht="15.75" x14ac:dyDescent="0.25">
      <c r="A19" s="6">
        <v>6</v>
      </c>
      <c r="B19" s="7" t="s">
        <v>9</v>
      </c>
      <c r="C19" s="6" t="s">
        <v>4</v>
      </c>
      <c r="D19" s="6" t="s">
        <v>4</v>
      </c>
      <c r="E19" s="6" t="s">
        <v>87</v>
      </c>
      <c r="F19" s="6">
        <v>15</v>
      </c>
      <c r="G19" s="6">
        <v>13</v>
      </c>
    </row>
    <row r="20" spans="1:7" ht="15.75" x14ac:dyDescent="0.25">
      <c r="A20" s="6">
        <v>7</v>
      </c>
      <c r="B20" s="7" t="s">
        <v>10</v>
      </c>
      <c r="C20" s="6"/>
      <c r="D20" s="6" t="s">
        <v>4</v>
      </c>
      <c r="E20" s="6" t="s">
        <v>85</v>
      </c>
      <c r="F20" s="6">
        <v>3</v>
      </c>
      <c r="G20" s="6">
        <v>1</v>
      </c>
    </row>
    <row r="21" spans="1:7" ht="15.75" x14ac:dyDescent="0.25">
      <c r="A21" s="6">
        <v>8</v>
      </c>
      <c r="B21" s="7" t="s">
        <v>11</v>
      </c>
      <c r="C21" s="6" t="s">
        <v>4</v>
      </c>
      <c r="D21" s="6" t="s">
        <v>4</v>
      </c>
      <c r="E21" s="6" t="s">
        <v>87</v>
      </c>
      <c r="F21" s="6">
        <v>14</v>
      </c>
      <c r="G21" s="6">
        <v>13</v>
      </c>
    </row>
    <row r="22" spans="1:7" ht="15.75" x14ac:dyDescent="0.25">
      <c r="A22" s="6">
        <v>9</v>
      </c>
      <c r="B22" s="7" t="s">
        <v>12</v>
      </c>
      <c r="C22" s="6" t="s">
        <v>4</v>
      </c>
      <c r="D22" s="6" t="s">
        <v>4</v>
      </c>
      <c r="E22" s="6" t="s">
        <v>87</v>
      </c>
      <c r="F22" s="6">
        <v>12</v>
      </c>
      <c r="G22" s="6">
        <v>8</v>
      </c>
    </row>
    <row r="23" spans="1:7" ht="15.75" x14ac:dyDescent="0.25">
      <c r="A23" s="6">
        <v>10</v>
      </c>
      <c r="B23" s="7" t="s">
        <v>13</v>
      </c>
      <c r="C23" s="6" t="s">
        <v>4</v>
      </c>
      <c r="D23" s="6" t="s">
        <v>4</v>
      </c>
      <c r="E23" s="6" t="s">
        <v>87</v>
      </c>
      <c r="F23" s="6">
        <v>8</v>
      </c>
      <c r="G23" s="6">
        <v>8</v>
      </c>
    </row>
    <row r="24" spans="1:7" ht="15.75" x14ac:dyDescent="0.25">
      <c r="A24" s="6">
        <v>11</v>
      </c>
      <c r="B24" s="7" t="s">
        <v>14</v>
      </c>
      <c r="C24" s="6" t="s">
        <v>4</v>
      </c>
      <c r="D24" s="6" t="s">
        <v>4</v>
      </c>
      <c r="E24" s="6" t="s">
        <v>87</v>
      </c>
      <c r="F24" s="6">
        <v>14</v>
      </c>
      <c r="G24" s="6">
        <v>14</v>
      </c>
    </row>
    <row r="25" spans="1:7" ht="15.75" x14ac:dyDescent="0.25">
      <c r="A25" s="6">
        <v>12</v>
      </c>
      <c r="B25" s="7" t="s">
        <v>15</v>
      </c>
      <c r="C25" s="6" t="s">
        <v>4</v>
      </c>
      <c r="D25" s="6" t="s">
        <v>4</v>
      </c>
      <c r="E25" s="6" t="s">
        <v>87</v>
      </c>
      <c r="F25" s="6">
        <v>19</v>
      </c>
      <c r="G25" s="6">
        <v>19</v>
      </c>
    </row>
    <row r="26" spans="1:7" ht="15.75" x14ac:dyDescent="0.25">
      <c r="A26" s="6">
        <v>13</v>
      </c>
      <c r="B26" s="7" t="s">
        <v>16</v>
      </c>
      <c r="C26" s="6" t="s">
        <v>4</v>
      </c>
      <c r="D26" s="6" t="s">
        <v>4</v>
      </c>
      <c r="E26" s="6" t="s">
        <v>87</v>
      </c>
      <c r="F26" s="6">
        <v>18</v>
      </c>
      <c r="G26" s="6">
        <v>12</v>
      </c>
    </row>
    <row r="27" spans="1:7" ht="15.75" x14ac:dyDescent="0.25">
      <c r="A27" s="6">
        <v>14</v>
      </c>
      <c r="B27" s="7" t="s">
        <v>17</v>
      </c>
      <c r="C27" s="6" t="s">
        <v>4</v>
      </c>
      <c r="D27" s="6" t="s">
        <v>4</v>
      </c>
      <c r="E27" s="6" t="s">
        <v>87</v>
      </c>
      <c r="F27" s="6">
        <v>20</v>
      </c>
      <c r="G27" s="6">
        <v>7</v>
      </c>
    </row>
    <row r="28" spans="1:7" ht="15.75" x14ac:dyDescent="0.25">
      <c r="A28" s="6">
        <v>15</v>
      </c>
      <c r="B28" s="7" t="s">
        <v>88</v>
      </c>
      <c r="C28" s="6" t="s">
        <v>4</v>
      </c>
      <c r="D28" s="6" t="s">
        <v>4</v>
      </c>
      <c r="E28" s="6" t="s">
        <v>87</v>
      </c>
      <c r="F28" s="6">
        <v>16</v>
      </c>
      <c r="G28" s="6">
        <v>16</v>
      </c>
    </row>
    <row r="29" spans="1:7" ht="15.75" x14ac:dyDescent="0.25">
      <c r="A29" s="6">
        <v>16</v>
      </c>
      <c r="B29" s="7" t="s">
        <v>18</v>
      </c>
      <c r="C29" s="6" t="s">
        <v>4</v>
      </c>
      <c r="D29" s="6" t="s">
        <v>4</v>
      </c>
      <c r="E29" s="6" t="s">
        <v>87</v>
      </c>
      <c r="F29" s="6">
        <v>16</v>
      </c>
      <c r="G29" s="6">
        <v>16</v>
      </c>
    </row>
    <row r="30" spans="1:7" ht="15.75" x14ac:dyDescent="0.25">
      <c r="A30" s="6">
        <v>17</v>
      </c>
      <c r="B30" s="7" t="s">
        <v>19</v>
      </c>
      <c r="C30" s="6" t="s">
        <v>4</v>
      </c>
      <c r="D30" s="6" t="s">
        <v>4</v>
      </c>
      <c r="E30" s="6" t="s">
        <v>87</v>
      </c>
      <c r="F30" s="6">
        <v>13</v>
      </c>
      <c r="G30" s="6">
        <v>10</v>
      </c>
    </row>
    <row r="31" spans="1:7" ht="15.75" x14ac:dyDescent="0.25">
      <c r="A31" s="6">
        <v>18</v>
      </c>
      <c r="B31" s="7" t="s">
        <v>20</v>
      </c>
      <c r="C31" s="6" t="s">
        <v>4</v>
      </c>
      <c r="D31" s="6" t="s">
        <v>4</v>
      </c>
      <c r="E31" s="6" t="s">
        <v>87</v>
      </c>
      <c r="F31" s="6">
        <v>10</v>
      </c>
      <c r="G31" s="6">
        <v>9</v>
      </c>
    </row>
    <row r="32" spans="1:7" ht="15.75" x14ac:dyDescent="0.25">
      <c r="A32" s="6">
        <v>19</v>
      </c>
      <c r="B32" s="7" t="s">
        <v>21</v>
      </c>
      <c r="C32" s="6" t="s">
        <v>4</v>
      </c>
      <c r="D32" s="6" t="s">
        <v>4</v>
      </c>
      <c r="E32" s="6" t="s">
        <v>87</v>
      </c>
      <c r="F32" s="6">
        <v>12</v>
      </c>
      <c r="G32" s="6">
        <v>11</v>
      </c>
    </row>
    <row r="33" spans="1:7" ht="15.75" x14ac:dyDescent="0.25">
      <c r="A33" s="6">
        <v>20</v>
      </c>
      <c r="B33" s="7" t="s">
        <v>22</v>
      </c>
      <c r="C33" s="6" t="s">
        <v>4</v>
      </c>
      <c r="D33" s="6" t="s">
        <v>4</v>
      </c>
      <c r="E33" s="6" t="s">
        <v>87</v>
      </c>
      <c r="F33" s="6">
        <v>13</v>
      </c>
      <c r="G33" s="6">
        <v>9</v>
      </c>
    </row>
    <row r="34" spans="1:7" ht="15.75" x14ac:dyDescent="0.25">
      <c r="A34" s="6">
        <v>21</v>
      </c>
      <c r="B34" s="7" t="s">
        <v>23</v>
      </c>
      <c r="C34" s="6" t="s">
        <v>4</v>
      </c>
      <c r="D34" s="6" t="s">
        <v>4</v>
      </c>
      <c r="E34" s="6" t="s">
        <v>87</v>
      </c>
      <c r="F34" s="6">
        <v>15</v>
      </c>
      <c r="G34" s="6">
        <v>8</v>
      </c>
    </row>
    <row r="35" spans="1:7" ht="15.75" x14ac:dyDescent="0.25">
      <c r="A35" s="6">
        <v>22</v>
      </c>
      <c r="B35" s="7" t="s">
        <v>24</v>
      </c>
      <c r="C35" s="6" t="s">
        <v>4</v>
      </c>
      <c r="D35" s="6" t="s">
        <v>4</v>
      </c>
      <c r="E35" s="6" t="s">
        <v>87</v>
      </c>
      <c r="F35" s="6">
        <v>14</v>
      </c>
      <c r="G35" s="6">
        <v>13</v>
      </c>
    </row>
    <row r="36" spans="1:7" ht="15.75" x14ac:dyDescent="0.25">
      <c r="A36" s="6">
        <v>23</v>
      </c>
      <c r="B36" s="7" t="s">
        <v>25</v>
      </c>
      <c r="C36" s="6" t="s">
        <v>4</v>
      </c>
      <c r="D36" s="6" t="s">
        <v>4</v>
      </c>
      <c r="E36" s="6" t="s">
        <v>87</v>
      </c>
      <c r="F36" s="6">
        <v>14</v>
      </c>
      <c r="G36" s="6">
        <v>12</v>
      </c>
    </row>
    <row r="37" spans="1:7" ht="15.75" x14ac:dyDescent="0.25">
      <c r="A37" s="6">
        <v>24</v>
      </c>
      <c r="B37" s="7" t="s">
        <v>26</v>
      </c>
      <c r="C37" s="6" t="s">
        <v>4</v>
      </c>
      <c r="D37" s="6" t="s">
        <v>4</v>
      </c>
      <c r="E37" s="6" t="s">
        <v>87</v>
      </c>
      <c r="F37" s="6">
        <v>9</v>
      </c>
      <c r="G37" s="6">
        <v>8</v>
      </c>
    </row>
    <row r="38" spans="1:7" ht="15.75" x14ac:dyDescent="0.25">
      <c r="A38" s="6">
        <v>25</v>
      </c>
      <c r="B38" s="7" t="s">
        <v>27</v>
      </c>
      <c r="C38" s="6" t="s">
        <v>4</v>
      </c>
      <c r="D38" s="6" t="s">
        <v>4</v>
      </c>
      <c r="E38" s="6" t="s">
        <v>87</v>
      </c>
      <c r="F38" s="6">
        <v>17</v>
      </c>
      <c r="G38" s="6">
        <v>10</v>
      </c>
    </row>
    <row r="39" spans="1:7" ht="15.75" x14ac:dyDescent="0.25">
      <c r="A39" s="6">
        <v>26</v>
      </c>
      <c r="B39" s="7" t="s">
        <v>28</v>
      </c>
      <c r="C39" s="6" t="s">
        <v>4</v>
      </c>
      <c r="D39" s="6" t="s">
        <v>4</v>
      </c>
      <c r="E39" s="6" t="s">
        <v>87</v>
      </c>
      <c r="F39" s="6">
        <v>13</v>
      </c>
      <c r="G39" s="6">
        <v>10</v>
      </c>
    </row>
    <row r="40" spans="1:7" ht="15.75" x14ac:dyDescent="0.25">
      <c r="A40" s="6">
        <v>27</v>
      </c>
      <c r="B40" s="7" t="s">
        <v>29</v>
      </c>
      <c r="C40" s="6" t="s">
        <v>4</v>
      </c>
      <c r="D40" s="6" t="s">
        <v>4</v>
      </c>
      <c r="E40" s="6" t="s">
        <v>87</v>
      </c>
      <c r="F40" s="6">
        <v>10</v>
      </c>
      <c r="G40" s="6">
        <v>5</v>
      </c>
    </row>
    <row r="41" spans="1:7" ht="15.75" x14ac:dyDescent="0.25">
      <c r="A41" s="6">
        <v>28</v>
      </c>
      <c r="B41" s="7" t="s">
        <v>30</v>
      </c>
      <c r="C41" s="6" t="s">
        <v>4</v>
      </c>
      <c r="D41" s="6" t="s">
        <v>4</v>
      </c>
      <c r="E41" s="6" t="s">
        <v>87</v>
      </c>
      <c r="F41" s="6">
        <v>8</v>
      </c>
      <c r="G41" s="6">
        <v>8</v>
      </c>
    </row>
    <row r="42" spans="1:7" ht="15.75" x14ac:dyDescent="0.25">
      <c r="A42" s="6">
        <v>29</v>
      </c>
      <c r="B42" s="7" t="s">
        <v>31</v>
      </c>
      <c r="C42" s="6" t="s">
        <v>4</v>
      </c>
      <c r="D42" s="6" t="s">
        <v>4</v>
      </c>
      <c r="E42" s="6" t="s">
        <v>85</v>
      </c>
      <c r="F42" s="6">
        <v>16</v>
      </c>
      <c r="G42" s="6">
        <v>1</v>
      </c>
    </row>
    <row r="43" spans="1:7" ht="15.75" x14ac:dyDescent="0.25">
      <c r="A43" s="6">
        <v>30</v>
      </c>
      <c r="B43" s="7" t="s">
        <v>32</v>
      </c>
      <c r="C43" s="6" t="s">
        <v>4</v>
      </c>
      <c r="D43" s="6" t="s">
        <v>4</v>
      </c>
      <c r="E43" s="6" t="s">
        <v>78</v>
      </c>
      <c r="F43" s="6">
        <v>21</v>
      </c>
      <c r="G43" s="6" t="s">
        <v>81</v>
      </c>
    </row>
    <row r="44" spans="1:7" ht="15.75" x14ac:dyDescent="0.25">
      <c r="A44" s="6">
        <v>31</v>
      </c>
      <c r="B44" s="7" t="s">
        <v>33</v>
      </c>
      <c r="C44" s="6" t="s">
        <v>4</v>
      </c>
      <c r="D44" s="6" t="s">
        <v>4</v>
      </c>
      <c r="E44" s="6" t="s">
        <v>85</v>
      </c>
      <c r="F44" s="6">
        <v>28</v>
      </c>
      <c r="G44" s="6" t="s">
        <v>81</v>
      </c>
    </row>
    <row r="45" spans="1:7" ht="15.75" x14ac:dyDescent="0.25">
      <c r="A45" s="6">
        <v>32</v>
      </c>
      <c r="B45" s="7" t="s">
        <v>34</v>
      </c>
      <c r="C45" s="6" t="s">
        <v>4</v>
      </c>
      <c r="D45" s="6" t="s">
        <v>4</v>
      </c>
      <c r="E45" s="6" t="s">
        <v>87</v>
      </c>
      <c r="F45" s="6">
        <v>10</v>
      </c>
      <c r="G45" s="6">
        <v>6</v>
      </c>
    </row>
    <row r="46" spans="1:7" ht="15.75" x14ac:dyDescent="0.25">
      <c r="A46" s="6">
        <v>33</v>
      </c>
      <c r="B46" s="7" t="s">
        <v>35</v>
      </c>
      <c r="C46" s="6" t="s">
        <v>4</v>
      </c>
      <c r="D46" s="6" t="s">
        <v>4</v>
      </c>
      <c r="E46" s="6" t="s">
        <v>78</v>
      </c>
      <c r="F46" s="6">
        <v>16</v>
      </c>
      <c r="G46" s="6" t="s">
        <v>81</v>
      </c>
    </row>
    <row r="47" spans="1:7" ht="15.75" x14ac:dyDescent="0.25">
      <c r="A47" s="6">
        <v>34</v>
      </c>
      <c r="B47" s="7" t="s">
        <v>36</v>
      </c>
      <c r="C47" s="6" t="s">
        <v>4</v>
      </c>
      <c r="D47" s="6" t="s">
        <v>4</v>
      </c>
      <c r="E47" s="6" t="s">
        <v>85</v>
      </c>
      <c r="F47" s="6">
        <v>15</v>
      </c>
      <c r="G47" s="6">
        <v>1</v>
      </c>
    </row>
    <row r="48" spans="1:7" ht="15.75" x14ac:dyDescent="0.25">
      <c r="A48" s="6">
        <v>35</v>
      </c>
      <c r="B48" s="7" t="s">
        <v>37</v>
      </c>
      <c r="C48" s="6" t="s">
        <v>4</v>
      </c>
      <c r="D48" s="6" t="s">
        <v>4</v>
      </c>
      <c r="E48" s="6" t="s">
        <v>87</v>
      </c>
      <c r="F48" s="6">
        <v>14</v>
      </c>
      <c r="G48" s="6">
        <v>9</v>
      </c>
    </row>
    <row r="49" spans="1:7" ht="15.75" x14ac:dyDescent="0.25">
      <c r="A49" s="6">
        <v>36</v>
      </c>
      <c r="B49" s="7" t="s">
        <v>38</v>
      </c>
      <c r="C49" s="6" t="s">
        <v>4</v>
      </c>
      <c r="D49" s="6" t="s">
        <v>4</v>
      </c>
      <c r="E49" s="6" t="s">
        <v>78</v>
      </c>
      <c r="F49" s="6">
        <v>29</v>
      </c>
      <c r="G49" s="6" t="s">
        <v>81</v>
      </c>
    </row>
    <row r="50" spans="1:7" ht="15.75" x14ac:dyDescent="0.25">
      <c r="A50" s="6">
        <v>37</v>
      </c>
      <c r="B50" s="7" t="s">
        <v>39</v>
      </c>
      <c r="C50" s="6" t="s">
        <v>4</v>
      </c>
      <c r="D50" s="6" t="s">
        <v>4</v>
      </c>
      <c r="E50" s="6" t="s">
        <v>87</v>
      </c>
      <c r="F50" s="6">
        <v>11</v>
      </c>
      <c r="G50" s="6">
        <v>9</v>
      </c>
    </row>
    <row r="51" spans="1:7" ht="15.75" x14ac:dyDescent="0.25">
      <c r="A51" s="6">
        <v>38</v>
      </c>
      <c r="B51" s="7" t="s">
        <v>40</v>
      </c>
      <c r="C51" s="6" t="s">
        <v>4</v>
      </c>
      <c r="D51" s="6" t="s">
        <v>4</v>
      </c>
      <c r="E51" s="6" t="s">
        <v>85</v>
      </c>
      <c r="F51" s="6">
        <v>31</v>
      </c>
      <c r="G51" s="6">
        <v>6</v>
      </c>
    </row>
    <row r="52" spans="1:7" ht="15.75" x14ac:dyDescent="0.25">
      <c r="A52" s="6">
        <v>39</v>
      </c>
      <c r="B52" s="7" t="s">
        <v>41</v>
      </c>
      <c r="C52" s="6" t="s">
        <v>4</v>
      </c>
      <c r="D52" s="6" t="s">
        <v>4</v>
      </c>
      <c r="E52" s="6" t="s">
        <v>87</v>
      </c>
      <c r="F52" s="6">
        <v>19</v>
      </c>
      <c r="G52" s="6">
        <v>12</v>
      </c>
    </row>
    <row r="53" spans="1:7" ht="15.75" x14ac:dyDescent="0.25">
      <c r="A53" s="6">
        <v>40</v>
      </c>
      <c r="B53" s="7" t="s">
        <v>42</v>
      </c>
      <c r="C53" s="6" t="s">
        <v>4</v>
      </c>
      <c r="D53" s="6" t="s">
        <v>4</v>
      </c>
      <c r="E53" s="6" t="s">
        <v>87</v>
      </c>
      <c r="F53" s="6">
        <v>22</v>
      </c>
      <c r="G53" s="6">
        <v>22</v>
      </c>
    </row>
    <row r="54" spans="1:7" ht="15.75" x14ac:dyDescent="0.25">
      <c r="A54" s="6">
        <v>41</v>
      </c>
      <c r="B54" s="7" t="s">
        <v>43</v>
      </c>
      <c r="C54" s="6" t="s">
        <v>4</v>
      </c>
      <c r="D54" s="6" t="s">
        <v>4</v>
      </c>
      <c r="E54" s="6" t="s">
        <v>87</v>
      </c>
      <c r="F54" s="6">
        <v>16</v>
      </c>
      <c r="G54" s="6">
        <v>13</v>
      </c>
    </row>
    <row r="55" spans="1:7" ht="15.75" x14ac:dyDescent="0.25">
      <c r="A55" s="6">
        <v>42</v>
      </c>
      <c r="B55" s="7" t="s">
        <v>44</v>
      </c>
      <c r="C55" s="6" t="s">
        <v>4</v>
      </c>
      <c r="D55" s="6" t="s">
        <v>4</v>
      </c>
      <c r="E55" s="6" t="s">
        <v>87</v>
      </c>
      <c r="F55" s="6">
        <v>17</v>
      </c>
      <c r="G55" s="6">
        <v>14</v>
      </c>
    </row>
    <row r="56" spans="1:7" ht="15.75" x14ac:dyDescent="0.25">
      <c r="A56" s="6">
        <v>43</v>
      </c>
      <c r="B56" s="7" t="s">
        <v>45</v>
      </c>
      <c r="C56" s="6" t="s">
        <v>4</v>
      </c>
      <c r="D56" s="6" t="s">
        <v>4</v>
      </c>
      <c r="E56" s="6" t="s">
        <v>87</v>
      </c>
      <c r="F56" s="6">
        <v>31</v>
      </c>
      <c r="G56" s="6">
        <v>27</v>
      </c>
    </row>
    <row r="57" spans="1:7" ht="15.75" x14ac:dyDescent="0.25">
      <c r="A57" s="6">
        <v>44</v>
      </c>
      <c r="B57" s="7" t="s">
        <v>46</v>
      </c>
      <c r="C57" s="6" t="s">
        <v>4</v>
      </c>
      <c r="D57" s="6" t="s">
        <v>4</v>
      </c>
      <c r="E57" s="6" t="s">
        <v>85</v>
      </c>
      <c r="F57" s="6">
        <v>30</v>
      </c>
      <c r="G57" s="6">
        <v>8</v>
      </c>
    </row>
    <row r="58" spans="1:7" ht="15.75" x14ac:dyDescent="0.25">
      <c r="A58" s="6">
        <v>45</v>
      </c>
      <c r="B58" s="7" t="s">
        <v>47</v>
      </c>
      <c r="C58" s="6" t="s">
        <v>4</v>
      </c>
      <c r="D58" s="6" t="s">
        <v>4</v>
      </c>
      <c r="E58" s="6" t="s">
        <v>85</v>
      </c>
      <c r="F58" s="6">
        <v>14</v>
      </c>
      <c r="G58" s="6">
        <v>5</v>
      </c>
    </row>
    <row r="59" spans="1:7" ht="15.75" x14ac:dyDescent="0.25">
      <c r="A59" s="6">
        <v>46</v>
      </c>
      <c r="B59" s="7" t="s">
        <v>48</v>
      </c>
      <c r="C59" s="6" t="s">
        <v>4</v>
      </c>
      <c r="D59" s="6" t="s">
        <v>4</v>
      </c>
      <c r="E59" s="6" t="s">
        <v>85</v>
      </c>
      <c r="F59" s="6">
        <v>24</v>
      </c>
      <c r="G59" s="6">
        <v>9</v>
      </c>
    </row>
    <row r="60" spans="1:7" ht="15.75" x14ac:dyDescent="0.25">
      <c r="A60" s="6">
        <v>47</v>
      </c>
      <c r="B60" s="7" t="s">
        <v>49</v>
      </c>
      <c r="C60" s="6" t="s">
        <v>4</v>
      </c>
      <c r="D60" s="6" t="s">
        <v>4</v>
      </c>
      <c r="E60" s="6" t="s">
        <v>87</v>
      </c>
      <c r="F60" s="6">
        <v>11</v>
      </c>
      <c r="G60" s="6">
        <v>8</v>
      </c>
    </row>
    <row r="61" spans="1:7" ht="15.75" x14ac:dyDescent="0.25">
      <c r="A61" s="6">
        <v>48</v>
      </c>
      <c r="B61" s="7" t="s">
        <v>50</v>
      </c>
      <c r="C61" s="6" t="s">
        <v>4</v>
      </c>
      <c r="D61" s="6" t="s">
        <v>4</v>
      </c>
      <c r="E61" s="6" t="s">
        <v>87</v>
      </c>
      <c r="F61" s="6">
        <v>22</v>
      </c>
      <c r="G61" s="6">
        <v>21</v>
      </c>
    </row>
    <row r="62" spans="1:7" ht="15.75" x14ac:dyDescent="0.25">
      <c r="A62" s="6">
        <v>49</v>
      </c>
      <c r="B62" s="7" t="s">
        <v>51</v>
      </c>
      <c r="C62" s="6" t="s">
        <v>4</v>
      </c>
      <c r="D62" s="6" t="s">
        <v>4</v>
      </c>
      <c r="E62" s="6" t="s">
        <v>87</v>
      </c>
      <c r="F62" s="6">
        <v>13</v>
      </c>
      <c r="G62" s="6">
        <v>9</v>
      </c>
    </row>
    <row r="63" spans="1:7" ht="15.75" x14ac:dyDescent="0.25">
      <c r="A63" s="6">
        <v>50</v>
      </c>
      <c r="B63" s="7" t="s">
        <v>52</v>
      </c>
      <c r="C63" s="6" t="s">
        <v>4</v>
      </c>
      <c r="D63" s="6" t="s">
        <v>4</v>
      </c>
      <c r="E63" s="6" t="s">
        <v>87</v>
      </c>
      <c r="F63" s="6">
        <v>20</v>
      </c>
      <c r="G63" s="6">
        <v>10</v>
      </c>
    </row>
    <row r="64" spans="1:7" ht="15.75" x14ac:dyDescent="0.25">
      <c r="A64" s="6">
        <v>51</v>
      </c>
      <c r="B64" s="7" t="s">
        <v>53</v>
      </c>
      <c r="C64" s="6" t="s">
        <v>4</v>
      </c>
      <c r="D64" s="6" t="s">
        <v>4</v>
      </c>
      <c r="E64" s="6" t="s">
        <v>87</v>
      </c>
      <c r="F64" s="6">
        <v>18</v>
      </c>
      <c r="G64" s="6">
        <v>1</v>
      </c>
    </row>
    <row r="65" spans="1:7" ht="15.75" x14ac:dyDescent="0.25">
      <c r="A65" s="6">
        <v>52</v>
      </c>
      <c r="B65" s="7" t="s">
        <v>54</v>
      </c>
      <c r="C65" s="6" t="s">
        <v>4</v>
      </c>
      <c r="D65" s="6" t="s">
        <v>4</v>
      </c>
      <c r="E65" s="6" t="s">
        <v>85</v>
      </c>
      <c r="F65" s="6">
        <v>17</v>
      </c>
      <c r="G65" s="6">
        <v>3</v>
      </c>
    </row>
    <row r="66" spans="1:7" ht="15.75" x14ac:dyDescent="0.25">
      <c r="A66" s="6">
        <v>53</v>
      </c>
      <c r="B66" s="7" t="s">
        <v>55</v>
      </c>
      <c r="C66" s="6" t="s">
        <v>4</v>
      </c>
      <c r="D66" s="6" t="s">
        <v>4</v>
      </c>
      <c r="E66" s="6" t="s">
        <v>85</v>
      </c>
      <c r="F66" s="6">
        <v>17</v>
      </c>
      <c r="G66" s="6">
        <v>5</v>
      </c>
    </row>
    <row r="67" spans="1:7" ht="15.75" x14ac:dyDescent="0.25">
      <c r="A67" s="6">
        <v>54</v>
      </c>
      <c r="B67" s="7" t="s">
        <v>56</v>
      </c>
      <c r="C67" s="6" t="s">
        <v>4</v>
      </c>
      <c r="D67" s="6" t="s">
        <v>4</v>
      </c>
      <c r="E67" s="6" t="s">
        <v>87</v>
      </c>
      <c r="F67" s="6">
        <v>14</v>
      </c>
      <c r="G67" s="6">
        <v>5</v>
      </c>
    </row>
    <row r="68" spans="1:7" ht="15.75" x14ac:dyDescent="0.25">
      <c r="A68" s="6">
        <v>55</v>
      </c>
      <c r="B68" s="7" t="s">
        <v>57</v>
      </c>
      <c r="C68" s="6" t="s">
        <v>4</v>
      </c>
      <c r="D68" s="6" t="s">
        <v>4</v>
      </c>
      <c r="E68" s="6" t="s">
        <v>87</v>
      </c>
      <c r="F68" s="6">
        <v>10</v>
      </c>
      <c r="G68" s="6">
        <v>5</v>
      </c>
    </row>
    <row r="69" spans="1:7" ht="15.75" x14ac:dyDescent="0.25">
      <c r="A69" s="6">
        <v>56</v>
      </c>
      <c r="B69" s="7" t="s">
        <v>58</v>
      </c>
      <c r="C69" s="6" t="s">
        <v>4</v>
      </c>
      <c r="D69" s="6" t="s">
        <v>4</v>
      </c>
      <c r="E69" s="6" t="s">
        <v>87</v>
      </c>
      <c r="F69" s="6">
        <v>17</v>
      </c>
      <c r="G69" s="6">
        <v>14</v>
      </c>
    </row>
    <row r="70" spans="1:7" ht="15.75" x14ac:dyDescent="0.25">
      <c r="A70" s="6">
        <v>57</v>
      </c>
      <c r="B70" s="7" t="s">
        <v>59</v>
      </c>
      <c r="C70" s="6" t="s">
        <v>4</v>
      </c>
      <c r="D70" s="6" t="s">
        <v>4</v>
      </c>
      <c r="E70" s="6" t="s">
        <v>87</v>
      </c>
      <c r="F70" s="6">
        <v>21</v>
      </c>
      <c r="G70" s="6">
        <v>13</v>
      </c>
    </row>
    <row r="71" spans="1:7" ht="15.75" x14ac:dyDescent="0.25">
      <c r="A71" s="6">
        <v>58</v>
      </c>
      <c r="B71" s="7" t="s">
        <v>60</v>
      </c>
      <c r="C71" s="6" t="s">
        <v>4</v>
      </c>
      <c r="D71" s="6" t="s">
        <v>4</v>
      </c>
      <c r="E71" s="6" t="s">
        <v>87</v>
      </c>
      <c r="F71" s="6">
        <v>11</v>
      </c>
      <c r="G71" s="6">
        <v>8</v>
      </c>
    </row>
    <row r="72" spans="1:7" ht="15.75" x14ac:dyDescent="0.25">
      <c r="A72" s="6">
        <v>59</v>
      </c>
      <c r="B72" s="7" t="s">
        <v>61</v>
      </c>
      <c r="C72" s="6" t="s">
        <v>4</v>
      </c>
      <c r="D72" s="6" t="s">
        <v>4</v>
      </c>
      <c r="E72" s="6" t="s">
        <v>87</v>
      </c>
      <c r="F72" s="6">
        <v>25</v>
      </c>
      <c r="G72" s="6">
        <v>13</v>
      </c>
    </row>
    <row r="73" spans="1:7" ht="15.75" x14ac:dyDescent="0.25">
      <c r="A73" s="6">
        <v>60</v>
      </c>
      <c r="B73" s="7" t="s">
        <v>62</v>
      </c>
      <c r="C73" s="6" t="s">
        <v>4</v>
      </c>
      <c r="D73" s="6" t="s">
        <v>4</v>
      </c>
      <c r="E73" s="6" t="s">
        <v>87</v>
      </c>
      <c r="F73" s="6">
        <v>26</v>
      </c>
      <c r="G73" s="6">
        <v>24</v>
      </c>
    </row>
    <row r="74" spans="1:7" ht="15.75" x14ac:dyDescent="0.25">
      <c r="A74" s="6">
        <v>61</v>
      </c>
      <c r="B74" s="7" t="s">
        <v>63</v>
      </c>
      <c r="C74" s="6" t="s">
        <v>4</v>
      </c>
      <c r="D74" s="6" t="s">
        <v>4</v>
      </c>
      <c r="E74" s="6" t="s">
        <v>87</v>
      </c>
      <c r="F74" s="6">
        <v>25</v>
      </c>
      <c r="G74" s="6">
        <v>18</v>
      </c>
    </row>
    <row r="75" spans="1:7" ht="15.75" x14ac:dyDescent="0.25">
      <c r="A75" s="6">
        <v>62</v>
      </c>
      <c r="B75" s="7" t="s">
        <v>64</v>
      </c>
      <c r="C75" s="6" t="s">
        <v>4</v>
      </c>
      <c r="D75" s="6" t="s">
        <v>4</v>
      </c>
      <c r="E75" s="6" t="s">
        <v>78</v>
      </c>
      <c r="F75" s="6">
        <v>48</v>
      </c>
      <c r="G75" s="6" t="s">
        <v>81</v>
      </c>
    </row>
    <row r="76" spans="1:7" ht="15.75" x14ac:dyDescent="0.25">
      <c r="A76" s="6">
        <v>63</v>
      </c>
      <c r="B76" s="7" t="s">
        <v>65</v>
      </c>
      <c r="C76" s="6"/>
      <c r="D76" s="6" t="s">
        <v>4</v>
      </c>
      <c r="E76" s="6" t="s">
        <v>78</v>
      </c>
      <c r="F76" s="6">
        <v>24</v>
      </c>
      <c r="G76" s="6" t="s">
        <v>81</v>
      </c>
    </row>
    <row r="77" spans="1:7" ht="15.75" x14ac:dyDescent="0.25">
      <c r="A77" s="6">
        <v>64</v>
      </c>
      <c r="B77" s="7" t="s">
        <v>66</v>
      </c>
      <c r="C77" s="6"/>
      <c r="D77" s="6" t="s">
        <v>4</v>
      </c>
      <c r="E77" s="6" t="s">
        <v>78</v>
      </c>
      <c r="F77" s="6">
        <v>17</v>
      </c>
      <c r="G77" s="6" t="s">
        <v>81</v>
      </c>
    </row>
    <row r="78" spans="1:7" ht="15.75" x14ac:dyDescent="0.25">
      <c r="A78" s="6">
        <v>65</v>
      </c>
      <c r="B78" s="7" t="s">
        <v>67</v>
      </c>
      <c r="C78" s="6" t="s">
        <v>4</v>
      </c>
      <c r="D78" s="6" t="s">
        <v>4</v>
      </c>
      <c r="E78" s="6" t="s">
        <v>87</v>
      </c>
      <c r="F78" s="6">
        <v>9</v>
      </c>
      <c r="G78" s="6">
        <v>8</v>
      </c>
    </row>
    <row r="79" spans="1:7" ht="15.75" x14ac:dyDescent="0.25">
      <c r="A79" s="6">
        <v>66</v>
      </c>
      <c r="B79" s="7" t="s">
        <v>68</v>
      </c>
      <c r="C79" s="6" t="s">
        <v>4</v>
      </c>
      <c r="D79" s="6" t="s">
        <v>4</v>
      </c>
      <c r="E79" s="6" t="s">
        <v>87</v>
      </c>
      <c r="F79" s="6">
        <v>7</v>
      </c>
      <c r="G79" s="6">
        <v>7</v>
      </c>
    </row>
    <row r="80" spans="1:7" ht="15.75" x14ac:dyDescent="0.25">
      <c r="A80" s="6">
        <v>67</v>
      </c>
      <c r="B80" s="7" t="s">
        <v>69</v>
      </c>
      <c r="C80" s="6" t="s">
        <v>4</v>
      </c>
      <c r="D80" s="6" t="s">
        <v>4</v>
      </c>
      <c r="E80" s="6" t="s">
        <v>87</v>
      </c>
      <c r="F80" s="6">
        <v>6</v>
      </c>
      <c r="G80" s="6">
        <v>3</v>
      </c>
    </row>
    <row r="81" spans="1:7" ht="15.75" x14ac:dyDescent="0.25">
      <c r="A81" s="6">
        <v>68</v>
      </c>
      <c r="B81" s="7" t="s">
        <v>70</v>
      </c>
      <c r="C81" s="6" t="s">
        <v>4</v>
      </c>
      <c r="D81" s="6" t="s">
        <v>4</v>
      </c>
      <c r="E81" s="6" t="s">
        <v>87</v>
      </c>
      <c r="F81" s="6">
        <v>10</v>
      </c>
      <c r="G81" s="6">
        <v>3</v>
      </c>
    </row>
    <row r="82" spans="1:7" ht="15.75" x14ac:dyDescent="0.25">
      <c r="A82" s="6">
        <v>69</v>
      </c>
      <c r="B82" s="7" t="s">
        <v>71</v>
      </c>
      <c r="C82" s="6" t="s">
        <v>4</v>
      </c>
      <c r="D82" s="6" t="s">
        <v>4</v>
      </c>
      <c r="E82" s="6" t="s">
        <v>87</v>
      </c>
      <c r="F82" s="6">
        <v>11</v>
      </c>
      <c r="G82" s="6">
        <v>1</v>
      </c>
    </row>
  </sheetData>
  <mergeCells count="4">
    <mergeCell ref="A6:A7"/>
    <mergeCell ref="B6:B7"/>
    <mergeCell ref="C6:D6"/>
    <mergeCell ref="F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106"/>
  <sheetViews>
    <sheetView workbookViewId="0">
      <selection activeCell="M21" sqref="M21"/>
    </sheetView>
  </sheetViews>
  <sheetFormatPr defaultRowHeight="15.75" x14ac:dyDescent="0.25"/>
  <cols>
    <col min="2" max="2" width="29.42578125" customWidth="1"/>
    <col min="3" max="5" width="17.85546875" customWidth="1"/>
    <col min="6" max="6" width="13.7109375" style="10" bestFit="1" customWidth="1"/>
  </cols>
  <sheetData>
    <row r="9" spans="1:9" ht="63" x14ac:dyDescent="0.25">
      <c r="A9" s="17" t="s">
        <v>122</v>
      </c>
      <c r="B9" s="17" t="s">
        <v>133</v>
      </c>
      <c r="C9" s="17" t="s">
        <v>137</v>
      </c>
      <c r="D9" s="17" t="s">
        <v>138</v>
      </c>
      <c r="E9" s="17" t="s">
        <v>139</v>
      </c>
      <c r="F9" s="17" t="s">
        <v>167</v>
      </c>
      <c r="G9" s="17" t="s">
        <v>140</v>
      </c>
    </row>
    <row r="10" spans="1:9" x14ac:dyDescent="0.25">
      <c r="A10" s="15">
        <v>1</v>
      </c>
      <c r="B10" s="15" t="s">
        <v>3</v>
      </c>
      <c r="C10" s="16">
        <v>43126</v>
      </c>
      <c r="D10" s="16">
        <v>71572</v>
      </c>
      <c r="E10" s="16">
        <v>99627</v>
      </c>
      <c r="F10" s="16">
        <v>6825</v>
      </c>
      <c r="G10" s="18">
        <f>+C10/D10</f>
        <v>0.6025540714245794</v>
      </c>
      <c r="I10" s="44">
        <f>+F10-3000</f>
        <v>3825</v>
      </c>
    </row>
    <row r="11" spans="1:9" x14ac:dyDescent="0.25">
      <c r="A11" s="15">
        <v>2</v>
      </c>
      <c r="B11" s="15" t="s">
        <v>9</v>
      </c>
      <c r="C11" s="16">
        <v>92714</v>
      </c>
      <c r="D11" s="16">
        <v>156612</v>
      </c>
      <c r="E11" s="16">
        <v>172904</v>
      </c>
      <c r="F11" s="16">
        <v>4275</v>
      </c>
      <c r="G11" s="18">
        <f t="shared" ref="G11:G33" si="0">+C11/D11</f>
        <v>0.59199805889714707</v>
      </c>
      <c r="I11" s="44">
        <f t="shared" ref="I11:I33" si="1">+F11-3000</f>
        <v>1275</v>
      </c>
    </row>
    <row r="12" spans="1:9" x14ac:dyDescent="0.25">
      <c r="A12" s="15">
        <v>3</v>
      </c>
      <c r="B12" s="15" t="s">
        <v>10</v>
      </c>
      <c r="C12" s="16">
        <v>47604</v>
      </c>
      <c r="D12" s="16">
        <v>65012</v>
      </c>
      <c r="E12" s="16">
        <v>71981</v>
      </c>
      <c r="F12" s="16">
        <v>3187</v>
      </c>
      <c r="G12" s="18">
        <f t="shared" si="0"/>
        <v>0.73223404909862799</v>
      </c>
      <c r="I12" s="44">
        <f t="shared" si="1"/>
        <v>187</v>
      </c>
    </row>
    <row r="13" spans="1:9" x14ac:dyDescent="0.25">
      <c r="A13" s="15">
        <v>4</v>
      </c>
      <c r="B13" s="15" t="s">
        <v>11</v>
      </c>
      <c r="C13" s="16">
        <v>93295</v>
      </c>
      <c r="D13" s="16">
        <v>122720</v>
      </c>
      <c r="E13" s="16">
        <v>142325</v>
      </c>
      <c r="F13" s="16">
        <v>3161</v>
      </c>
      <c r="G13" s="18">
        <f t="shared" si="0"/>
        <v>0.76022653194263368</v>
      </c>
      <c r="I13" s="44">
        <f t="shared" si="1"/>
        <v>161</v>
      </c>
    </row>
    <row r="14" spans="1:9" x14ac:dyDescent="0.25">
      <c r="A14" s="15">
        <v>5</v>
      </c>
      <c r="B14" s="15" t="s">
        <v>12</v>
      </c>
      <c r="C14" s="16">
        <v>70219</v>
      </c>
      <c r="D14" s="16">
        <v>90302</v>
      </c>
      <c r="E14" s="16">
        <v>101270</v>
      </c>
      <c r="F14" s="16">
        <v>3000</v>
      </c>
      <c r="G14" s="18">
        <f t="shared" si="0"/>
        <v>0.77760182498726493</v>
      </c>
      <c r="I14" s="44">
        <f t="shared" si="1"/>
        <v>0</v>
      </c>
    </row>
    <row r="15" spans="1:9" x14ac:dyDescent="0.25">
      <c r="A15" s="15">
        <v>6</v>
      </c>
      <c r="B15" s="15" t="s">
        <v>13</v>
      </c>
      <c r="C15" s="16">
        <v>48043</v>
      </c>
      <c r="D15" s="16">
        <v>60894</v>
      </c>
      <c r="E15" s="16">
        <v>66263</v>
      </c>
      <c r="F15" s="16">
        <v>3017</v>
      </c>
      <c r="G15" s="18">
        <f t="shared" si="0"/>
        <v>0.78896114559726738</v>
      </c>
      <c r="I15" s="44">
        <f t="shared" si="1"/>
        <v>17</v>
      </c>
    </row>
    <row r="16" spans="1:9" x14ac:dyDescent="0.25">
      <c r="A16" s="15">
        <v>7</v>
      </c>
      <c r="B16" s="15" t="s">
        <v>14</v>
      </c>
      <c r="C16" s="16">
        <v>70820</v>
      </c>
      <c r="D16" s="16">
        <v>88568</v>
      </c>
      <c r="E16" s="16">
        <v>100720</v>
      </c>
      <c r="F16" s="16">
        <v>3000</v>
      </c>
      <c r="G16" s="18">
        <f t="shared" si="0"/>
        <v>0.7996115978683046</v>
      </c>
      <c r="I16" s="44">
        <f t="shared" si="1"/>
        <v>0</v>
      </c>
    </row>
    <row r="17" spans="1:9" x14ac:dyDescent="0.25">
      <c r="A17" s="15">
        <v>8</v>
      </c>
      <c r="B17" s="15" t="s">
        <v>15</v>
      </c>
      <c r="C17" s="16">
        <v>76225</v>
      </c>
      <c r="D17" s="16">
        <v>116509</v>
      </c>
      <c r="E17" s="16">
        <v>138246</v>
      </c>
      <c r="F17" s="16">
        <v>3144</v>
      </c>
      <c r="G17" s="18">
        <f t="shared" si="0"/>
        <v>0.6542413032469595</v>
      </c>
      <c r="I17" s="44">
        <f t="shared" si="1"/>
        <v>144</v>
      </c>
    </row>
    <row r="18" spans="1:9" x14ac:dyDescent="0.25">
      <c r="A18" s="15">
        <v>9</v>
      </c>
      <c r="B18" s="15" t="s">
        <v>16</v>
      </c>
      <c r="C18" s="16">
        <v>67313</v>
      </c>
      <c r="D18" s="16">
        <v>96858</v>
      </c>
      <c r="E18" s="16">
        <v>112291</v>
      </c>
      <c r="F18" s="16">
        <v>3077</v>
      </c>
      <c r="G18" s="18">
        <f t="shared" si="0"/>
        <v>0.69496582626112458</v>
      </c>
      <c r="I18" s="44">
        <f t="shared" si="1"/>
        <v>77</v>
      </c>
    </row>
    <row r="19" spans="1:9" x14ac:dyDescent="0.25">
      <c r="A19" s="15">
        <v>10</v>
      </c>
      <c r="B19" s="15" t="s">
        <v>17</v>
      </c>
      <c r="C19" s="16">
        <v>74309</v>
      </c>
      <c r="D19" s="16">
        <v>132061</v>
      </c>
      <c r="E19" s="16">
        <v>162608</v>
      </c>
      <c r="F19" s="16">
        <v>4600</v>
      </c>
      <c r="G19" s="18">
        <f t="shared" si="0"/>
        <v>0.56268694012615383</v>
      </c>
      <c r="I19" s="44">
        <f t="shared" si="1"/>
        <v>1600</v>
      </c>
    </row>
    <row r="20" spans="1:9" x14ac:dyDescent="0.25">
      <c r="A20" s="15">
        <v>11</v>
      </c>
      <c r="B20" s="15" t="s">
        <v>88</v>
      </c>
      <c r="C20" s="16">
        <v>60912</v>
      </c>
      <c r="D20" s="16">
        <v>79605</v>
      </c>
      <c r="E20" s="16">
        <v>98487</v>
      </c>
      <c r="F20" s="16">
        <v>3111</v>
      </c>
      <c r="G20" s="18">
        <f t="shared" si="0"/>
        <v>0.76517806670435273</v>
      </c>
      <c r="I20" s="44">
        <f t="shared" si="1"/>
        <v>111</v>
      </c>
    </row>
    <row r="21" spans="1:9" x14ac:dyDescent="0.25">
      <c r="A21" s="15">
        <v>12</v>
      </c>
      <c r="B21" s="15" t="s">
        <v>18</v>
      </c>
      <c r="C21" s="16">
        <v>51104</v>
      </c>
      <c r="D21" s="16">
        <v>66761</v>
      </c>
      <c r="E21" s="16">
        <v>89171</v>
      </c>
      <c r="F21" s="16">
        <v>3153</v>
      </c>
      <c r="G21" s="18">
        <f t="shared" si="0"/>
        <v>0.7654768502568865</v>
      </c>
      <c r="I21" s="44">
        <f t="shared" si="1"/>
        <v>153</v>
      </c>
    </row>
    <row r="22" spans="1:9" x14ac:dyDescent="0.25">
      <c r="A22" s="15">
        <v>13</v>
      </c>
      <c r="B22" s="15" t="s">
        <v>19</v>
      </c>
      <c r="C22" s="16">
        <v>53633</v>
      </c>
      <c r="D22" s="16">
        <v>104563</v>
      </c>
      <c r="E22" s="16">
        <v>127798</v>
      </c>
      <c r="F22" s="16">
        <v>3535</v>
      </c>
      <c r="G22" s="18">
        <f t="shared" si="0"/>
        <v>0.51292522211489722</v>
      </c>
      <c r="I22" s="44">
        <f t="shared" si="1"/>
        <v>535</v>
      </c>
    </row>
    <row r="23" spans="1:9" x14ac:dyDescent="0.25">
      <c r="A23" s="15">
        <v>14</v>
      </c>
      <c r="B23" s="15" t="s">
        <v>20</v>
      </c>
      <c r="C23" s="16">
        <v>50534</v>
      </c>
      <c r="D23" s="16">
        <v>91569</v>
      </c>
      <c r="E23" s="16">
        <v>107492</v>
      </c>
      <c r="F23" s="16">
        <v>3017</v>
      </c>
      <c r="G23" s="18">
        <f t="shared" si="0"/>
        <v>0.55186799025871203</v>
      </c>
      <c r="I23" s="44">
        <f t="shared" si="1"/>
        <v>17</v>
      </c>
    </row>
    <row r="24" spans="1:9" x14ac:dyDescent="0.25">
      <c r="A24" s="15">
        <v>15</v>
      </c>
      <c r="B24" s="15" t="s">
        <v>21</v>
      </c>
      <c r="C24" s="16">
        <v>13283</v>
      </c>
      <c r="D24" s="16">
        <v>86188</v>
      </c>
      <c r="E24" s="16">
        <v>101289</v>
      </c>
      <c r="F24" s="16">
        <v>3000</v>
      </c>
      <c r="G24" s="18">
        <f t="shared" si="0"/>
        <v>0.15411658235485218</v>
      </c>
      <c r="I24" s="44">
        <f t="shared" si="1"/>
        <v>0</v>
      </c>
    </row>
    <row r="25" spans="1:9" x14ac:dyDescent="0.25">
      <c r="A25" s="15">
        <v>16</v>
      </c>
      <c r="B25" s="15" t="s">
        <v>22</v>
      </c>
      <c r="C25" s="16">
        <v>73213</v>
      </c>
      <c r="D25" s="16">
        <v>102333</v>
      </c>
      <c r="E25" s="16">
        <v>116611</v>
      </c>
      <c r="F25" s="16">
        <v>4700</v>
      </c>
      <c r="G25" s="18">
        <f t="shared" si="0"/>
        <v>0.71543881250427521</v>
      </c>
      <c r="I25" s="44">
        <f t="shared" si="1"/>
        <v>1700</v>
      </c>
    </row>
    <row r="26" spans="1:9" x14ac:dyDescent="0.25">
      <c r="A26" s="15">
        <v>17</v>
      </c>
      <c r="B26" s="15" t="s">
        <v>23</v>
      </c>
      <c r="C26" s="16">
        <v>61891</v>
      </c>
      <c r="D26" s="16">
        <v>83438</v>
      </c>
      <c r="E26" s="16">
        <v>94006</v>
      </c>
      <c r="F26" s="16">
        <v>3085</v>
      </c>
      <c r="G26" s="18">
        <f t="shared" si="0"/>
        <v>0.74176034900165388</v>
      </c>
      <c r="I26" s="44">
        <f t="shared" si="1"/>
        <v>85</v>
      </c>
    </row>
    <row r="27" spans="1:9" x14ac:dyDescent="0.25">
      <c r="A27" s="15">
        <v>18</v>
      </c>
      <c r="B27" s="15" t="s">
        <v>24</v>
      </c>
      <c r="C27" s="16">
        <v>54547</v>
      </c>
      <c r="D27" s="16">
        <v>87374</v>
      </c>
      <c r="E27" s="16">
        <v>105160</v>
      </c>
      <c r="F27" s="16">
        <v>4275</v>
      </c>
      <c r="G27" s="18">
        <f t="shared" si="0"/>
        <v>0.62429326802023488</v>
      </c>
      <c r="I27" s="44">
        <f t="shared" si="1"/>
        <v>1275</v>
      </c>
    </row>
    <row r="28" spans="1:9" x14ac:dyDescent="0.25">
      <c r="A28" s="15">
        <v>19</v>
      </c>
      <c r="B28" s="15" t="s">
        <v>25</v>
      </c>
      <c r="C28" s="16">
        <v>58235</v>
      </c>
      <c r="D28" s="16">
        <v>74429</v>
      </c>
      <c r="E28" s="16">
        <v>85316</v>
      </c>
      <c r="F28" s="16">
        <v>3111</v>
      </c>
      <c r="G28" s="18">
        <f t="shared" si="0"/>
        <v>0.78242351771486918</v>
      </c>
      <c r="I28" s="44">
        <f t="shared" si="1"/>
        <v>111</v>
      </c>
    </row>
    <row r="29" spans="1:9" x14ac:dyDescent="0.25">
      <c r="A29" s="15">
        <v>20</v>
      </c>
      <c r="B29" s="15" t="s">
        <v>26</v>
      </c>
      <c r="C29" s="16">
        <v>52015</v>
      </c>
      <c r="D29" s="16">
        <v>65377</v>
      </c>
      <c r="E29" s="16">
        <v>77944</v>
      </c>
      <c r="F29" s="16">
        <v>3009</v>
      </c>
      <c r="G29" s="18">
        <f t="shared" si="0"/>
        <v>0.79561619529804062</v>
      </c>
      <c r="I29" s="44">
        <f t="shared" si="1"/>
        <v>9</v>
      </c>
    </row>
    <row r="30" spans="1:9" x14ac:dyDescent="0.25">
      <c r="A30" s="15">
        <v>21</v>
      </c>
      <c r="B30" s="15" t="s">
        <v>27</v>
      </c>
      <c r="C30" s="16">
        <v>70543</v>
      </c>
      <c r="D30" s="16">
        <v>105386</v>
      </c>
      <c r="E30" s="16">
        <v>125523</v>
      </c>
      <c r="F30" s="16">
        <v>4360</v>
      </c>
      <c r="G30" s="18">
        <f t="shared" si="0"/>
        <v>0.66937733664813159</v>
      </c>
      <c r="I30" s="44">
        <f t="shared" si="1"/>
        <v>1360</v>
      </c>
    </row>
    <row r="31" spans="1:9" x14ac:dyDescent="0.25">
      <c r="A31" s="15">
        <v>22</v>
      </c>
      <c r="B31" s="15" t="s">
        <v>28</v>
      </c>
      <c r="C31" s="16">
        <v>46193</v>
      </c>
      <c r="D31" s="16">
        <v>60055</v>
      </c>
      <c r="E31" s="16">
        <v>77633</v>
      </c>
      <c r="F31" s="16">
        <v>3009</v>
      </c>
      <c r="G31" s="18">
        <f t="shared" si="0"/>
        <v>0.76917825326783784</v>
      </c>
      <c r="I31" s="44">
        <f t="shared" si="1"/>
        <v>9</v>
      </c>
    </row>
    <row r="32" spans="1:9" x14ac:dyDescent="0.25">
      <c r="A32" s="15">
        <v>23</v>
      </c>
      <c r="B32" s="15" t="s">
        <v>29</v>
      </c>
      <c r="C32" s="16">
        <v>40499</v>
      </c>
      <c r="D32" s="16">
        <v>63149</v>
      </c>
      <c r="E32" s="16">
        <v>74725</v>
      </c>
      <c r="F32" s="16">
        <v>3170</v>
      </c>
      <c r="G32" s="18">
        <f t="shared" si="0"/>
        <v>0.64132448653185326</v>
      </c>
      <c r="I32" s="44">
        <f t="shared" si="1"/>
        <v>170</v>
      </c>
    </row>
    <row r="33" spans="1:9" x14ac:dyDescent="0.25">
      <c r="A33" s="15">
        <v>24</v>
      </c>
      <c r="B33" s="15" t="s">
        <v>134</v>
      </c>
      <c r="C33" s="16">
        <v>44574</v>
      </c>
      <c r="D33" s="16">
        <v>56234</v>
      </c>
      <c r="E33" s="16">
        <v>65058</v>
      </c>
      <c r="F33" s="16">
        <v>3000</v>
      </c>
      <c r="G33" s="18">
        <f t="shared" si="0"/>
        <v>0.79265213216203723</v>
      </c>
      <c r="I33" s="44">
        <f t="shared" si="1"/>
        <v>0</v>
      </c>
    </row>
    <row r="34" spans="1:9" x14ac:dyDescent="0.25">
      <c r="A34" s="15">
        <v>25</v>
      </c>
      <c r="B34" s="15" t="s">
        <v>31</v>
      </c>
      <c r="C34" s="16">
        <v>65424</v>
      </c>
      <c r="D34" s="16">
        <v>118241</v>
      </c>
      <c r="E34" s="16">
        <v>130603</v>
      </c>
      <c r="F34" s="16">
        <v>7675</v>
      </c>
      <c r="G34" s="18">
        <f t="shared" ref="G34:G65" si="2">+C34/D34</f>
        <v>0.55331061137845583</v>
      </c>
      <c r="I34" s="44">
        <f t="shared" ref="I34:I65" si="3">+F34-3000</f>
        <v>4675</v>
      </c>
    </row>
    <row r="35" spans="1:9" x14ac:dyDescent="0.25">
      <c r="A35" s="15">
        <v>26</v>
      </c>
      <c r="B35" s="15" t="s">
        <v>32</v>
      </c>
      <c r="C35" s="16">
        <v>66754</v>
      </c>
      <c r="D35" s="16">
        <v>104569</v>
      </c>
      <c r="E35" s="16">
        <v>114974</v>
      </c>
      <c r="F35" s="16">
        <v>5975</v>
      </c>
      <c r="G35" s="18">
        <f t="shared" si="2"/>
        <v>0.63837274909389974</v>
      </c>
      <c r="I35" s="44">
        <f t="shared" si="3"/>
        <v>2975</v>
      </c>
    </row>
    <row r="36" spans="1:9" x14ac:dyDescent="0.25">
      <c r="A36" s="15">
        <v>27</v>
      </c>
      <c r="B36" s="15" t="s">
        <v>33</v>
      </c>
      <c r="C36" s="16">
        <v>76141</v>
      </c>
      <c r="D36" s="16">
        <v>152046</v>
      </c>
      <c r="E36" s="16">
        <v>166067</v>
      </c>
      <c r="F36" s="16">
        <v>15750</v>
      </c>
      <c r="G36" s="18">
        <f t="shared" si="2"/>
        <v>0.50077608092287862</v>
      </c>
      <c r="I36" s="44">
        <f t="shared" si="3"/>
        <v>12750</v>
      </c>
    </row>
    <row r="37" spans="1:9" x14ac:dyDescent="0.25">
      <c r="A37" s="15">
        <v>28</v>
      </c>
      <c r="B37" s="15" t="s">
        <v>34</v>
      </c>
      <c r="C37" s="16">
        <v>81535</v>
      </c>
      <c r="D37" s="16">
        <v>116257</v>
      </c>
      <c r="E37" s="16">
        <v>126145</v>
      </c>
      <c r="F37" s="16">
        <v>3034</v>
      </c>
      <c r="G37" s="18">
        <f t="shared" si="2"/>
        <v>0.70133411321468819</v>
      </c>
      <c r="I37" s="44">
        <f t="shared" si="3"/>
        <v>34</v>
      </c>
    </row>
    <row r="38" spans="1:9" x14ac:dyDescent="0.25">
      <c r="A38" s="15">
        <v>29</v>
      </c>
      <c r="B38" s="15" t="s">
        <v>35</v>
      </c>
      <c r="C38" s="16">
        <v>71131</v>
      </c>
      <c r="D38" s="16">
        <v>123315</v>
      </c>
      <c r="E38" s="16">
        <v>136407</v>
      </c>
      <c r="F38" s="16">
        <v>7250</v>
      </c>
      <c r="G38" s="18">
        <f t="shared" si="2"/>
        <v>0.57682358188379357</v>
      </c>
      <c r="I38" s="44">
        <f t="shared" si="3"/>
        <v>4250</v>
      </c>
    </row>
    <row r="39" spans="1:9" x14ac:dyDescent="0.25">
      <c r="A39" s="15">
        <v>30</v>
      </c>
      <c r="B39" s="15" t="s">
        <v>36</v>
      </c>
      <c r="C39" s="16">
        <v>63579</v>
      </c>
      <c r="D39" s="16">
        <v>86781</v>
      </c>
      <c r="E39" s="16">
        <v>105359</v>
      </c>
      <c r="F39" s="16">
        <v>3170</v>
      </c>
      <c r="G39" s="18">
        <f t="shared" si="2"/>
        <v>0.7326373284474712</v>
      </c>
      <c r="I39" s="44">
        <f t="shared" si="3"/>
        <v>170</v>
      </c>
    </row>
    <row r="40" spans="1:9" x14ac:dyDescent="0.25">
      <c r="A40" s="15">
        <v>31</v>
      </c>
      <c r="B40" s="15" t="s">
        <v>37</v>
      </c>
      <c r="C40" s="16">
        <v>73362</v>
      </c>
      <c r="D40" s="16">
        <v>101456</v>
      </c>
      <c r="E40" s="16">
        <v>112133</v>
      </c>
      <c r="F40" s="16">
        <v>3043</v>
      </c>
      <c r="G40" s="18">
        <f t="shared" si="2"/>
        <v>0.72309178363034221</v>
      </c>
      <c r="I40" s="44">
        <f t="shared" si="3"/>
        <v>43</v>
      </c>
    </row>
    <row r="41" spans="1:9" x14ac:dyDescent="0.25">
      <c r="A41" s="15">
        <v>32</v>
      </c>
      <c r="B41" s="15" t="s">
        <v>38</v>
      </c>
      <c r="C41" s="16">
        <v>78567</v>
      </c>
      <c r="D41" s="16">
        <v>166012</v>
      </c>
      <c r="E41" s="16">
        <v>190140</v>
      </c>
      <c r="F41" s="16">
        <v>6400</v>
      </c>
      <c r="G41" s="18">
        <f t="shared" si="2"/>
        <v>0.47326096908657206</v>
      </c>
      <c r="I41" s="44">
        <f t="shared" si="3"/>
        <v>3400</v>
      </c>
    </row>
    <row r="42" spans="1:9" x14ac:dyDescent="0.25">
      <c r="A42" s="15">
        <v>33</v>
      </c>
      <c r="B42" s="15" t="s">
        <v>39</v>
      </c>
      <c r="C42" s="16">
        <v>65672</v>
      </c>
      <c r="D42" s="16">
        <v>100032</v>
      </c>
      <c r="E42" s="16">
        <v>107636</v>
      </c>
      <c r="F42" s="16">
        <v>3212</v>
      </c>
      <c r="G42" s="18">
        <f t="shared" si="2"/>
        <v>0.65650991682661552</v>
      </c>
      <c r="I42" s="44">
        <f t="shared" si="3"/>
        <v>212</v>
      </c>
    </row>
    <row r="43" spans="1:9" x14ac:dyDescent="0.25">
      <c r="A43" s="15">
        <v>34</v>
      </c>
      <c r="B43" s="15" t="s">
        <v>40</v>
      </c>
      <c r="C43" s="16">
        <v>99874</v>
      </c>
      <c r="D43" s="16">
        <v>210532</v>
      </c>
      <c r="E43" s="16">
        <v>237582</v>
      </c>
      <c r="F43" s="16">
        <v>11500</v>
      </c>
      <c r="G43" s="18">
        <f t="shared" si="2"/>
        <v>0.47438869150532936</v>
      </c>
      <c r="I43" s="44">
        <f t="shared" si="3"/>
        <v>8500</v>
      </c>
    </row>
    <row r="44" spans="1:9" x14ac:dyDescent="0.25">
      <c r="A44" s="15">
        <v>35</v>
      </c>
      <c r="B44" s="15" t="s">
        <v>41</v>
      </c>
      <c r="C44" s="16">
        <v>89356</v>
      </c>
      <c r="D44" s="16">
        <v>126056</v>
      </c>
      <c r="E44" s="16">
        <v>137498</v>
      </c>
      <c r="F44" s="16">
        <v>3255</v>
      </c>
      <c r="G44" s="18">
        <f t="shared" si="2"/>
        <v>0.70885955448372151</v>
      </c>
      <c r="I44" s="44">
        <f t="shared" si="3"/>
        <v>255</v>
      </c>
    </row>
    <row r="45" spans="1:9" x14ac:dyDescent="0.25">
      <c r="A45" s="15">
        <v>36</v>
      </c>
      <c r="B45" s="15" t="s">
        <v>42</v>
      </c>
      <c r="C45" s="16">
        <v>61548</v>
      </c>
      <c r="D45" s="16">
        <v>80562</v>
      </c>
      <c r="E45" s="16">
        <v>100210</v>
      </c>
      <c r="F45" s="16">
        <v>3000</v>
      </c>
      <c r="G45" s="18">
        <f t="shared" si="2"/>
        <v>0.76398301928949131</v>
      </c>
      <c r="I45" s="44">
        <f t="shared" si="3"/>
        <v>0</v>
      </c>
    </row>
    <row r="46" spans="1:9" x14ac:dyDescent="0.25">
      <c r="A46" s="15">
        <v>37</v>
      </c>
      <c r="B46" s="15" t="s">
        <v>43</v>
      </c>
      <c r="C46" s="16">
        <v>80868</v>
      </c>
      <c r="D46" s="16">
        <v>106083</v>
      </c>
      <c r="E46" s="16">
        <v>115065</v>
      </c>
      <c r="F46" s="16">
        <v>3000</v>
      </c>
      <c r="G46" s="18">
        <f t="shared" si="2"/>
        <v>0.76230875823647526</v>
      </c>
      <c r="I46" s="44">
        <f t="shared" si="3"/>
        <v>0</v>
      </c>
    </row>
    <row r="47" spans="1:9" x14ac:dyDescent="0.25">
      <c r="A47" s="15">
        <v>38</v>
      </c>
      <c r="B47" s="15" t="s">
        <v>44</v>
      </c>
      <c r="C47" s="16">
        <v>66857</v>
      </c>
      <c r="D47" s="16">
        <v>110662</v>
      </c>
      <c r="E47" s="16">
        <v>118130</v>
      </c>
      <c r="F47" s="16">
        <v>3170</v>
      </c>
      <c r="G47" s="18">
        <f t="shared" si="2"/>
        <v>0.60415499448771937</v>
      </c>
      <c r="I47" s="44">
        <f t="shared" si="3"/>
        <v>170</v>
      </c>
    </row>
    <row r="48" spans="1:9" x14ac:dyDescent="0.25">
      <c r="A48" s="15">
        <v>39</v>
      </c>
      <c r="B48" s="15" t="s">
        <v>45</v>
      </c>
      <c r="C48" s="16">
        <v>83943</v>
      </c>
      <c r="D48" s="16">
        <v>115431</v>
      </c>
      <c r="E48" s="16">
        <v>132463</v>
      </c>
      <c r="F48" s="16">
        <v>3000</v>
      </c>
      <c r="G48" s="18">
        <f t="shared" si="2"/>
        <v>0.72721366010863631</v>
      </c>
      <c r="I48" s="44">
        <f t="shared" si="3"/>
        <v>0</v>
      </c>
    </row>
    <row r="49" spans="1:9" x14ac:dyDescent="0.25">
      <c r="A49" s="15">
        <v>40</v>
      </c>
      <c r="B49" s="15" t="s">
        <v>46</v>
      </c>
      <c r="C49" s="16">
        <v>128868</v>
      </c>
      <c r="D49" s="16">
        <v>242408</v>
      </c>
      <c r="E49" s="16">
        <v>271095</v>
      </c>
      <c r="F49" s="16">
        <v>15750</v>
      </c>
      <c r="G49" s="18">
        <f t="shared" si="2"/>
        <v>0.53161611827992472</v>
      </c>
      <c r="I49" s="44">
        <f t="shared" si="3"/>
        <v>12750</v>
      </c>
    </row>
    <row r="50" spans="1:9" x14ac:dyDescent="0.25">
      <c r="A50" s="15">
        <v>41</v>
      </c>
      <c r="B50" s="15" t="s">
        <v>47</v>
      </c>
      <c r="C50" s="16">
        <v>49404</v>
      </c>
      <c r="D50" s="16">
        <v>74200</v>
      </c>
      <c r="E50" s="16">
        <v>85296</v>
      </c>
      <c r="F50" s="16">
        <v>3425</v>
      </c>
      <c r="G50" s="18">
        <f t="shared" si="2"/>
        <v>0.66582210242587603</v>
      </c>
      <c r="I50" s="44">
        <f t="shared" si="3"/>
        <v>425</v>
      </c>
    </row>
    <row r="51" spans="1:9" x14ac:dyDescent="0.25">
      <c r="A51" s="15">
        <v>42</v>
      </c>
      <c r="B51" s="15" t="s">
        <v>48</v>
      </c>
      <c r="C51" s="16">
        <v>27465</v>
      </c>
      <c r="D51" s="16">
        <v>106503</v>
      </c>
      <c r="E51" s="16">
        <v>149396</v>
      </c>
      <c r="F51" s="16">
        <v>3425</v>
      </c>
      <c r="G51" s="18">
        <f t="shared" si="2"/>
        <v>0.2578800597166277</v>
      </c>
      <c r="I51" s="44">
        <f t="shared" si="3"/>
        <v>425</v>
      </c>
    </row>
    <row r="52" spans="1:9" x14ac:dyDescent="0.25">
      <c r="A52" s="15">
        <v>43</v>
      </c>
      <c r="B52" s="15" t="s">
        <v>49</v>
      </c>
      <c r="C52" s="16">
        <v>30699</v>
      </c>
      <c r="D52" s="16">
        <v>66973</v>
      </c>
      <c r="E52" s="16">
        <v>78680</v>
      </c>
      <c r="F52" s="16">
        <v>3085</v>
      </c>
      <c r="G52" s="18">
        <f t="shared" si="2"/>
        <v>0.4583787496453795</v>
      </c>
      <c r="I52" s="44">
        <f t="shared" si="3"/>
        <v>85</v>
      </c>
    </row>
    <row r="53" spans="1:9" x14ac:dyDescent="0.25">
      <c r="A53" s="15">
        <v>44</v>
      </c>
      <c r="B53" s="15" t="s">
        <v>50</v>
      </c>
      <c r="C53" s="16">
        <v>62708</v>
      </c>
      <c r="D53" s="16">
        <v>78620</v>
      </c>
      <c r="E53" s="16">
        <v>89419</v>
      </c>
      <c r="F53" s="16">
        <v>3000</v>
      </c>
      <c r="G53" s="18">
        <f t="shared" si="2"/>
        <v>0.79760875095395578</v>
      </c>
      <c r="I53" s="44">
        <f t="shared" si="3"/>
        <v>0</v>
      </c>
    </row>
    <row r="54" spans="1:9" x14ac:dyDescent="0.25">
      <c r="A54" s="15">
        <v>45</v>
      </c>
      <c r="B54" s="15" t="s">
        <v>136</v>
      </c>
      <c r="C54" s="16">
        <v>63167</v>
      </c>
      <c r="D54" s="16">
        <v>86182</v>
      </c>
      <c r="E54" s="16">
        <v>100309</v>
      </c>
      <c r="F54" s="16">
        <v>3000</v>
      </c>
      <c r="G54" s="18">
        <f t="shared" si="2"/>
        <v>0.73294887563528344</v>
      </c>
      <c r="I54" s="44">
        <f t="shared" si="3"/>
        <v>0</v>
      </c>
    </row>
    <row r="55" spans="1:9" x14ac:dyDescent="0.25">
      <c r="A55" s="15">
        <v>46</v>
      </c>
      <c r="B55" s="15" t="s">
        <v>52</v>
      </c>
      <c r="C55" s="16">
        <v>107805</v>
      </c>
      <c r="D55" s="16">
        <v>170810</v>
      </c>
      <c r="E55" s="16">
        <v>188843</v>
      </c>
      <c r="F55" s="16">
        <v>5550</v>
      </c>
      <c r="G55" s="18">
        <f t="shared" si="2"/>
        <v>0.63113986300567881</v>
      </c>
      <c r="I55" s="44">
        <f t="shared" si="3"/>
        <v>2550</v>
      </c>
    </row>
    <row r="56" spans="1:9" x14ac:dyDescent="0.25">
      <c r="A56" s="15">
        <v>47</v>
      </c>
      <c r="B56" s="15" t="s">
        <v>53</v>
      </c>
      <c r="C56" s="16">
        <v>40508</v>
      </c>
      <c r="D56" s="16">
        <v>90288</v>
      </c>
      <c r="E56" s="16">
        <v>110316</v>
      </c>
      <c r="F56" s="16">
        <v>5125</v>
      </c>
      <c r="G56" s="18">
        <f t="shared" si="2"/>
        <v>0.44865319865319864</v>
      </c>
      <c r="I56" s="44">
        <f t="shared" si="3"/>
        <v>2125</v>
      </c>
    </row>
    <row r="57" spans="1:9" x14ac:dyDescent="0.25">
      <c r="A57" s="15">
        <v>48</v>
      </c>
      <c r="B57" s="15" t="s">
        <v>54</v>
      </c>
      <c r="C57" s="16">
        <v>51802</v>
      </c>
      <c r="D57" s="16">
        <v>120494</v>
      </c>
      <c r="E57" s="16">
        <v>131014</v>
      </c>
      <c r="F57" s="16">
        <v>5550</v>
      </c>
      <c r="G57" s="18">
        <f t="shared" si="2"/>
        <v>0.42991352266502897</v>
      </c>
      <c r="I57" s="44">
        <f t="shared" si="3"/>
        <v>2550</v>
      </c>
    </row>
    <row r="58" spans="1:9" x14ac:dyDescent="0.25">
      <c r="A58" s="15">
        <v>49</v>
      </c>
      <c r="B58" s="15" t="s">
        <v>55</v>
      </c>
      <c r="C58" s="16">
        <v>75487</v>
      </c>
      <c r="D58" s="16">
        <v>139440</v>
      </c>
      <c r="E58" s="16">
        <v>152763</v>
      </c>
      <c r="F58" s="16">
        <v>4700</v>
      </c>
      <c r="G58" s="18">
        <f t="shared" si="2"/>
        <v>0.54135829030407345</v>
      </c>
      <c r="I58" s="44">
        <f t="shared" si="3"/>
        <v>1700</v>
      </c>
    </row>
    <row r="59" spans="1:9" x14ac:dyDescent="0.25">
      <c r="A59" s="15">
        <v>50</v>
      </c>
      <c r="B59" s="15" t="s">
        <v>56</v>
      </c>
      <c r="C59" s="16">
        <v>63620</v>
      </c>
      <c r="D59" s="16">
        <v>101912</v>
      </c>
      <c r="E59" s="16">
        <v>111548</v>
      </c>
      <c r="F59" s="16">
        <v>3850</v>
      </c>
      <c r="G59" s="18">
        <f t="shared" si="2"/>
        <v>0.62426407096318393</v>
      </c>
      <c r="I59" s="44">
        <f t="shared" si="3"/>
        <v>850</v>
      </c>
    </row>
    <row r="60" spans="1:9" x14ac:dyDescent="0.25">
      <c r="A60" s="15">
        <v>51</v>
      </c>
      <c r="B60" s="15" t="s">
        <v>57</v>
      </c>
      <c r="C60" s="16">
        <v>37475</v>
      </c>
      <c r="D60" s="16">
        <v>96000</v>
      </c>
      <c r="E60" s="16">
        <v>102810</v>
      </c>
      <c r="F60" s="16">
        <v>4700</v>
      </c>
      <c r="G60" s="18">
        <f t="shared" si="2"/>
        <v>0.39036458333333335</v>
      </c>
      <c r="I60" s="44">
        <f t="shared" si="3"/>
        <v>1700</v>
      </c>
    </row>
    <row r="61" spans="1:9" x14ac:dyDescent="0.25">
      <c r="A61" s="15">
        <v>52</v>
      </c>
      <c r="B61" s="15" t="s">
        <v>58</v>
      </c>
      <c r="C61" s="16">
        <v>64672</v>
      </c>
      <c r="D61" s="16">
        <v>89484</v>
      </c>
      <c r="E61" s="16">
        <v>102350</v>
      </c>
      <c r="F61" s="16">
        <v>3255</v>
      </c>
      <c r="G61" s="18">
        <f t="shared" si="2"/>
        <v>0.72272138035849987</v>
      </c>
      <c r="I61" s="44">
        <f t="shared" si="3"/>
        <v>255</v>
      </c>
    </row>
    <row r="62" spans="1:9" x14ac:dyDescent="0.25">
      <c r="A62" s="15">
        <v>53</v>
      </c>
      <c r="B62" s="15" t="s">
        <v>59</v>
      </c>
      <c r="C62" s="16">
        <v>91483</v>
      </c>
      <c r="D62" s="16">
        <v>153316</v>
      </c>
      <c r="E62" s="16">
        <v>163531</v>
      </c>
      <c r="F62" s="16">
        <v>4275</v>
      </c>
      <c r="G62" s="18">
        <f t="shared" si="2"/>
        <v>0.59669571342847449</v>
      </c>
      <c r="I62" s="44">
        <f t="shared" si="3"/>
        <v>1275</v>
      </c>
    </row>
    <row r="63" spans="1:9" x14ac:dyDescent="0.25">
      <c r="A63" s="15">
        <v>54</v>
      </c>
      <c r="B63" s="15" t="s">
        <v>60</v>
      </c>
      <c r="C63" s="16">
        <v>72472</v>
      </c>
      <c r="D63" s="16">
        <v>100754</v>
      </c>
      <c r="E63" s="16">
        <v>112028</v>
      </c>
      <c r="F63" s="16">
        <v>3510</v>
      </c>
      <c r="G63" s="18">
        <f t="shared" si="2"/>
        <v>0.71929650435714709</v>
      </c>
      <c r="I63" s="44">
        <f t="shared" si="3"/>
        <v>510</v>
      </c>
    </row>
    <row r="64" spans="1:9" x14ac:dyDescent="0.25">
      <c r="A64" s="15">
        <v>55</v>
      </c>
      <c r="B64" s="15" t="s">
        <v>61</v>
      </c>
      <c r="C64" s="16">
        <v>5190</v>
      </c>
      <c r="D64" s="16">
        <v>220666</v>
      </c>
      <c r="E64" s="16">
        <v>232264</v>
      </c>
      <c r="F64" s="16">
        <v>92250</v>
      </c>
      <c r="G64" s="18">
        <f t="shared" si="2"/>
        <v>2.3519708518756854E-2</v>
      </c>
      <c r="I64" s="44">
        <f t="shared" si="3"/>
        <v>89250</v>
      </c>
    </row>
    <row r="65" spans="1:9" x14ac:dyDescent="0.25">
      <c r="A65" s="15">
        <v>56</v>
      </c>
      <c r="B65" s="15" t="s">
        <v>62</v>
      </c>
      <c r="C65" s="16">
        <v>85660</v>
      </c>
      <c r="D65" s="16">
        <v>113078</v>
      </c>
      <c r="E65" s="16">
        <v>124259</v>
      </c>
      <c r="F65" s="16">
        <v>3000</v>
      </c>
      <c r="G65" s="18">
        <f t="shared" si="2"/>
        <v>0.75753020039264929</v>
      </c>
      <c r="I65" s="44">
        <f t="shared" si="3"/>
        <v>0</v>
      </c>
    </row>
    <row r="66" spans="1:9" x14ac:dyDescent="0.25">
      <c r="A66" s="15">
        <v>57</v>
      </c>
      <c r="B66" s="15" t="s">
        <v>63</v>
      </c>
      <c r="C66" s="16">
        <v>51927</v>
      </c>
      <c r="D66" s="16">
        <v>100209</v>
      </c>
      <c r="E66" s="16">
        <v>112751</v>
      </c>
      <c r="F66" s="16">
        <v>3000</v>
      </c>
      <c r="G66" s="18">
        <f t="shared" ref="G66:G96" si="4">+C66/D66</f>
        <v>0.51818698919258754</v>
      </c>
      <c r="I66" s="44">
        <f t="shared" ref="I66:I96" si="5">+F66-3000</f>
        <v>0</v>
      </c>
    </row>
    <row r="67" spans="1:9" x14ac:dyDescent="0.25">
      <c r="A67" s="15">
        <v>58</v>
      </c>
      <c r="B67" s="15" t="s">
        <v>67</v>
      </c>
      <c r="C67" s="16">
        <v>66507</v>
      </c>
      <c r="D67" s="16">
        <v>85562</v>
      </c>
      <c r="E67" s="16">
        <v>96084</v>
      </c>
      <c r="F67" s="16">
        <v>3136</v>
      </c>
      <c r="G67" s="18">
        <f t="shared" si="4"/>
        <v>0.77729599588602416</v>
      </c>
      <c r="I67" s="44">
        <f t="shared" si="5"/>
        <v>136</v>
      </c>
    </row>
    <row r="68" spans="1:9" x14ac:dyDescent="0.25">
      <c r="A68" s="15">
        <v>59</v>
      </c>
      <c r="B68" s="15" t="s">
        <v>68</v>
      </c>
      <c r="C68" s="16">
        <v>40575</v>
      </c>
      <c r="D68" s="16">
        <v>50009</v>
      </c>
      <c r="E68" s="16">
        <v>55912</v>
      </c>
      <c r="F68" s="16">
        <v>3000</v>
      </c>
      <c r="G68" s="18">
        <f t="shared" si="4"/>
        <v>0.81135395628786822</v>
      </c>
      <c r="I68" s="44">
        <f t="shared" si="5"/>
        <v>0</v>
      </c>
    </row>
    <row r="69" spans="1:9" x14ac:dyDescent="0.25">
      <c r="A69" s="15">
        <v>60</v>
      </c>
      <c r="B69" s="15" t="s">
        <v>69</v>
      </c>
      <c r="C69" s="16">
        <v>44081</v>
      </c>
      <c r="D69" s="16">
        <v>72754</v>
      </c>
      <c r="E69" s="16">
        <v>78025</v>
      </c>
      <c r="F69" s="16">
        <v>3127</v>
      </c>
      <c r="G69" s="18">
        <f t="shared" si="4"/>
        <v>0.60589108502625288</v>
      </c>
      <c r="I69" s="44">
        <f t="shared" si="5"/>
        <v>127</v>
      </c>
    </row>
    <row r="70" spans="1:9" x14ac:dyDescent="0.25">
      <c r="A70" s="15">
        <v>61</v>
      </c>
      <c r="B70" s="15" t="s">
        <v>70</v>
      </c>
      <c r="C70" s="16">
        <v>54329</v>
      </c>
      <c r="D70" s="16">
        <v>74947</v>
      </c>
      <c r="E70" s="16">
        <v>81748</v>
      </c>
      <c r="F70" s="16">
        <v>3425</v>
      </c>
      <c r="G70" s="18">
        <f t="shared" si="4"/>
        <v>0.72489892857619387</v>
      </c>
      <c r="I70" s="44">
        <f t="shared" si="5"/>
        <v>425</v>
      </c>
    </row>
    <row r="71" spans="1:9" x14ac:dyDescent="0.25">
      <c r="A71" s="15">
        <v>62</v>
      </c>
      <c r="B71" s="15" t="s">
        <v>71</v>
      </c>
      <c r="C71" s="16">
        <v>45784</v>
      </c>
      <c r="D71" s="16">
        <v>57388</v>
      </c>
      <c r="E71" s="16">
        <v>64172</v>
      </c>
      <c r="F71" s="16">
        <v>3000</v>
      </c>
      <c r="G71" s="18">
        <f t="shared" si="4"/>
        <v>0.79779744894403015</v>
      </c>
      <c r="I71" s="44">
        <f t="shared" si="5"/>
        <v>0</v>
      </c>
    </row>
    <row r="72" spans="1:9" x14ac:dyDescent="0.25">
      <c r="A72" s="15">
        <v>63</v>
      </c>
      <c r="B72" s="15" t="s">
        <v>135</v>
      </c>
      <c r="C72" s="16">
        <v>138465</v>
      </c>
      <c r="D72" s="16">
        <v>199100</v>
      </c>
      <c r="E72" s="16">
        <v>241774</v>
      </c>
      <c r="F72" s="16">
        <v>9375</v>
      </c>
      <c r="G72" s="18">
        <f t="shared" si="4"/>
        <v>0.69545454545454544</v>
      </c>
      <c r="I72" s="44">
        <f t="shared" si="5"/>
        <v>6375</v>
      </c>
    </row>
    <row r="73" spans="1:9" x14ac:dyDescent="0.25">
      <c r="A73" s="15">
        <v>64</v>
      </c>
      <c r="B73" s="15" t="s">
        <v>102</v>
      </c>
      <c r="C73" s="16">
        <v>39826</v>
      </c>
      <c r="D73" s="16">
        <v>73001</v>
      </c>
      <c r="E73" s="16">
        <v>118932</v>
      </c>
      <c r="F73" s="16">
        <v>4275</v>
      </c>
      <c r="G73" s="18">
        <f t="shared" si="4"/>
        <v>0.54555417049081523</v>
      </c>
      <c r="I73" s="44">
        <f t="shared" si="5"/>
        <v>1275</v>
      </c>
    </row>
    <row r="74" spans="1:9" x14ac:dyDescent="0.25">
      <c r="A74" s="15">
        <v>65</v>
      </c>
      <c r="B74" s="15" t="s">
        <v>106</v>
      </c>
      <c r="C74" s="16">
        <v>78098</v>
      </c>
      <c r="D74" s="16">
        <v>141083</v>
      </c>
      <c r="E74" s="16">
        <v>240708</v>
      </c>
      <c r="F74" s="16">
        <v>7250</v>
      </c>
      <c r="G74" s="18">
        <f t="shared" si="4"/>
        <v>0.55356066996023612</v>
      </c>
      <c r="I74" s="44">
        <f t="shared" si="5"/>
        <v>4250</v>
      </c>
    </row>
    <row r="75" spans="1:9" x14ac:dyDescent="0.25">
      <c r="A75" s="15">
        <v>66</v>
      </c>
      <c r="B75" s="15" t="s">
        <v>132</v>
      </c>
      <c r="C75" s="16">
        <v>98244</v>
      </c>
      <c r="D75" s="16">
        <v>144146</v>
      </c>
      <c r="E75" s="16">
        <v>182546</v>
      </c>
      <c r="F75" s="16">
        <v>8100</v>
      </c>
      <c r="G75" s="18">
        <f t="shared" si="4"/>
        <v>0.68155897492819784</v>
      </c>
      <c r="I75" s="44">
        <f t="shared" si="5"/>
        <v>5100</v>
      </c>
    </row>
    <row r="76" spans="1:9" x14ac:dyDescent="0.25">
      <c r="A76" s="15">
        <v>67</v>
      </c>
      <c r="B76" s="15" t="s">
        <v>108</v>
      </c>
      <c r="C76" s="16">
        <v>58091</v>
      </c>
      <c r="D76" s="16">
        <v>114931</v>
      </c>
      <c r="E76" s="16">
        <v>182286</v>
      </c>
      <c r="F76" s="16">
        <v>7675</v>
      </c>
      <c r="G76" s="18">
        <f t="shared" si="4"/>
        <v>0.50544239587230599</v>
      </c>
      <c r="I76" s="44">
        <f t="shared" si="5"/>
        <v>4675</v>
      </c>
    </row>
    <row r="77" spans="1:9" x14ac:dyDescent="0.25">
      <c r="A77" s="15">
        <v>68</v>
      </c>
      <c r="B77" s="15" t="s">
        <v>112</v>
      </c>
      <c r="C77" s="16">
        <v>124977</v>
      </c>
      <c r="D77" s="16">
        <v>285398</v>
      </c>
      <c r="E77" s="16">
        <v>368190</v>
      </c>
      <c r="F77" s="16">
        <v>5600</v>
      </c>
      <c r="G77" s="18">
        <f t="shared" si="4"/>
        <v>0.43790426001583754</v>
      </c>
      <c r="I77" s="44">
        <f t="shared" si="5"/>
        <v>2600</v>
      </c>
    </row>
    <row r="78" spans="1:9" x14ac:dyDescent="0.25">
      <c r="A78" s="15">
        <v>69</v>
      </c>
      <c r="B78" s="15" t="s">
        <v>114</v>
      </c>
      <c r="C78" s="16">
        <v>39936</v>
      </c>
      <c r="D78" s="16">
        <v>171372</v>
      </c>
      <c r="E78" s="16">
        <v>230938</v>
      </c>
      <c r="F78" s="16">
        <v>8200</v>
      </c>
      <c r="G78" s="18">
        <f t="shared" si="4"/>
        <v>0.23303690217771864</v>
      </c>
      <c r="I78" s="44">
        <f t="shared" si="5"/>
        <v>5200</v>
      </c>
    </row>
    <row r="79" spans="1:9" x14ac:dyDescent="0.25">
      <c r="A79" s="15">
        <v>70</v>
      </c>
      <c r="B79" s="15" t="s">
        <v>115</v>
      </c>
      <c r="C79" s="16">
        <v>106905</v>
      </c>
      <c r="D79" s="16">
        <v>160897</v>
      </c>
      <c r="E79" s="16">
        <v>265022</v>
      </c>
      <c r="F79" s="16">
        <v>3425</v>
      </c>
      <c r="G79" s="18">
        <f t="shared" si="4"/>
        <v>0.66443128212458902</v>
      </c>
      <c r="I79" s="44">
        <f t="shared" si="5"/>
        <v>425</v>
      </c>
    </row>
    <row r="80" spans="1:9" x14ac:dyDescent="0.25">
      <c r="A80" s="15">
        <v>71</v>
      </c>
      <c r="B80" s="15" t="s">
        <v>116</v>
      </c>
      <c r="C80" s="16">
        <v>94412</v>
      </c>
      <c r="D80" s="16">
        <v>166822</v>
      </c>
      <c r="E80" s="16">
        <v>207829</v>
      </c>
      <c r="F80" s="16">
        <v>4700</v>
      </c>
      <c r="G80" s="18">
        <f t="shared" si="4"/>
        <v>0.56594453968900982</v>
      </c>
      <c r="I80" s="44">
        <f t="shared" si="5"/>
        <v>1700</v>
      </c>
    </row>
    <row r="81" spans="1:9" x14ac:dyDescent="0.25">
      <c r="A81" s="15">
        <v>72</v>
      </c>
      <c r="B81" s="15" t="s">
        <v>117</v>
      </c>
      <c r="C81" s="16">
        <v>99136</v>
      </c>
      <c r="D81" s="16">
        <v>212707</v>
      </c>
      <c r="E81" s="16">
        <v>267667</v>
      </c>
      <c r="F81" s="16">
        <v>70700</v>
      </c>
      <c r="G81" s="18">
        <f t="shared" si="4"/>
        <v>0.46606834753910309</v>
      </c>
      <c r="I81" s="44">
        <f t="shared" si="5"/>
        <v>67700</v>
      </c>
    </row>
    <row r="82" spans="1:9" x14ac:dyDescent="0.25">
      <c r="A82" s="15">
        <v>73</v>
      </c>
      <c r="B82" s="15" t="s">
        <v>8</v>
      </c>
      <c r="C82" s="16">
        <v>66083</v>
      </c>
      <c r="D82" s="16">
        <v>98551</v>
      </c>
      <c r="E82" s="16">
        <v>115929</v>
      </c>
      <c r="F82" s="16">
        <v>8100</v>
      </c>
      <c r="G82" s="18">
        <f t="shared" si="4"/>
        <v>0.67054621465028263</v>
      </c>
      <c r="I82" s="44">
        <f t="shared" si="5"/>
        <v>5100</v>
      </c>
    </row>
    <row r="83" spans="1:9" x14ac:dyDescent="0.25">
      <c r="A83" s="15">
        <v>74</v>
      </c>
      <c r="B83" s="15" t="s">
        <v>7</v>
      </c>
      <c r="C83" s="16">
        <v>63131</v>
      </c>
      <c r="D83" s="16">
        <v>90134</v>
      </c>
      <c r="E83" s="16">
        <v>132644</v>
      </c>
      <c r="F83" s="16">
        <v>3850</v>
      </c>
      <c r="G83" s="18">
        <f t="shared" si="4"/>
        <v>0.700412718840837</v>
      </c>
      <c r="I83" s="44">
        <f t="shared" si="5"/>
        <v>850</v>
      </c>
    </row>
    <row r="84" spans="1:9" x14ac:dyDescent="0.25">
      <c r="A84" s="15">
        <v>75</v>
      </c>
      <c r="B84" s="15" t="s">
        <v>103</v>
      </c>
      <c r="C84" s="16">
        <v>54586</v>
      </c>
      <c r="D84" s="16">
        <v>113123</v>
      </c>
      <c r="E84" s="16">
        <v>129935</v>
      </c>
      <c r="F84" s="16">
        <v>8750</v>
      </c>
      <c r="G84" s="18">
        <f t="shared" si="4"/>
        <v>0.48253670783129865</v>
      </c>
      <c r="I84" s="44">
        <f t="shared" si="5"/>
        <v>5750</v>
      </c>
    </row>
    <row r="85" spans="1:9" x14ac:dyDescent="0.25">
      <c r="A85" s="15">
        <v>76</v>
      </c>
      <c r="B85" s="15" t="s">
        <v>104</v>
      </c>
      <c r="C85" s="16">
        <v>74885</v>
      </c>
      <c r="D85" s="16">
        <v>106374</v>
      </c>
      <c r="E85" s="16">
        <v>147381</v>
      </c>
      <c r="F85" s="16">
        <v>3850</v>
      </c>
      <c r="G85" s="18">
        <f t="shared" si="4"/>
        <v>0.70397841577829168</v>
      </c>
      <c r="I85" s="44">
        <f t="shared" si="5"/>
        <v>850</v>
      </c>
    </row>
    <row r="86" spans="1:9" x14ac:dyDescent="0.25">
      <c r="A86" s="15">
        <v>77</v>
      </c>
      <c r="B86" s="15" t="s">
        <v>105</v>
      </c>
      <c r="C86" s="16">
        <v>89251</v>
      </c>
      <c r="D86" s="16">
        <v>135161</v>
      </c>
      <c r="E86" s="16">
        <v>184028</v>
      </c>
      <c r="F86" s="16">
        <v>8100</v>
      </c>
      <c r="G86" s="18">
        <f t="shared" si="4"/>
        <v>0.66033101264417993</v>
      </c>
      <c r="I86" s="44">
        <f t="shared" si="5"/>
        <v>5100</v>
      </c>
    </row>
    <row r="87" spans="1:9" x14ac:dyDescent="0.25">
      <c r="A87" s="15">
        <v>78</v>
      </c>
      <c r="B87" s="15" t="s">
        <v>6</v>
      </c>
      <c r="C87" s="16">
        <v>57540</v>
      </c>
      <c r="D87" s="16">
        <v>82544</v>
      </c>
      <c r="E87" s="16">
        <v>132751</v>
      </c>
      <c r="F87" s="16">
        <v>6400</v>
      </c>
      <c r="G87" s="18">
        <f t="shared" si="4"/>
        <v>0.69708276797829039</v>
      </c>
      <c r="I87" s="44">
        <f t="shared" si="5"/>
        <v>3400</v>
      </c>
    </row>
    <row r="88" spans="1:9" x14ac:dyDescent="0.25">
      <c r="A88" s="15">
        <v>79</v>
      </c>
      <c r="B88" s="15" t="s">
        <v>109</v>
      </c>
      <c r="C88" s="16">
        <v>44174</v>
      </c>
      <c r="D88" s="16">
        <v>210492</v>
      </c>
      <c r="E88" s="16">
        <v>240348</v>
      </c>
      <c r="F88" s="16">
        <v>36100</v>
      </c>
      <c r="G88" s="18">
        <f t="shared" si="4"/>
        <v>0.20986070729528913</v>
      </c>
      <c r="I88" s="44">
        <f t="shared" si="5"/>
        <v>33100</v>
      </c>
    </row>
    <row r="89" spans="1:9" x14ac:dyDescent="0.25">
      <c r="A89" s="15">
        <v>80</v>
      </c>
      <c r="B89" s="15" t="s">
        <v>110</v>
      </c>
      <c r="C89" s="16">
        <v>83743</v>
      </c>
      <c r="D89" s="16">
        <v>126507</v>
      </c>
      <c r="E89" s="16">
        <v>146337</v>
      </c>
      <c r="F89" s="16">
        <v>6200</v>
      </c>
      <c r="G89" s="18">
        <f t="shared" si="4"/>
        <v>0.66196336961591062</v>
      </c>
      <c r="I89" s="44">
        <f t="shared" si="5"/>
        <v>3200</v>
      </c>
    </row>
    <row r="90" spans="1:9" x14ac:dyDescent="0.25">
      <c r="A90" s="15">
        <v>81</v>
      </c>
      <c r="B90" s="15" t="s">
        <v>111</v>
      </c>
      <c r="C90" s="16">
        <v>56062</v>
      </c>
      <c r="D90" s="16">
        <v>121808</v>
      </c>
      <c r="E90" s="16">
        <v>157653</v>
      </c>
      <c r="F90" s="16">
        <v>11228</v>
      </c>
      <c r="G90" s="18">
        <f t="shared" si="4"/>
        <v>0.46024891632733483</v>
      </c>
      <c r="I90" s="44">
        <f t="shared" si="5"/>
        <v>8228</v>
      </c>
    </row>
    <row r="91" spans="1:9" x14ac:dyDescent="0.25">
      <c r="A91" s="15">
        <v>82</v>
      </c>
      <c r="B91" s="15" t="s">
        <v>113</v>
      </c>
      <c r="C91" s="16">
        <v>46934</v>
      </c>
      <c r="D91" s="16">
        <v>63471</v>
      </c>
      <c r="E91" s="16">
        <v>78509</v>
      </c>
      <c r="F91" s="16">
        <v>3127</v>
      </c>
      <c r="G91" s="18">
        <f t="shared" si="4"/>
        <v>0.73945581446644926</v>
      </c>
      <c r="I91" s="44">
        <f t="shared" si="5"/>
        <v>127</v>
      </c>
    </row>
    <row r="92" spans="1:9" x14ac:dyDescent="0.25">
      <c r="A92" s="15">
        <v>83</v>
      </c>
      <c r="B92" s="15" t="s">
        <v>5</v>
      </c>
      <c r="C92" s="16">
        <v>61543</v>
      </c>
      <c r="D92" s="16">
        <v>81165</v>
      </c>
      <c r="E92" s="16">
        <v>108033</v>
      </c>
      <c r="F92" s="16">
        <v>3425</v>
      </c>
      <c r="G92" s="18">
        <f t="shared" si="4"/>
        <v>0.75824554918992182</v>
      </c>
      <c r="I92" s="44">
        <f t="shared" si="5"/>
        <v>425</v>
      </c>
    </row>
    <row r="93" spans="1:9" x14ac:dyDescent="0.25">
      <c r="A93" s="15">
        <v>84</v>
      </c>
      <c r="B93" s="15" t="s">
        <v>129</v>
      </c>
      <c r="C93" s="16">
        <v>60002</v>
      </c>
      <c r="D93" s="16">
        <v>84645</v>
      </c>
      <c r="E93" s="16">
        <v>134493</v>
      </c>
      <c r="F93" s="16">
        <v>3255</v>
      </c>
      <c r="G93" s="18">
        <f t="shared" si="4"/>
        <v>0.70886644219977557</v>
      </c>
      <c r="I93" s="44">
        <f t="shared" si="5"/>
        <v>255</v>
      </c>
    </row>
    <row r="94" spans="1:9" x14ac:dyDescent="0.25">
      <c r="A94" s="15">
        <v>85</v>
      </c>
      <c r="B94" s="15" t="s">
        <v>130</v>
      </c>
      <c r="C94" s="16">
        <v>77879</v>
      </c>
      <c r="D94" s="16">
        <v>135602</v>
      </c>
      <c r="E94" s="16">
        <v>205072</v>
      </c>
      <c r="F94" s="16">
        <v>8350</v>
      </c>
      <c r="G94" s="18">
        <f t="shared" si="4"/>
        <v>0.57432043775165553</v>
      </c>
      <c r="I94" s="44">
        <f t="shared" si="5"/>
        <v>5350</v>
      </c>
    </row>
    <row r="95" spans="1:9" x14ac:dyDescent="0.25">
      <c r="A95" s="15">
        <v>86</v>
      </c>
      <c r="B95" s="15" t="s">
        <v>131</v>
      </c>
      <c r="C95" s="16">
        <v>27438</v>
      </c>
      <c r="D95" s="16">
        <v>105463</v>
      </c>
      <c r="E95" s="16">
        <v>139548</v>
      </c>
      <c r="F95" s="16">
        <v>10150</v>
      </c>
      <c r="G95" s="18">
        <f t="shared" si="4"/>
        <v>0.26016707281226592</v>
      </c>
      <c r="I95" s="44">
        <f t="shared" si="5"/>
        <v>7150</v>
      </c>
    </row>
    <row r="96" spans="1:9" x14ac:dyDescent="0.25">
      <c r="A96" s="15">
        <v>87</v>
      </c>
      <c r="B96" s="15" t="s">
        <v>121</v>
      </c>
      <c r="C96" s="16">
        <v>61701</v>
      </c>
      <c r="D96" s="16">
        <v>90180</v>
      </c>
      <c r="E96" s="16">
        <v>136744</v>
      </c>
      <c r="F96" s="16">
        <v>3467</v>
      </c>
      <c r="G96" s="18">
        <f t="shared" si="4"/>
        <v>0.68419827012641388</v>
      </c>
      <c r="I96" s="44">
        <f t="shared" si="5"/>
        <v>467</v>
      </c>
    </row>
    <row r="97" spans="1:9" x14ac:dyDescent="0.25">
      <c r="A97" s="15">
        <v>88</v>
      </c>
      <c r="B97" s="15" t="s">
        <v>127</v>
      </c>
      <c r="C97" s="16">
        <v>18657</v>
      </c>
      <c r="D97" s="16">
        <v>139949</v>
      </c>
      <c r="E97" s="16">
        <v>208980</v>
      </c>
      <c r="F97" s="16">
        <v>11500</v>
      </c>
      <c r="G97" s="18">
        <f t="shared" ref="G97:G105" si="6">+C97/D97</f>
        <v>0.13331284968095519</v>
      </c>
      <c r="I97" s="44">
        <f t="shared" ref="I97:I105" si="7">+F97-3000</f>
        <v>8500</v>
      </c>
    </row>
    <row r="98" spans="1:9" x14ac:dyDescent="0.25">
      <c r="A98" s="15">
        <v>89</v>
      </c>
      <c r="B98" s="15" t="s">
        <v>128</v>
      </c>
      <c r="C98" s="16">
        <v>62730</v>
      </c>
      <c r="D98" s="16">
        <v>93943</v>
      </c>
      <c r="E98" s="16">
        <v>123140</v>
      </c>
      <c r="F98" s="16">
        <v>4275</v>
      </c>
      <c r="G98" s="18">
        <f t="shared" si="6"/>
        <v>0.66774533493714272</v>
      </c>
      <c r="I98" s="44">
        <f t="shared" si="7"/>
        <v>1275</v>
      </c>
    </row>
    <row r="99" spans="1:9" x14ac:dyDescent="0.25">
      <c r="A99" s="15">
        <v>90</v>
      </c>
      <c r="B99" s="15" t="s">
        <v>123</v>
      </c>
      <c r="C99" s="16">
        <v>42188</v>
      </c>
      <c r="D99" s="16">
        <v>249709</v>
      </c>
      <c r="E99" s="16">
        <v>284735</v>
      </c>
      <c r="F99" s="16">
        <v>105040</v>
      </c>
      <c r="G99" s="18">
        <f t="shared" si="6"/>
        <v>0.16894865623585853</v>
      </c>
      <c r="I99" s="44">
        <f t="shared" si="7"/>
        <v>102040</v>
      </c>
    </row>
    <row r="100" spans="1:9" x14ac:dyDescent="0.25">
      <c r="A100" s="15">
        <v>91</v>
      </c>
      <c r="B100" s="15" t="s">
        <v>124</v>
      </c>
      <c r="C100" s="16"/>
      <c r="D100" s="16">
        <v>227460</v>
      </c>
      <c r="E100" s="16">
        <v>304311</v>
      </c>
      <c r="F100" s="16">
        <v>21400</v>
      </c>
      <c r="G100" s="18">
        <f t="shared" si="6"/>
        <v>0</v>
      </c>
      <c r="I100" s="44">
        <f t="shared" si="7"/>
        <v>18400</v>
      </c>
    </row>
    <row r="101" spans="1:9" x14ac:dyDescent="0.25">
      <c r="A101" s="15">
        <v>92</v>
      </c>
      <c r="B101" s="15" t="s">
        <v>125</v>
      </c>
      <c r="C101" s="16"/>
      <c r="D101" s="16">
        <v>211310</v>
      </c>
      <c r="E101" s="16">
        <v>296919</v>
      </c>
      <c r="F101" s="16">
        <v>20100</v>
      </c>
      <c r="G101" s="18">
        <f t="shared" si="6"/>
        <v>0</v>
      </c>
      <c r="I101" s="44">
        <f t="shared" si="7"/>
        <v>17100</v>
      </c>
    </row>
    <row r="102" spans="1:9" x14ac:dyDescent="0.25">
      <c r="A102" s="15">
        <v>93</v>
      </c>
      <c r="B102" s="15" t="s">
        <v>126</v>
      </c>
      <c r="C102" s="16">
        <v>95949</v>
      </c>
      <c r="D102" s="16">
        <v>136220</v>
      </c>
      <c r="E102" s="16">
        <v>213108</v>
      </c>
      <c r="F102" s="16">
        <v>5040</v>
      </c>
      <c r="G102" s="18">
        <f t="shared" si="6"/>
        <v>0.70436793422404931</v>
      </c>
      <c r="I102" s="44">
        <f t="shared" si="7"/>
        <v>2040</v>
      </c>
    </row>
    <row r="103" spans="1:9" x14ac:dyDescent="0.25">
      <c r="A103" s="15">
        <v>94</v>
      </c>
      <c r="B103" s="15" t="s">
        <v>64</v>
      </c>
      <c r="C103" s="16">
        <v>28122</v>
      </c>
      <c r="D103" s="16">
        <v>274596</v>
      </c>
      <c r="E103" s="16">
        <v>313790</v>
      </c>
      <c r="F103" s="16">
        <v>46900</v>
      </c>
      <c r="G103" s="18">
        <f t="shared" si="6"/>
        <v>0.10241227111829743</v>
      </c>
      <c r="I103" s="44">
        <f t="shared" si="7"/>
        <v>43900</v>
      </c>
    </row>
    <row r="104" spans="1:9" x14ac:dyDescent="0.25">
      <c r="A104" s="15">
        <v>95</v>
      </c>
      <c r="B104" s="15" t="s">
        <v>65</v>
      </c>
      <c r="C104" s="16">
        <v>1131</v>
      </c>
      <c r="D104" s="16">
        <v>147624</v>
      </c>
      <c r="E104" s="16">
        <v>164404</v>
      </c>
      <c r="F104" s="16">
        <v>24250</v>
      </c>
      <c r="G104" s="18">
        <f t="shared" si="6"/>
        <v>7.6613558770931558E-3</v>
      </c>
      <c r="I104" s="44">
        <f t="shared" si="7"/>
        <v>21250</v>
      </c>
    </row>
    <row r="105" spans="1:9" x14ac:dyDescent="0.25">
      <c r="A105" s="15">
        <v>96</v>
      </c>
      <c r="B105" s="15" t="s">
        <v>66</v>
      </c>
      <c r="C105" s="16">
        <v>23137</v>
      </c>
      <c r="D105" s="16">
        <v>119741</v>
      </c>
      <c r="E105" s="16">
        <v>131138</v>
      </c>
      <c r="F105" s="16">
        <v>24950</v>
      </c>
      <c r="G105" s="18">
        <f t="shared" si="6"/>
        <v>0.19322537810774923</v>
      </c>
      <c r="I105" s="44">
        <f t="shared" si="7"/>
        <v>21950</v>
      </c>
    </row>
    <row r="106" spans="1:9" x14ac:dyDescent="0.25">
      <c r="A106" s="12"/>
      <c r="B106" s="13" t="s">
        <v>96</v>
      </c>
      <c r="C106" s="34">
        <f>SUM(C10:C105)</f>
        <v>5976099</v>
      </c>
      <c r="D106" s="34">
        <f t="shared" ref="D106:F106" si="8">SUM(D10:D105)</f>
        <v>11352830</v>
      </c>
      <c r="E106" s="34">
        <f t="shared" si="8"/>
        <v>13875295</v>
      </c>
      <c r="F106" s="34">
        <f t="shared" si="8"/>
        <v>870500</v>
      </c>
      <c r="G106" s="34"/>
    </row>
  </sheetData>
  <autoFilter ref="A9:G106"/>
  <sortState ref="A69:I96">
    <sortCondition ref="A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PAPB </vt:lpstr>
      <vt:lpstr>Quy định</vt:lpstr>
      <vt:lpstr>Xã DTTS, thôn ĐBKK</vt:lpstr>
      <vt:lpstr>DT NST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VNN.R9</cp:lastModifiedBy>
  <dcterms:created xsi:type="dcterms:W3CDTF">2026-03-16T09:08:39Z</dcterms:created>
  <dcterms:modified xsi:type="dcterms:W3CDTF">2026-05-15T02:40:53Z</dcterms:modified>
</cp:coreProperties>
</file>